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80" windowWidth="15330" windowHeight="2115"/>
  </bookViews>
  <sheets>
    <sheet name="MŠ Rumunská text" sheetId="63" r:id="rId1"/>
    <sheet name="MŠ Rumunská tabulka" sheetId="46" r:id="rId2"/>
    <sheet name="MŠ Šárka text" sheetId="64" r:id="rId3"/>
    <sheet name="MŠ Šárka tabulka" sheetId="45" r:id="rId4"/>
    <sheet name="MŠ Partyzánská text" sheetId="65" r:id="rId5"/>
    <sheet name="MŠ Partyzánská - tabulka" sheetId="44" r:id="rId6"/>
    <sheet name="MŠ Smetanova text" sheetId="66" r:id="rId7"/>
    <sheet name="MŠ Smetanova tabulka" sheetId="43" r:id="rId8"/>
    <sheet name="MŠ Moravská text" sheetId="67" r:id="rId9"/>
    <sheet name="MŠ Moravská tabulka" sheetId="42" r:id="rId10"/>
    <sheet name="ZŠ a MŠ Palackého text" sheetId="68" r:id="rId11"/>
    <sheet name=" ZŠ a MŠ Palackého tabulka" sheetId="25" r:id="rId12"/>
    <sheet name="ZŠ a MŠ Kollárova text" sheetId="69" r:id="rId13"/>
    <sheet name=" ZŠ a MŠ Kollárova - tabulka" sheetId="49" r:id="rId14"/>
    <sheet name="ZŠ a MŠ JŽ Sídl. svobody text" sheetId="70" r:id="rId15"/>
    <sheet name=" ZŠ a MŠ JŽ Sídl. svobody tabul" sheetId="50" r:id="rId16"/>
    <sheet name="ZŠ a MŠ Melantrichova text" sheetId="71" r:id="rId17"/>
    <sheet name=" ZŠ a MŠ Melantrichova tabulka" sheetId="51" r:id="rId18"/>
    <sheet name="ZŠ Majakovského text" sheetId="72" r:id="rId19"/>
    <sheet name=" ZŠ Majakovského tabulka" sheetId="52" r:id="rId20"/>
    <sheet name="RG a ZŠ PV text" sheetId="73" r:id="rId21"/>
    <sheet name="RG a ZŠ PV tabulka" sheetId="53" r:id="rId22"/>
    <sheet name="ZŠ Dr. Horáka text" sheetId="74" r:id="rId23"/>
    <sheet name="ZŠ Dr. Horáka tabulka" sheetId="54" r:id="rId24"/>
    <sheet name="ZŠ E. Valenty text" sheetId="75" r:id="rId25"/>
    <sheet name="ZŠ E. Valenty tabulka" sheetId="79" r:id="rId26"/>
    <sheet name="SC DDM text" sheetId="76" r:id="rId27"/>
    <sheet name="SC DDM tabulka" sheetId="56" r:id="rId28"/>
    <sheet name="ZUŠ text" sheetId="77" r:id="rId29"/>
    <sheet name="ZUŠ tabulka" sheetId="57" r:id="rId30"/>
    <sheet name="MD PV text" sheetId="62" r:id="rId31"/>
    <sheet name="MD PV tabulka" sheetId="58" r:id="rId32"/>
    <sheet name="MK PV text" sheetId="78" r:id="rId33"/>
    <sheet name="MK PV tabulka" sheetId="61" r:id="rId34"/>
  </sheets>
  <calcPr calcId="145621"/>
</workbook>
</file>

<file path=xl/calcChain.xml><?xml version="1.0" encoding="utf-8"?>
<calcChain xmlns="http://schemas.openxmlformats.org/spreadsheetml/2006/main">
  <c r="M37" i="25" l="1"/>
  <c r="H36" i="25"/>
  <c r="H35" i="25"/>
  <c r="W32" i="25"/>
  <c r="R32" i="25"/>
  <c r="M32" i="25"/>
  <c r="I32" i="25"/>
  <c r="H32" i="25"/>
  <c r="G32" i="25"/>
  <c r="F32" i="25"/>
  <c r="E32" i="25"/>
  <c r="W30" i="25"/>
  <c r="R30" i="25"/>
  <c r="M30" i="25"/>
  <c r="I30" i="25"/>
  <c r="H30" i="25"/>
  <c r="G30" i="25"/>
  <c r="F30" i="25"/>
  <c r="E30" i="25"/>
  <c r="W29" i="25"/>
  <c r="R29" i="25"/>
  <c r="M29" i="25"/>
  <c r="I29" i="25"/>
  <c r="H29" i="25"/>
  <c r="G29" i="25"/>
  <c r="F29" i="25"/>
  <c r="E29" i="25"/>
  <c r="W28" i="25"/>
  <c r="R28" i="25"/>
  <c r="M28" i="25"/>
  <c r="I28" i="25"/>
  <c r="H28" i="25"/>
  <c r="G28" i="25"/>
  <c r="F28" i="25"/>
  <c r="E28" i="25"/>
  <c r="W27" i="25"/>
  <c r="Q27" i="25"/>
  <c r="R27" i="25" s="1"/>
  <c r="L27" i="25"/>
  <c r="M27" i="25" s="1"/>
  <c r="I27" i="25"/>
  <c r="F27" i="25"/>
  <c r="E27" i="25"/>
  <c r="W26" i="25"/>
  <c r="R26" i="25"/>
  <c r="M26" i="25"/>
  <c r="I26" i="25"/>
  <c r="G26" i="25"/>
  <c r="H26" i="25" s="1"/>
  <c r="F26" i="25"/>
  <c r="E26" i="25"/>
  <c r="W25" i="25"/>
  <c r="R25" i="25"/>
  <c r="M25" i="25"/>
  <c r="I25" i="25"/>
  <c r="G25" i="25"/>
  <c r="H25" i="25" s="1"/>
  <c r="F25" i="25"/>
  <c r="E25" i="25"/>
  <c r="W24" i="25"/>
  <c r="R24" i="25"/>
  <c r="M24" i="25"/>
  <c r="I24" i="25"/>
  <c r="G24" i="25"/>
  <c r="H24" i="25" s="1"/>
  <c r="F24" i="25"/>
  <c r="E24" i="25"/>
  <c r="W23" i="25"/>
  <c r="R23" i="25"/>
  <c r="M23" i="25"/>
  <c r="I23" i="25"/>
  <c r="G23" i="25"/>
  <c r="H23" i="25" s="1"/>
  <c r="F23" i="25"/>
  <c r="E23" i="25"/>
  <c r="W22" i="25"/>
  <c r="R22" i="25"/>
  <c r="M22" i="25"/>
  <c r="I22" i="25"/>
  <c r="G22" i="25"/>
  <c r="H22" i="25" s="1"/>
  <c r="F22" i="25"/>
  <c r="E22" i="25"/>
  <c r="W21" i="25"/>
  <c r="Q21" i="25"/>
  <c r="R21" i="25" s="1"/>
  <c r="M21" i="25"/>
  <c r="I21" i="25"/>
  <c r="G21" i="25"/>
  <c r="H21" i="25" s="1"/>
  <c r="F21" i="25"/>
  <c r="E21" i="25"/>
  <c r="V20" i="25"/>
  <c r="W20" i="25" s="1"/>
  <c r="Q20" i="25"/>
  <c r="R20" i="25" s="1"/>
  <c r="M20" i="25"/>
  <c r="I20" i="25"/>
  <c r="G20" i="25"/>
  <c r="H20" i="25" s="1"/>
  <c r="F20" i="25"/>
  <c r="E20" i="25"/>
  <c r="W19" i="25"/>
  <c r="Q19" i="25"/>
  <c r="R19" i="25" s="1"/>
  <c r="M19" i="25"/>
  <c r="I19" i="25"/>
  <c r="G19" i="25"/>
  <c r="G34" i="25" s="1"/>
  <c r="F19" i="25"/>
  <c r="F34" i="25" s="1"/>
  <c r="E19" i="25"/>
  <c r="E34" i="25" s="1"/>
  <c r="W18" i="25"/>
  <c r="Q18" i="25"/>
  <c r="R18" i="25" s="1"/>
  <c r="M18" i="25"/>
  <c r="I18" i="25"/>
  <c r="G18" i="25"/>
  <c r="H18" i="25" s="1"/>
  <c r="F18" i="25"/>
  <c r="E18" i="25"/>
  <c r="W17" i="25"/>
  <c r="R17" i="25"/>
  <c r="M17" i="25"/>
  <c r="I17" i="25"/>
  <c r="G17" i="25"/>
  <c r="H17" i="25" s="1"/>
  <c r="F17" i="25"/>
  <c r="E17" i="25"/>
  <c r="W16" i="25"/>
  <c r="R16" i="25"/>
  <c r="M16" i="25"/>
  <c r="I16" i="25"/>
  <c r="G16" i="25"/>
  <c r="H16" i="25" s="1"/>
  <c r="F16" i="25"/>
  <c r="E16" i="25"/>
  <c r="W15" i="25"/>
  <c r="R15" i="25"/>
  <c r="L15" i="25"/>
  <c r="M15" i="25" s="1"/>
  <c r="I15" i="25"/>
  <c r="F15" i="25"/>
  <c r="E15" i="25"/>
  <c r="W14" i="25"/>
  <c r="R14" i="25"/>
  <c r="M14" i="25"/>
  <c r="I14" i="25"/>
  <c r="H14" i="25"/>
  <c r="G14" i="25"/>
  <c r="F14" i="25"/>
  <c r="E14" i="25"/>
  <c r="W13" i="25"/>
  <c r="V13" i="25"/>
  <c r="R13" i="25"/>
  <c r="L13" i="25"/>
  <c r="M13" i="25" s="1"/>
  <c r="I13" i="25"/>
  <c r="F13" i="25"/>
  <c r="F11" i="25" s="1"/>
  <c r="E13" i="25"/>
  <c r="V12" i="25"/>
  <c r="V11" i="25" s="1"/>
  <c r="W11" i="25" s="1"/>
  <c r="R12" i="25"/>
  <c r="Q12" i="25"/>
  <c r="M12" i="25"/>
  <c r="I12" i="25"/>
  <c r="H12" i="25"/>
  <c r="G12" i="25"/>
  <c r="F12" i="25"/>
  <c r="E12" i="25"/>
  <c r="X11" i="25"/>
  <c r="U11" i="25"/>
  <c r="T11" i="25"/>
  <c r="S11" i="25"/>
  <c r="Q11" i="25"/>
  <c r="R11" i="25" s="1"/>
  <c r="P11" i="25"/>
  <c r="O11" i="25"/>
  <c r="N11" i="25"/>
  <c r="L11" i="25"/>
  <c r="M11" i="25" s="1"/>
  <c r="K11" i="25"/>
  <c r="J11" i="25"/>
  <c r="I11" i="25"/>
  <c r="E11" i="25"/>
  <c r="W10" i="25"/>
  <c r="R10" i="25"/>
  <c r="M10" i="25"/>
  <c r="I10" i="25"/>
  <c r="H10" i="25"/>
  <c r="G10" i="25"/>
  <c r="F10" i="25"/>
  <c r="E10" i="25"/>
  <c r="W9" i="25"/>
  <c r="R9" i="25"/>
  <c r="M9" i="25"/>
  <c r="I9" i="25"/>
  <c r="H9" i="25"/>
  <c r="G9" i="25"/>
  <c r="F9" i="25"/>
  <c r="E9" i="25"/>
  <c r="W8" i="25"/>
  <c r="R8" i="25"/>
  <c r="M8" i="25"/>
  <c r="I8" i="25"/>
  <c r="I6" i="25" s="1"/>
  <c r="I31" i="25" s="1"/>
  <c r="I33" i="25" s="1"/>
  <c r="H8" i="25"/>
  <c r="G8" i="25"/>
  <c r="F8" i="25"/>
  <c r="E8" i="25"/>
  <c r="E6" i="25" s="1"/>
  <c r="E31" i="25" s="1"/>
  <c r="E33" i="25" s="1"/>
  <c r="W7" i="25"/>
  <c r="V7" i="25"/>
  <c r="R7" i="25"/>
  <c r="L7" i="25"/>
  <c r="G7" i="25" s="1"/>
  <c r="I7" i="25"/>
  <c r="F7" i="25"/>
  <c r="E7" i="25"/>
  <c r="X6" i="25"/>
  <c r="X31" i="25" s="1"/>
  <c r="X33" i="25" s="1"/>
  <c r="V6" i="25"/>
  <c r="V31" i="25" s="1"/>
  <c r="U6" i="25"/>
  <c r="U31" i="25" s="1"/>
  <c r="U33" i="25" s="1"/>
  <c r="T6" i="25"/>
  <c r="T31" i="25" s="1"/>
  <c r="T33" i="25" s="1"/>
  <c r="S6" i="25"/>
  <c r="S31" i="25" s="1"/>
  <c r="S33" i="25" s="1"/>
  <c r="R6" i="25"/>
  <c r="Q6" i="25"/>
  <c r="Q31" i="25" s="1"/>
  <c r="P6" i="25"/>
  <c r="P31" i="25" s="1"/>
  <c r="P33" i="25" s="1"/>
  <c r="O6" i="25"/>
  <c r="O31" i="25" s="1"/>
  <c r="O33" i="25" s="1"/>
  <c r="N6" i="25"/>
  <c r="N31" i="25" s="1"/>
  <c r="N33" i="25" s="1"/>
  <c r="K6" i="25"/>
  <c r="K31" i="25" s="1"/>
  <c r="K33" i="25" s="1"/>
  <c r="J6" i="25"/>
  <c r="J31" i="25" s="1"/>
  <c r="J33" i="25" s="1"/>
  <c r="F6" i="25"/>
  <c r="F31" i="25" l="1"/>
  <c r="F33" i="25" s="1"/>
  <c r="H7" i="25"/>
  <c r="G6" i="25"/>
  <c r="R31" i="25"/>
  <c r="Q33" i="25"/>
  <c r="R33" i="25" s="1"/>
  <c r="H34" i="25"/>
  <c r="W31" i="25"/>
  <c r="V33" i="25"/>
  <c r="W33" i="25" s="1"/>
  <c r="M7" i="25"/>
  <c r="G13" i="25"/>
  <c r="G27" i="25"/>
  <c r="H27" i="25" s="1"/>
  <c r="W6" i="25"/>
  <c r="L6" i="25"/>
  <c r="W12" i="25"/>
  <c r="H19" i="25"/>
  <c r="G15" i="25"/>
  <c r="H15" i="25" s="1"/>
  <c r="C18" i="75"/>
  <c r="C6" i="68"/>
  <c r="C9" i="68"/>
  <c r="G11" i="25" l="1"/>
  <c r="H11" i="25" s="1"/>
  <c r="H13" i="25"/>
  <c r="M6" i="25"/>
  <c r="L31" i="25"/>
  <c r="G31" i="25"/>
  <c r="H6" i="25"/>
  <c r="E24" i="71"/>
  <c r="E23" i="71"/>
  <c r="E22" i="71"/>
  <c r="C6" i="71"/>
  <c r="C6" i="72"/>
  <c r="B44" i="71"/>
  <c r="A44" i="71"/>
  <c r="B38" i="71"/>
  <c r="B32" i="71"/>
  <c r="D26" i="71"/>
  <c r="C26" i="71"/>
  <c r="B26" i="71"/>
  <c r="E25" i="71"/>
  <c r="C17" i="71"/>
  <c r="G33" i="25" l="1"/>
  <c r="H33" i="25" s="1"/>
  <c r="H31" i="25"/>
  <c r="M31" i="25"/>
  <c r="L33" i="25"/>
  <c r="M33" i="25" s="1"/>
  <c r="E26" i="71"/>
  <c r="C6" i="62"/>
  <c r="B44" i="62"/>
  <c r="A44" i="62"/>
  <c r="B38" i="62"/>
  <c r="B32" i="62"/>
  <c r="D26" i="62"/>
  <c r="C26" i="62"/>
  <c r="B26" i="62"/>
  <c r="E25" i="62"/>
  <c r="E24" i="62"/>
  <c r="E23" i="62"/>
  <c r="E22" i="62"/>
  <c r="C17" i="62"/>
  <c r="E26" i="62" l="1"/>
  <c r="B44" i="78"/>
  <c r="A44" i="78"/>
  <c r="B38" i="78"/>
  <c r="B32" i="78"/>
  <c r="D26" i="78"/>
  <c r="C26" i="78"/>
  <c r="B26" i="78"/>
  <c r="E25" i="78"/>
  <c r="E24" i="78"/>
  <c r="E23" i="78"/>
  <c r="E22" i="78"/>
  <c r="C17" i="78"/>
  <c r="C6" i="78"/>
  <c r="E26" i="78" l="1"/>
  <c r="B48" i="76"/>
  <c r="A48" i="76"/>
  <c r="B42" i="76"/>
  <c r="B36" i="76"/>
  <c r="D26" i="76"/>
  <c r="C26" i="76"/>
  <c r="B26" i="76"/>
  <c r="E24" i="76"/>
  <c r="E23" i="76"/>
  <c r="E22" i="76"/>
  <c r="C17" i="76"/>
  <c r="C6" i="76"/>
  <c r="E26" i="76" l="1"/>
  <c r="T33" i="79" l="1"/>
  <c r="T31" i="79"/>
  <c r="T11" i="79"/>
  <c r="T6" i="79"/>
  <c r="B45" i="75"/>
  <c r="A45" i="75"/>
  <c r="B39" i="75"/>
  <c r="B33" i="75"/>
  <c r="D27" i="75"/>
  <c r="C27" i="75"/>
  <c r="B27" i="75"/>
  <c r="E26" i="75"/>
  <c r="E25" i="75"/>
  <c r="E24" i="75"/>
  <c r="E23" i="75"/>
  <c r="C6" i="75"/>
  <c r="E27" i="75" l="1"/>
  <c r="B40" i="74"/>
  <c r="B33" i="74"/>
  <c r="D26" i="74"/>
  <c r="C26" i="74"/>
  <c r="B26" i="74"/>
  <c r="E25" i="74"/>
  <c r="E24" i="74"/>
  <c r="E23" i="74"/>
  <c r="C17" i="74"/>
  <c r="C6" i="74"/>
  <c r="B40" i="73"/>
  <c r="B41" i="73" s="1"/>
  <c r="B34" i="73"/>
  <c r="B51" i="73"/>
  <c r="A51" i="73"/>
  <c r="D26" i="73"/>
  <c r="C26" i="73"/>
  <c r="B26" i="73"/>
  <c r="E25" i="73"/>
  <c r="E24" i="73"/>
  <c r="E23" i="73"/>
  <c r="E22" i="73"/>
  <c r="C17" i="73"/>
  <c r="C6" i="73"/>
  <c r="E26" i="74" l="1"/>
  <c r="E26" i="73"/>
  <c r="B44" i="72" l="1"/>
  <c r="A44" i="72"/>
  <c r="B38" i="72"/>
  <c r="B32" i="72"/>
  <c r="D26" i="72"/>
  <c r="C26" i="72"/>
  <c r="B26" i="72"/>
  <c r="E25" i="72"/>
  <c r="E24" i="72"/>
  <c r="E23" i="72"/>
  <c r="E22" i="72"/>
  <c r="C17" i="72"/>
  <c r="E26" i="72" l="1"/>
  <c r="B45" i="70"/>
  <c r="A45" i="70"/>
  <c r="B38" i="70"/>
  <c r="B32" i="70"/>
  <c r="D26" i="70"/>
  <c r="C26" i="70"/>
  <c r="B26" i="70"/>
  <c r="E25" i="70"/>
  <c r="E24" i="70"/>
  <c r="E23" i="70"/>
  <c r="E22" i="70"/>
  <c r="C17" i="70"/>
  <c r="C6" i="70"/>
  <c r="E26" i="70" l="1"/>
  <c r="E26" i="69" l="1"/>
  <c r="D26" i="69"/>
  <c r="C26" i="69"/>
  <c r="B26" i="69"/>
  <c r="C6" i="69"/>
  <c r="B44" i="77"/>
  <c r="A44" i="77"/>
  <c r="B38" i="77"/>
  <c r="B32" i="77"/>
  <c r="D26" i="77"/>
  <c r="C26" i="77"/>
  <c r="B26" i="77"/>
  <c r="E25" i="77"/>
  <c r="E24" i="77"/>
  <c r="E23" i="77"/>
  <c r="E22" i="77"/>
  <c r="C17" i="77"/>
  <c r="C6" i="77"/>
  <c r="E26" i="77" l="1"/>
  <c r="E27" i="68" l="1"/>
  <c r="D27" i="68"/>
  <c r="C27" i="68"/>
  <c r="B27" i="68"/>
  <c r="C18" i="68"/>
  <c r="A45" i="67"/>
  <c r="B38" i="67"/>
  <c r="B32" i="67"/>
  <c r="B45" i="67"/>
  <c r="D26" i="67"/>
  <c r="C26" i="67"/>
  <c r="B26" i="67"/>
  <c r="E25" i="67"/>
  <c r="E24" i="67"/>
  <c r="E23" i="67"/>
  <c r="E22" i="67"/>
  <c r="C17" i="67"/>
  <c r="E26" i="67"/>
  <c r="B45" i="66"/>
  <c r="A45" i="66"/>
  <c r="B38" i="66"/>
  <c r="B32" i="66"/>
  <c r="D26" i="66"/>
  <c r="C26" i="66"/>
  <c r="B26" i="66"/>
  <c r="E25" i="66"/>
  <c r="E24" i="66"/>
  <c r="E23" i="66"/>
  <c r="E22" i="66"/>
  <c r="C17" i="66"/>
  <c r="C6" i="66"/>
  <c r="E26" i="66"/>
  <c r="A54" i="65"/>
  <c r="B54" i="65"/>
  <c r="C6" i="65"/>
  <c r="B38" i="65"/>
  <c r="B32" i="65"/>
  <c r="D26" i="65"/>
  <c r="C26" i="65"/>
  <c r="B26" i="65"/>
  <c r="E25" i="65"/>
  <c r="E24" i="65"/>
  <c r="E23" i="65"/>
  <c r="E22" i="65"/>
  <c r="C17" i="65"/>
  <c r="C6" i="64"/>
  <c r="B44" i="64"/>
  <c r="A44" i="64"/>
  <c r="B38" i="64"/>
  <c r="B32" i="64"/>
  <c r="E26" i="64"/>
  <c r="D26" i="64"/>
  <c r="C26" i="64"/>
  <c r="B26" i="64"/>
  <c r="C17" i="64"/>
  <c r="E26" i="65"/>
  <c r="E58" i="63"/>
  <c r="A44" i="63"/>
  <c r="B38" i="63"/>
  <c r="B32" i="63"/>
  <c r="D26" i="63"/>
  <c r="C26" i="63"/>
  <c r="B26" i="63"/>
  <c r="E25" i="63"/>
  <c r="E24" i="63"/>
  <c r="E23" i="63"/>
  <c r="E22" i="63"/>
  <c r="C17" i="63"/>
  <c r="M37" i="45"/>
  <c r="H36" i="45"/>
  <c r="H35" i="45"/>
  <c r="H34" i="45"/>
  <c r="W32" i="45"/>
  <c r="R32" i="45"/>
  <c r="M32" i="45"/>
  <c r="I32" i="45"/>
  <c r="G32" i="45"/>
  <c r="F32" i="45"/>
  <c r="E32" i="45"/>
  <c r="W30" i="45"/>
  <c r="R30" i="45"/>
  <c r="M30" i="45"/>
  <c r="I30" i="45"/>
  <c r="G30" i="45"/>
  <c r="F30" i="45"/>
  <c r="E30" i="45"/>
  <c r="W29" i="45"/>
  <c r="R29" i="45"/>
  <c r="M29" i="45"/>
  <c r="I29" i="45"/>
  <c r="G29" i="45"/>
  <c r="H29" i="45"/>
  <c r="F29" i="45"/>
  <c r="E29" i="45"/>
  <c r="W28" i="45"/>
  <c r="R28" i="45"/>
  <c r="M28" i="45"/>
  <c r="I28" i="45"/>
  <c r="G28" i="45"/>
  <c r="F28" i="45"/>
  <c r="E28" i="45"/>
  <c r="W27" i="45"/>
  <c r="R27" i="45"/>
  <c r="M27" i="45"/>
  <c r="I27" i="45"/>
  <c r="G27" i="45"/>
  <c r="F27" i="45"/>
  <c r="E27" i="45"/>
  <c r="W26" i="45"/>
  <c r="R26" i="45"/>
  <c r="M26" i="45"/>
  <c r="I26" i="45"/>
  <c r="G26" i="45"/>
  <c r="F26" i="45"/>
  <c r="E26" i="45"/>
  <c r="W25" i="45"/>
  <c r="R25" i="45"/>
  <c r="M25" i="45"/>
  <c r="I25" i="45"/>
  <c r="G25" i="45"/>
  <c r="F25" i="45"/>
  <c r="E25" i="45"/>
  <c r="W24" i="45"/>
  <c r="R24" i="45"/>
  <c r="M24" i="45"/>
  <c r="I24" i="45"/>
  <c r="G24" i="45"/>
  <c r="F24" i="45"/>
  <c r="E24" i="45"/>
  <c r="W23" i="45"/>
  <c r="R23" i="45"/>
  <c r="M23" i="45"/>
  <c r="I23" i="45"/>
  <c r="G23" i="45"/>
  <c r="H23" i="45"/>
  <c r="F23" i="45"/>
  <c r="E23" i="45"/>
  <c r="W22" i="45"/>
  <c r="R22" i="45"/>
  <c r="M22" i="45"/>
  <c r="I22" i="45"/>
  <c r="G22" i="45"/>
  <c r="F22" i="45"/>
  <c r="E22" i="45"/>
  <c r="W21" i="45"/>
  <c r="R21" i="45"/>
  <c r="M21" i="45"/>
  <c r="I21" i="45"/>
  <c r="G21" i="45"/>
  <c r="F21" i="45"/>
  <c r="E21" i="45"/>
  <c r="W20" i="45"/>
  <c r="R20" i="45"/>
  <c r="M20" i="45"/>
  <c r="I20" i="45"/>
  <c r="G20" i="45"/>
  <c r="F20" i="45"/>
  <c r="E20" i="45"/>
  <c r="W19" i="45"/>
  <c r="R19" i="45"/>
  <c r="M19" i="45"/>
  <c r="I19" i="45"/>
  <c r="G19" i="45"/>
  <c r="F19" i="45"/>
  <c r="E19" i="45"/>
  <c r="W18" i="45"/>
  <c r="R18" i="45"/>
  <c r="M18" i="45"/>
  <c r="I18" i="45"/>
  <c r="G18" i="45"/>
  <c r="F18" i="45"/>
  <c r="E18" i="45"/>
  <c r="W17" i="45"/>
  <c r="R17" i="45"/>
  <c r="M17" i="45"/>
  <c r="I17" i="45"/>
  <c r="G17" i="45"/>
  <c r="F17" i="45"/>
  <c r="E17" i="45"/>
  <c r="W16" i="45"/>
  <c r="R16" i="45"/>
  <c r="M16" i="45"/>
  <c r="I16" i="45"/>
  <c r="G16" i="45"/>
  <c r="F16" i="45"/>
  <c r="E16" i="45"/>
  <c r="W15" i="45"/>
  <c r="R15" i="45"/>
  <c r="M15" i="45"/>
  <c r="I15" i="45"/>
  <c r="G15" i="45"/>
  <c r="F15" i="45"/>
  <c r="E15" i="45"/>
  <c r="W14" i="45"/>
  <c r="R14" i="45"/>
  <c r="M14" i="45"/>
  <c r="I14" i="45"/>
  <c r="G14" i="45"/>
  <c r="F14" i="45"/>
  <c r="E14" i="45"/>
  <c r="W13" i="45"/>
  <c r="R13" i="45"/>
  <c r="M13" i="45"/>
  <c r="I13" i="45"/>
  <c r="G13" i="45"/>
  <c r="H13" i="45"/>
  <c r="F13" i="45"/>
  <c r="E13" i="45"/>
  <c r="W12" i="45"/>
  <c r="R12" i="45"/>
  <c r="M12" i="45"/>
  <c r="I12" i="45"/>
  <c r="G12" i="45"/>
  <c r="F12" i="45"/>
  <c r="E12" i="45"/>
  <c r="X11" i="45"/>
  <c r="V11" i="45"/>
  <c r="U11" i="45"/>
  <c r="T11" i="45"/>
  <c r="S11" i="45"/>
  <c r="Q11" i="45"/>
  <c r="P11" i="45"/>
  <c r="O11" i="45"/>
  <c r="N11" i="45"/>
  <c r="L11" i="45"/>
  <c r="K11" i="45"/>
  <c r="J11" i="45"/>
  <c r="W10" i="45"/>
  <c r="R10" i="45"/>
  <c r="M10" i="45"/>
  <c r="I10" i="45"/>
  <c r="G10" i="45"/>
  <c r="F10" i="45"/>
  <c r="E10" i="45"/>
  <c r="W9" i="45"/>
  <c r="R9" i="45"/>
  <c r="M9" i="45"/>
  <c r="I9" i="45"/>
  <c r="I6" i="45"/>
  <c r="G9" i="45"/>
  <c r="F9" i="45"/>
  <c r="E9" i="45"/>
  <c r="W8" i="45"/>
  <c r="R8" i="45"/>
  <c r="M8" i="45"/>
  <c r="I8" i="45"/>
  <c r="G8" i="45"/>
  <c r="F8" i="45"/>
  <c r="E8" i="45"/>
  <c r="W7" i="45"/>
  <c r="R7" i="45"/>
  <c r="M7" i="45"/>
  <c r="I7" i="45"/>
  <c r="G7" i="45"/>
  <c r="F7" i="45"/>
  <c r="E7" i="45"/>
  <c r="X6" i="45"/>
  <c r="X31" i="45"/>
  <c r="X33" i="45"/>
  <c r="V6" i="45"/>
  <c r="W6" i="45"/>
  <c r="U6" i="45"/>
  <c r="T6" i="45"/>
  <c r="T31" i="45"/>
  <c r="T33" i="45"/>
  <c r="S6" i="45"/>
  <c r="Q6" i="45"/>
  <c r="P6" i="45"/>
  <c r="O6" i="45"/>
  <c r="O31" i="45"/>
  <c r="O33" i="45"/>
  <c r="N6" i="45"/>
  <c r="L6" i="45"/>
  <c r="K6" i="45"/>
  <c r="J6" i="45"/>
  <c r="F6" i="45"/>
  <c r="R8" i="42"/>
  <c r="R7" i="42"/>
  <c r="R30" i="42"/>
  <c r="R29" i="42"/>
  <c r="R28" i="42"/>
  <c r="R27" i="42"/>
  <c r="R26" i="42"/>
  <c r="R25" i="42"/>
  <c r="R24" i="42"/>
  <c r="R23" i="42"/>
  <c r="R22" i="42"/>
  <c r="R21" i="42"/>
  <c r="R20" i="42"/>
  <c r="R19" i="42"/>
  <c r="R18" i="42"/>
  <c r="R17" i="42"/>
  <c r="R16" i="42"/>
  <c r="R15" i="42"/>
  <c r="R14" i="42"/>
  <c r="R13" i="42"/>
  <c r="R12" i="42"/>
  <c r="M30" i="42"/>
  <c r="M29" i="42"/>
  <c r="M28" i="42"/>
  <c r="M27" i="42"/>
  <c r="M26" i="42"/>
  <c r="M25" i="42"/>
  <c r="M24" i="42"/>
  <c r="M23" i="42"/>
  <c r="M22" i="42"/>
  <c r="M21" i="42"/>
  <c r="M20" i="42"/>
  <c r="M19" i="42"/>
  <c r="M18" i="42"/>
  <c r="M17" i="42"/>
  <c r="M16" i="42"/>
  <c r="M15" i="42"/>
  <c r="M14" i="42"/>
  <c r="M12" i="42"/>
  <c r="S11" i="42"/>
  <c r="S6" i="42"/>
  <c r="S31" i="42"/>
  <c r="S33" i="42"/>
  <c r="N31" i="42"/>
  <c r="N33" i="42"/>
  <c r="N11" i="42"/>
  <c r="N6" i="42"/>
  <c r="I32" i="46"/>
  <c r="I30" i="46"/>
  <c r="I29" i="46"/>
  <c r="I28" i="46"/>
  <c r="I27" i="46"/>
  <c r="I26" i="46"/>
  <c r="I25" i="46"/>
  <c r="I24" i="46"/>
  <c r="I23" i="46"/>
  <c r="I22" i="46"/>
  <c r="I21" i="46"/>
  <c r="I20" i="46"/>
  <c r="I19" i="46"/>
  <c r="I18" i="46"/>
  <c r="I17" i="46"/>
  <c r="I16" i="46"/>
  <c r="I15" i="46"/>
  <c r="I14" i="46"/>
  <c r="I13" i="46"/>
  <c r="I12" i="46"/>
  <c r="I11" i="46"/>
  <c r="G32" i="46"/>
  <c r="G30" i="46"/>
  <c r="H30" i="46"/>
  <c r="G29" i="46"/>
  <c r="G28" i="46"/>
  <c r="G27" i="46"/>
  <c r="G26" i="46"/>
  <c r="G25" i="46"/>
  <c r="G24" i="46"/>
  <c r="H24" i="46"/>
  <c r="G23" i="46"/>
  <c r="G22" i="46"/>
  <c r="G21" i="46"/>
  <c r="G20" i="46"/>
  <c r="G19" i="46"/>
  <c r="G18" i="46"/>
  <c r="G17" i="46"/>
  <c r="G16" i="46"/>
  <c r="G15" i="46"/>
  <c r="G14" i="46"/>
  <c r="H14" i="46"/>
  <c r="G13" i="46"/>
  <c r="G12" i="46"/>
  <c r="F32" i="46"/>
  <c r="H32" i="46"/>
  <c r="F30" i="46"/>
  <c r="F29" i="46"/>
  <c r="H29" i="46"/>
  <c r="F28" i="46"/>
  <c r="F27" i="46"/>
  <c r="F26" i="46"/>
  <c r="F25" i="46"/>
  <c r="H25" i="46"/>
  <c r="F24" i="46"/>
  <c r="F23" i="46"/>
  <c r="F22" i="46"/>
  <c r="F21" i="46"/>
  <c r="H21" i="46"/>
  <c r="F20" i="46"/>
  <c r="F19" i="46"/>
  <c r="F18" i="46"/>
  <c r="F17" i="46"/>
  <c r="H17" i="46"/>
  <c r="F16" i="46"/>
  <c r="F15" i="46"/>
  <c r="F14" i="46"/>
  <c r="F13" i="46"/>
  <c r="H13" i="46"/>
  <c r="F12" i="46"/>
  <c r="E32" i="46"/>
  <c r="E30" i="46"/>
  <c r="E29" i="46"/>
  <c r="E28" i="46"/>
  <c r="E27" i="46"/>
  <c r="E26" i="46"/>
  <c r="E25" i="46"/>
  <c r="E24" i="46"/>
  <c r="E23" i="46"/>
  <c r="E22" i="46"/>
  <c r="E21" i="46"/>
  <c r="E20" i="46"/>
  <c r="E19" i="46"/>
  <c r="E18" i="46"/>
  <c r="E17" i="46"/>
  <c r="E15" i="46"/>
  <c r="E14" i="46"/>
  <c r="E13" i="46"/>
  <c r="E12" i="46"/>
  <c r="H10" i="46"/>
  <c r="H28" i="46"/>
  <c r="H27" i="46"/>
  <c r="H26" i="46"/>
  <c r="H23" i="46"/>
  <c r="H22" i="46"/>
  <c r="H20" i="46"/>
  <c r="H19" i="46"/>
  <c r="H18" i="46"/>
  <c r="H16" i="46"/>
  <c r="H15" i="46"/>
  <c r="W33" i="44"/>
  <c r="W32" i="44"/>
  <c r="W31" i="44"/>
  <c r="W30" i="44"/>
  <c r="W29" i="44"/>
  <c r="W28" i="44"/>
  <c r="W27" i="44"/>
  <c r="W26" i="44"/>
  <c r="W25" i="44"/>
  <c r="W24" i="44"/>
  <c r="W23" i="44"/>
  <c r="W22" i="44"/>
  <c r="W21" i="44"/>
  <c r="W20" i="44"/>
  <c r="W19" i="44"/>
  <c r="W18" i="44"/>
  <c r="W17" i="44"/>
  <c r="W16" i="44"/>
  <c r="W15" i="44"/>
  <c r="W14" i="44"/>
  <c r="W13" i="44"/>
  <c r="W12" i="44"/>
  <c r="W11" i="44"/>
  <c r="W10" i="44"/>
  <c r="W9" i="44"/>
  <c r="W8" i="44"/>
  <c r="W7" i="44"/>
  <c r="W6" i="44"/>
  <c r="R33" i="44"/>
  <c r="R32" i="44"/>
  <c r="R31" i="44"/>
  <c r="R30" i="44"/>
  <c r="R29" i="44"/>
  <c r="R28" i="44"/>
  <c r="R27" i="44"/>
  <c r="R26" i="44"/>
  <c r="R25" i="44"/>
  <c r="R24" i="44"/>
  <c r="R23" i="44"/>
  <c r="R22" i="44"/>
  <c r="R21" i="44"/>
  <c r="R20" i="44"/>
  <c r="R19" i="44"/>
  <c r="R18" i="44"/>
  <c r="R17" i="44"/>
  <c r="R16" i="44"/>
  <c r="R15" i="44"/>
  <c r="R14" i="44"/>
  <c r="R13" i="44"/>
  <c r="R12" i="44"/>
  <c r="R11" i="44"/>
  <c r="R10" i="44"/>
  <c r="R9" i="44"/>
  <c r="R8" i="44"/>
  <c r="R7" i="44"/>
  <c r="R6" i="44"/>
  <c r="M33" i="44"/>
  <c r="M32" i="44"/>
  <c r="M31" i="44"/>
  <c r="M30" i="44"/>
  <c r="M29" i="44"/>
  <c r="M28" i="44"/>
  <c r="M27" i="44"/>
  <c r="M26" i="44"/>
  <c r="M25" i="44"/>
  <c r="M24" i="44"/>
  <c r="M23" i="44"/>
  <c r="M22" i="44"/>
  <c r="M21" i="44"/>
  <c r="M20" i="44"/>
  <c r="M19" i="44"/>
  <c r="M18" i="44"/>
  <c r="M17" i="44"/>
  <c r="M16" i="44"/>
  <c r="M15" i="44"/>
  <c r="M14" i="44"/>
  <c r="M13" i="44"/>
  <c r="M12" i="44"/>
  <c r="R32" i="46"/>
  <c r="R33" i="46"/>
  <c r="R31" i="46"/>
  <c r="R10" i="46"/>
  <c r="R30" i="46"/>
  <c r="R29" i="46"/>
  <c r="R28" i="46"/>
  <c r="R27" i="46"/>
  <c r="R26" i="46"/>
  <c r="R25" i="46"/>
  <c r="R24" i="46"/>
  <c r="R23" i="46"/>
  <c r="R22" i="46"/>
  <c r="R21" i="46"/>
  <c r="R20" i="46"/>
  <c r="R19" i="46"/>
  <c r="R18" i="46"/>
  <c r="R17" i="46"/>
  <c r="R16" i="46"/>
  <c r="R15" i="46"/>
  <c r="R14" i="46"/>
  <c r="R13" i="46"/>
  <c r="R12" i="46"/>
  <c r="R8" i="46"/>
  <c r="R7" i="46"/>
  <c r="M37" i="46"/>
  <c r="M32" i="46"/>
  <c r="M31" i="46"/>
  <c r="M10" i="46"/>
  <c r="W33" i="46"/>
  <c r="W32" i="46"/>
  <c r="W31" i="46"/>
  <c r="W30" i="46"/>
  <c r="W29" i="46"/>
  <c r="W28" i="46"/>
  <c r="W27" i="46"/>
  <c r="W26" i="46"/>
  <c r="W25" i="46"/>
  <c r="W24" i="46"/>
  <c r="W23" i="46"/>
  <c r="W22" i="46"/>
  <c r="W21" i="46"/>
  <c r="W20" i="46"/>
  <c r="W19" i="46"/>
  <c r="W18" i="46"/>
  <c r="W17" i="46"/>
  <c r="W16" i="46"/>
  <c r="W15" i="46"/>
  <c r="W14" i="46"/>
  <c r="W13" i="46"/>
  <c r="W12" i="46"/>
  <c r="W11" i="46"/>
  <c r="W10" i="46"/>
  <c r="W9" i="46"/>
  <c r="W8" i="46"/>
  <c r="W7" i="46"/>
  <c r="W6" i="46"/>
  <c r="M30" i="46"/>
  <c r="M29" i="46"/>
  <c r="M28" i="46"/>
  <c r="M27" i="46"/>
  <c r="M26" i="46"/>
  <c r="M24" i="46"/>
  <c r="M23" i="46"/>
  <c r="M22" i="46"/>
  <c r="M21" i="46"/>
  <c r="M20" i="46"/>
  <c r="M19" i="46"/>
  <c r="M18" i="46"/>
  <c r="M17" i="46"/>
  <c r="M16" i="46"/>
  <c r="M15" i="46"/>
  <c r="M14" i="46"/>
  <c r="M13" i="46"/>
  <c r="M12" i="46"/>
  <c r="H36" i="46"/>
  <c r="H35" i="46"/>
  <c r="H34" i="46"/>
  <c r="O31" i="46"/>
  <c r="O33" i="46"/>
  <c r="K31" i="46"/>
  <c r="K33" i="46"/>
  <c r="M25" i="46"/>
  <c r="E16" i="46"/>
  <c r="F11" i="46"/>
  <c r="S11" i="46"/>
  <c r="Q11" i="46"/>
  <c r="R11" i="46"/>
  <c r="P11" i="46"/>
  <c r="O11" i="46"/>
  <c r="N11" i="46"/>
  <c r="N31" i="46"/>
  <c r="N33" i="46"/>
  <c r="M11" i="46"/>
  <c r="L11" i="46"/>
  <c r="K11" i="46"/>
  <c r="J11" i="46"/>
  <c r="J31" i="46"/>
  <c r="J33" i="46"/>
  <c r="E11" i="46"/>
  <c r="I10" i="46"/>
  <c r="R9" i="46"/>
  <c r="M9" i="46"/>
  <c r="I9" i="46"/>
  <c r="G9" i="46"/>
  <c r="F9" i="46"/>
  <c r="H9" i="46"/>
  <c r="E9" i="46"/>
  <c r="M8" i="46"/>
  <c r="I8" i="46"/>
  <c r="G8" i="46"/>
  <c r="H8" i="46"/>
  <c r="F8" i="46"/>
  <c r="E8" i="46"/>
  <c r="M7" i="46"/>
  <c r="I7" i="46"/>
  <c r="I6" i="46"/>
  <c r="G7" i="46"/>
  <c r="F7" i="46"/>
  <c r="F6" i="46"/>
  <c r="E7" i="46"/>
  <c r="E6" i="46"/>
  <c r="S6" i="46"/>
  <c r="S31" i="46"/>
  <c r="S33" i="46"/>
  <c r="Q6" i="46"/>
  <c r="Q31" i="46"/>
  <c r="Q33" i="46"/>
  <c r="P6" i="46"/>
  <c r="P31" i="46"/>
  <c r="P33" i="46"/>
  <c r="O6" i="46"/>
  <c r="N6" i="46"/>
  <c r="L6" i="46"/>
  <c r="L31" i="46"/>
  <c r="L33" i="46"/>
  <c r="K6" i="46"/>
  <c r="J6" i="46"/>
  <c r="M37" i="43"/>
  <c r="H36" i="43"/>
  <c r="H35" i="43"/>
  <c r="H34" i="43"/>
  <c r="W32" i="43"/>
  <c r="R32" i="43"/>
  <c r="M32" i="43"/>
  <c r="I32" i="43"/>
  <c r="G32" i="43"/>
  <c r="H32" i="43"/>
  <c r="F32" i="43"/>
  <c r="E32" i="43"/>
  <c r="W30" i="43"/>
  <c r="R30" i="43"/>
  <c r="M30" i="43"/>
  <c r="G30" i="43"/>
  <c r="H30" i="43"/>
  <c r="F30" i="43"/>
  <c r="E30" i="43"/>
  <c r="W29" i="43"/>
  <c r="R29" i="43"/>
  <c r="M29" i="43"/>
  <c r="G29" i="43"/>
  <c r="H29" i="43"/>
  <c r="F29" i="43"/>
  <c r="E29" i="43"/>
  <c r="W28" i="43"/>
  <c r="R28" i="43"/>
  <c r="M28" i="43"/>
  <c r="H28" i="43"/>
  <c r="G28" i="43"/>
  <c r="F28" i="43"/>
  <c r="E28" i="43"/>
  <c r="W27" i="43"/>
  <c r="R27" i="43"/>
  <c r="M27" i="43"/>
  <c r="G27" i="43"/>
  <c r="H27" i="43"/>
  <c r="F27" i="43"/>
  <c r="E27" i="43"/>
  <c r="W26" i="43"/>
  <c r="R26" i="43"/>
  <c r="M26" i="43"/>
  <c r="G26" i="43"/>
  <c r="H26" i="43"/>
  <c r="F26" i="43"/>
  <c r="E26" i="43"/>
  <c r="W25" i="43"/>
  <c r="R25" i="43"/>
  <c r="M25" i="43"/>
  <c r="G25" i="43"/>
  <c r="H25" i="43"/>
  <c r="F25" i="43"/>
  <c r="E25" i="43"/>
  <c r="W24" i="43"/>
  <c r="R24" i="43"/>
  <c r="M24" i="43"/>
  <c r="H24" i="43"/>
  <c r="G24" i="43"/>
  <c r="F24" i="43"/>
  <c r="E24" i="43"/>
  <c r="W23" i="43"/>
  <c r="R23" i="43"/>
  <c r="M23" i="43"/>
  <c r="G23" i="43"/>
  <c r="H23" i="43"/>
  <c r="F23" i="43"/>
  <c r="E23" i="43"/>
  <c r="W22" i="43"/>
  <c r="R22" i="43"/>
  <c r="M22" i="43"/>
  <c r="G22" i="43"/>
  <c r="H22" i="43"/>
  <c r="F22" i="43"/>
  <c r="E22" i="43"/>
  <c r="W21" i="43"/>
  <c r="R21" i="43"/>
  <c r="M21" i="43"/>
  <c r="G21" i="43"/>
  <c r="H21" i="43"/>
  <c r="F21" i="43"/>
  <c r="E21" i="43"/>
  <c r="W20" i="43"/>
  <c r="R20" i="43"/>
  <c r="M20" i="43"/>
  <c r="H20" i="43"/>
  <c r="G20" i="43"/>
  <c r="F20" i="43"/>
  <c r="E20" i="43"/>
  <c r="W19" i="43"/>
  <c r="R19" i="43"/>
  <c r="M19" i="43"/>
  <c r="G19" i="43"/>
  <c r="H19" i="43"/>
  <c r="F19" i="43"/>
  <c r="E19" i="43"/>
  <c r="W18" i="43"/>
  <c r="R18" i="43"/>
  <c r="M18" i="43"/>
  <c r="G18" i="43"/>
  <c r="H18" i="43"/>
  <c r="F18" i="43"/>
  <c r="E18" i="43"/>
  <c r="W17" i="43"/>
  <c r="R17" i="43"/>
  <c r="M17" i="43"/>
  <c r="G17" i="43"/>
  <c r="H17" i="43"/>
  <c r="F17" i="43"/>
  <c r="E17" i="43"/>
  <c r="W16" i="43"/>
  <c r="R16" i="43"/>
  <c r="M16" i="43"/>
  <c r="H16" i="43"/>
  <c r="G16" i="43"/>
  <c r="F16" i="43"/>
  <c r="E16" i="43"/>
  <c r="W15" i="43"/>
  <c r="R15" i="43"/>
  <c r="M15" i="43"/>
  <c r="G15" i="43"/>
  <c r="H15" i="43"/>
  <c r="F15" i="43"/>
  <c r="E15" i="43"/>
  <c r="W14" i="43"/>
  <c r="R14" i="43"/>
  <c r="M14" i="43"/>
  <c r="G14" i="43"/>
  <c r="H14" i="43"/>
  <c r="F14" i="43"/>
  <c r="E14" i="43"/>
  <c r="W13" i="43"/>
  <c r="R13" i="43"/>
  <c r="M13" i="43"/>
  <c r="G13" i="43"/>
  <c r="H13" i="43"/>
  <c r="F13" i="43"/>
  <c r="E13" i="43"/>
  <c r="W12" i="43"/>
  <c r="R12" i="43"/>
  <c r="M12" i="43"/>
  <c r="G12" i="43"/>
  <c r="F12" i="43"/>
  <c r="H12" i="43"/>
  <c r="E12" i="43"/>
  <c r="X11" i="43"/>
  <c r="V11" i="43"/>
  <c r="W11" i="43"/>
  <c r="U11" i="43"/>
  <c r="T11" i="43"/>
  <c r="S11" i="43"/>
  <c r="Q11" i="43"/>
  <c r="R11" i="43"/>
  <c r="P11" i="43"/>
  <c r="O11" i="43"/>
  <c r="N11" i="43"/>
  <c r="M11" i="43"/>
  <c r="L11" i="43"/>
  <c r="K11" i="43"/>
  <c r="J11" i="43"/>
  <c r="I11" i="43"/>
  <c r="F11" i="43"/>
  <c r="E11" i="43"/>
  <c r="W10" i="43"/>
  <c r="R10" i="43"/>
  <c r="M10" i="43"/>
  <c r="I10" i="43"/>
  <c r="G10" i="43"/>
  <c r="F10" i="43"/>
  <c r="H10" i="43"/>
  <c r="E10" i="43"/>
  <c r="W9" i="43"/>
  <c r="R9" i="43"/>
  <c r="M9" i="43"/>
  <c r="H9" i="43"/>
  <c r="G9" i="43"/>
  <c r="F9" i="43"/>
  <c r="E9" i="43"/>
  <c r="W8" i="43"/>
  <c r="R8" i="43"/>
  <c r="M8" i="43"/>
  <c r="G8" i="43"/>
  <c r="G6" i="43"/>
  <c r="F8" i="43"/>
  <c r="E8" i="43"/>
  <c r="W7" i="43"/>
  <c r="R7" i="43"/>
  <c r="M7" i="43"/>
  <c r="F7" i="43"/>
  <c r="H7" i="43"/>
  <c r="E7" i="43"/>
  <c r="X6" i="43"/>
  <c r="X31" i="43"/>
  <c r="X33" i="43"/>
  <c r="V6" i="43"/>
  <c r="V31" i="43"/>
  <c r="U6" i="43"/>
  <c r="U31" i="43"/>
  <c r="U33" i="43"/>
  <c r="T6" i="43"/>
  <c r="T31" i="43"/>
  <c r="T33" i="43"/>
  <c r="S6" i="43"/>
  <c r="S31" i="43"/>
  <c r="S33" i="43"/>
  <c r="Q6" i="43"/>
  <c r="Q31" i="43"/>
  <c r="P6" i="43"/>
  <c r="P31" i="43"/>
  <c r="P33" i="43"/>
  <c r="O6" i="43"/>
  <c r="O31" i="43"/>
  <c r="O33" i="43"/>
  <c r="N6" i="43"/>
  <c r="N31" i="43"/>
  <c r="N33" i="43"/>
  <c r="M6" i="43"/>
  <c r="L6" i="43"/>
  <c r="L31" i="43"/>
  <c r="K6" i="43"/>
  <c r="K31" i="43"/>
  <c r="K33" i="43"/>
  <c r="J6" i="43"/>
  <c r="J31" i="43"/>
  <c r="J33" i="43"/>
  <c r="I6" i="43"/>
  <c r="I31" i="43"/>
  <c r="I33" i="43"/>
  <c r="F6" i="43"/>
  <c r="F31" i="43"/>
  <c r="F33" i="43"/>
  <c r="E6" i="43"/>
  <c r="E31" i="43"/>
  <c r="E33" i="43"/>
  <c r="H36" i="44"/>
  <c r="H35" i="44"/>
  <c r="H34" i="44"/>
  <c r="V31" i="44"/>
  <c r="V33" i="44"/>
  <c r="X11" i="44"/>
  <c r="V11" i="44"/>
  <c r="U11" i="44"/>
  <c r="T11" i="44"/>
  <c r="S11" i="44"/>
  <c r="Q11" i="44"/>
  <c r="P11" i="44"/>
  <c r="O11" i="44"/>
  <c r="N11" i="44"/>
  <c r="M11" i="44"/>
  <c r="L11" i="44"/>
  <c r="K11" i="44"/>
  <c r="J11" i="44"/>
  <c r="M9" i="44"/>
  <c r="M8" i="44"/>
  <c r="M7" i="44"/>
  <c r="X6" i="44"/>
  <c r="X31" i="44"/>
  <c r="X33" i="44"/>
  <c r="V6" i="44"/>
  <c r="U6" i="44"/>
  <c r="U31" i="44"/>
  <c r="U33" i="44"/>
  <c r="T6" i="44"/>
  <c r="T31" i="44"/>
  <c r="T33" i="44"/>
  <c r="S6" i="44"/>
  <c r="S31" i="44"/>
  <c r="S33" i="44"/>
  <c r="Q6" i="44"/>
  <c r="P6" i="44"/>
  <c r="P31" i="44"/>
  <c r="P33" i="44"/>
  <c r="O6" i="44"/>
  <c r="O31" i="44"/>
  <c r="O33" i="44"/>
  <c r="N6" i="44"/>
  <c r="N31" i="44"/>
  <c r="N33" i="44"/>
  <c r="M6" i="44"/>
  <c r="L6" i="44"/>
  <c r="L31" i="44"/>
  <c r="K6" i="44"/>
  <c r="K31" i="44"/>
  <c r="K33" i="44"/>
  <c r="J6" i="44"/>
  <c r="J31" i="44"/>
  <c r="J33" i="44"/>
  <c r="I9" i="57"/>
  <c r="S11" i="57"/>
  <c r="S6" i="57"/>
  <c r="S31" i="57"/>
  <c r="S33" i="57"/>
  <c r="N11" i="57"/>
  <c r="N6" i="57"/>
  <c r="N31" i="57"/>
  <c r="N33" i="57"/>
  <c r="M9" i="49"/>
  <c r="M8" i="49"/>
  <c r="M21" i="49"/>
  <c r="S31" i="49"/>
  <c r="S33" i="49"/>
  <c r="S11" i="49"/>
  <c r="S6" i="49"/>
  <c r="N31" i="49"/>
  <c r="N33" i="49"/>
  <c r="N11" i="49"/>
  <c r="N6" i="49"/>
  <c r="M37" i="54"/>
  <c r="H36" i="54"/>
  <c r="H35" i="54"/>
  <c r="H34" i="54"/>
  <c r="W32" i="54"/>
  <c r="R32" i="54"/>
  <c r="M32" i="54"/>
  <c r="I32" i="54"/>
  <c r="G32" i="54"/>
  <c r="H32" i="54"/>
  <c r="F32" i="54"/>
  <c r="E32" i="54"/>
  <c r="W30" i="54"/>
  <c r="R30" i="54"/>
  <c r="M30" i="54"/>
  <c r="I30" i="54"/>
  <c r="G30" i="54"/>
  <c r="H30" i="54"/>
  <c r="F30" i="54"/>
  <c r="E30" i="54"/>
  <c r="W29" i="54"/>
  <c r="R29" i="54"/>
  <c r="M29" i="54"/>
  <c r="I29" i="54"/>
  <c r="G29" i="54"/>
  <c r="H29" i="54"/>
  <c r="F29" i="54"/>
  <c r="E29" i="54"/>
  <c r="W28" i="54"/>
  <c r="R28" i="54"/>
  <c r="M28" i="54"/>
  <c r="I28" i="54"/>
  <c r="G28" i="54"/>
  <c r="H28" i="54"/>
  <c r="F28" i="54"/>
  <c r="E28" i="54"/>
  <c r="W27" i="54"/>
  <c r="R27" i="54"/>
  <c r="M27" i="54"/>
  <c r="I27" i="54"/>
  <c r="G27" i="54"/>
  <c r="H27" i="54"/>
  <c r="F27" i="54"/>
  <c r="E27" i="54"/>
  <c r="W26" i="54"/>
  <c r="R26" i="54"/>
  <c r="M26" i="54"/>
  <c r="I26" i="54"/>
  <c r="G26" i="54"/>
  <c r="H26" i="54"/>
  <c r="F26" i="54"/>
  <c r="E26" i="54"/>
  <c r="W25" i="54"/>
  <c r="R25" i="54"/>
  <c r="M25" i="54"/>
  <c r="I25" i="54"/>
  <c r="G25" i="54"/>
  <c r="H25" i="54"/>
  <c r="F25" i="54"/>
  <c r="E25" i="54"/>
  <c r="W24" i="54"/>
  <c r="R24" i="54"/>
  <c r="M24" i="54"/>
  <c r="I24" i="54"/>
  <c r="G24" i="54"/>
  <c r="H24" i="54"/>
  <c r="F24" i="54"/>
  <c r="E24" i="54"/>
  <c r="W23" i="54"/>
  <c r="R23" i="54"/>
  <c r="M23" i="54"/>
  <c r="I23" i="54"/>
  <c r="G23" i="54"/>
  <c r="H23" i="54"/>
  <c r="F23" i="54"/>
  <c r="E23" i="54"/>
  <c r="W22" i="54"/>
  <c r="R22" i="54"/>
  <c r="M22" i="54"/>
  <c r="I22" i="54"/>
  <c r="G22" i="54"/>
  <c r="H22" i="54"/>
  <c r="F22" i="54"/>
  <c r="E22" i="54"/>
  <c r="W21" i="54"/>
  <c r="R21" i="54"/>
  <c r="M21" i="54"/>
  <c r="I21" i="54"/>
  <c r="G21" i="54"/>
  <c r="H21" i="54"/>
  <c r="F21" i="54"/>
  <c r="E21" i="54"/>
  <c r="W20" i="54"/>
  <c r="R20" i="54"/>
  <c r="M20" i="54"/>
  <c r="I20" i="54"/>
  <c r="G20" i="54"/>
  <c r="H20" i="54"/>
  <c r="F20" i="54"/>
  <c r="E20" i="54"/>
  <c r="W19" i="54"/>
  <c r="R19" i="54"/>
  <c r="M19" i="54"/>
  <c r="I19" i="54"/>
  <c r="G19" i="54"/>
  <c r="H19" i="54"/>
  <c r="F19" i="54"/>
  <c r="E19" i="54"/>
  <c r="W18" i="54"/>
  <c r="R18" i="54"/>
  <c r="M18" i="54"/>
  <c r="I18" i="54"/>
  <c r="G18" i="54"/>
  <c r="H18" i="54"/>
  <c r="F18" i="54"/>
  <c r="E18" i="54"/>
  <c r="W17" i="54"/>
  <c r="R17" i="54"/>
  <c r="M17" i="54"/>
  <c r="I17" i="54"/>
  <c r="G17" i="54"/>
  <c r="H17" i="54"/>
  <c r="F17" i="54"/>
  <c r="E17" i="54"/>
  <c r="W16" i="54"/>
  <c r="R16" i="54"/>
  <c r="M16" i="54"/>
  <c r="I16" i="54"/>
  <c r="G16" i="54"/>
  <c r="H16" i="54"/>
  <c r="F16" i="54"/>
  <c r="E16" i="54"/>
  <c r="W15" i="54"/>
  <c r="R15" i="54"/>
  <c r="M15" i="54"/>
  <c r="I15" i="54"/>
  <c r="G15" i="54"/>
  <c r="H15" i="54"/>
  <c r="F15" i="54"/>
  <c r="E15" i="54"/>
  <c r="W14" i="54"/>
  <c r="R14" i="54"/>
  <c r="M14" i="54"/>
  <c r="I14" i="54"/>
  <c r="G14" i="54"/>
  <c r="H14" i="54"/>
  <c r="F14" i="54"/>
  <c r="E14" i="54"/>
  <c r="W13" i="54"/>
  <c r="R13" i="54"/>
  <c r="M13" i="54"/>
  <c r="I13" i="54"/>
  <c r="G13" i="54"/>
  <c r="H13" i="54"/>
  <c r="F13" i="54"/>
  <c r="E13" i="54"/>
  <c r="W12" i="54"/>
  <c r="R12" i="54"/>
  <c r="M12" i="54"/>
  <c r="I12" i="54"/>
  <c r="G12" i="54"/>
  <c r="H12" i="54"/>
  <c r="F12" i="54"/>
  <c r="E12" i="54"/>
  <c r="X11" i="54"/>
  <c r="V11" i="54"/>
  <c r="W11" i="54"/>
  <c r="U11" i="54"/>
  <c r="T11" i="54"/>
  <c r="S11" i="54"/>
  <c r="Q11" i="54"/>
  <c r="R11" i="54"/>
  <c r="P11" i="54"/>
  <c r="O11" i="54"/>
  <c r="N11" i="54"/>
  <c r="L11" i="54"/>
  <c r="K11" i="54"/>
  <c r="M11" i="54"/>
  <c r="J11" i="54"/>
  <c r="I11" i="54"/>
  <c r="G11" i="54"/>
  <c r="H11" i="54"/>
  <c r="F11" i="54"/>
  <c r="E11" i="54"/>
  <c r="W10" i="54"/>
  <c r="R10" i="54"/>
  <c r="M10" i="54"/>
  <c r="I10" i="54"/>
  <c r="G10" i="54"/>
  <c r="H10" i="54"/>
  <c r="F10" i="54"/>
  <c r="E10" i="54"/>
  <c r="W9" i="54"/>
  <c r="R9" i="54"/>
  <c r="M9" i="54"/>
  <c r="I9" i="54"/>
  <c r="G9" i="54"/>
  <c r="H9" i="54"/>
  <c r="F9" i="54"/>
  <c r="E9" i="54"/>
  <c r="W8" i="54"/>
  <c r="R8" i="54"/>
  <c r="M8" i="54"/>
  <c r="I8" i="54"/>
  <c r="G8" i="54"/>
  <c r="H8" i="54"/>
  <c r="F8" i="54"/>
  <c r="E8" i="54"/>
  <c r="W7" i="54"/>
  <c r="R7" i="54"/>
  <c r="M7" i="54"/>
  <c r="I7" i="54"/>
  <c r="G7" i="54"/>
  <c r="H7" i="54"/>
  <c r="F7" i="54"/>
  <c r="E7" i="54"/>
  <c r="X6" i="54"/>
  <c r="X31" i="54"/>
  <c r="X33" i="54"/>
  <c r="V6" i="54"/>
  <c r="W6" i="54"/>
  <c r="U6" i="54"/>
  <c r="U31" i="54"/>
  <c r="U33" i="54"/>
  <c r="T6" i="54"/>
  <c r="T31" i="54"/>
  <c r="T33" i="54"/>
  <c r="S6" i="54"/>
  <c r="S31" i="54"/>
  <c r="S33" i="54"/>
  <c r="Q6" i="54"/>
  <c r="R6" i="54"/>
  <c r="P6" i="54"/>
  <c r="P31" i="54"/>
  <c r="P33" i="54"/>
  <c r="O6" i="54"/>
  <c r="O31" i="54"/>
  <c r="O33" i="54"/>
  <c r="N6" i="54"/>
  <c r="N31" i="54"/>
  <c r="N33" i="54"/>
  <c r="L6" i="54"/>
  <c r="L31" i="54"/>
  <c r="K6" i="54"/>
  <c r="K31" i="54"/>
  <c r="K33" i="54"/>
  <c r="J6" i="54"/>
  <c r="J31" i="54"/>
  <c r="J33" i="54"/>
  <c r="I6" i="54"/>
  <c r="I31" i="54"/>
  <c r="I33" i="54"/>
  <c r="G6" i="54"/>
  <c r="H6" i="54"/>
  <c r="F6" i="54"/>
  <c r="F31" i="54"/>
  <c r="F33" i="54"/>
  <c r="E6" i="54"/>
  <c r="E31" i="54"/>
  <c r="E33" i="54"/>
  <c r="M37" i="53"/>
  <c r="H36" i="53"/>
  <c r="H35" i="53"/>
  <c r="W32" i="53"/>
  <c r="R32" i="53"/>
  <c r="M32" i="53"/>
  <c r="I32" i="53"/>
  <c r="H32" i="53"/>
  <c r="G32" i="53"/>
  <c r="F32" i="53"/>
  <c r="E32" i="53"/>
  <c r="W30" i="53"/>
  <c r="R30" i="53"/>
  <c r="M30" i="53"/>
  <c r="I30" i="53"/>
  <c r="H30" i="53"/>
  <c r="G30" i="53"/>
  <c r="F30" i="53"/>
  <c r="E30" i="53"/>
  <c r="W29" i="53"/>
  <c r="R29" i="53"/>
  <c r="M29" i="53"/>
  <c r="I29" i="53"/>
  <c r="G29" i="53"/>
  <c r="G11" i="53"/>
  <c r="H11" i="53"/>
  <c r="F29" i="53"/>
  <c r="E29" i="53"/>
  <c r="W28" i="53"/>
  <c r="R28" i="53"/>
  <c r="M28" i="53"/>
  <c r="I28" i="53"/>
  <c r="H28" i="53"/>
  <c r="G28" i="53"/>
  <c r="F28" i="53"/>
  <c r="E28" i="53"/>
  <c r="W27" i="53"/>
  <c r="R27" i="53"/>
  <c r="M27" i="53"/>
  <c r="I27" i="53"/>
  <c r="H27" i="53"/>
  <c r="G27" i="53"/>
  <c r="F27" i="53"/>
  <c r="E27" i="53"/>
  <c r="W26" i="53"/>
  <c r="R26" i="53"/>
  <c r="M26" i="53"/>
  <c r="I26" i="53"/>
  <c r="H26" i="53"/>
  <c r="G26" i="53"/>
  <c r="F26" i="53"/>
  <c r="E26" i="53"/>
  <c r="W25" i="53"/>
  <c r="R25" i="53"/>
  <c r="M25" i="53"/>
  <c r="I25" i="53"/>
  <c r="H25" i="53"/>
  <c r="G25" i="53"/>
  <c r="F25" i="53"/>
  <c r="E25" i="53"/>
  <c r="W24" i="53"/>
  <c r="R24" i="53"/>
  <c r="M24" i="53"/>
  <c r="I24" i="53"/>
  <c r="H24" i="53"/>
  <c r="G24" i="53"/>
  <c r="F24" i="53"/>
  <c r="E24" i="53"/>
  <c r="W23" i="53"/>
  <c r="R23" i="53"/>
  <c r="M23" i="53"/>
  <c r="I23" i="53"/>
  <c r="H23" i="53"/>
  <c r="G23" i="53"/>
  <c r="F23" i="53"/>
  <c r="E23" i="53"/>
  <c r="W22" i="53"/>
  <c r="R22" i="53"/>
  <c r="M22" i="53"/>
  <c r="I22" i="53"/>
  <c r="H22" i="53"/>
  <c r="G22" i="53"/>
  <c r="F22" i="53"/>
  <c r="E22" i="53"/>
  <c r="W21" i="53"/>
  <c r="R21" i="53"/>
  <c r="M21" i="53"/>
  <c r="I21" i="53"/>
  <c r="H21" i="53"/>
  <c r="G21" i="53"/>
  <c r="F21" i="53"/>
  <c r="E21" i="53"/>
  <c r="W20" i="53"/>
  <c r="R20" i="53"/>
  <c r="M20" i="53"/>
  <c r="I20" i="53"/>
  <c r="H20" i="53"/>
  <c r="G20" i="53"/>
  <c r="F20" i="53"/>
  <c r="E20" i="53"/>
  <c r="W19" i="53"/>
  <c r="R19" i="53"/>
  <c r="M19" i="53"/>
  <c r="I19" i="53"/>
  <c r="H19" i="53"/>
  <c r="G19" i="53"/>
  <c r="G34" i="53"/>
  <c r="H34" i="53"/>
  <c r="F19" i="53"/>
  <c r="F34" i="53"/>
  <c r="E19" i="53"/>
  <c r="E34" i="53"/>
  <c r="W18" i="53"/>
  <c r="R18" i="53"/>
  <c r="M18" i="53"/>
  <c r="I18" i="53"/>
  <c r="H18" i="53"/>
  <c r="G18" i="53"/>
  <c r="F18" i="53"/>
  <c r="E18" i="53"/>
  <c r="W17" i="53"/>
  <c r="R17" i="53"/>
  <c r="M17" i="53"/>
  <c r="I17" i="53"/>
  <c r="H17" i="53"/>
  <c r="G17" i="53"/>
  <c r="F17" i="53"/>
  <c r="E17" i="53"/>
  <c r="W16" i="53"/>
  <c r="R16" i="53"/>
  <c r="M16" i="53"/>
  <c r="I16" i="53"/>
  <c r="H16" i="53"/>
  <c r="G16" i="53"/>
  <c r="F16" i="53"/>
  <c r="E16" i="53"/>
  <c r="W15" i="53"/>
  <c r="R15" i="53"/>
  <c r="M15" i="53"/>
  <c r="I15" i="53"/>
  <c r="H15" i="53"/>
  <c r="G15" i="53"/>
  <c r="F15" i="53"/>
  <c r="E15" i="53"/>
  <c r="W14" i="53"/>
  <c r="R14" i="53"/>
  <c r="M14" i="53"/>
  <c r="I14" i="53"/>
  <c r="H14" i="53"/>
  <c r="G14" i="53"/>
  <c r="F14" i="53"/>
  <c r="E14" i="53"/>
  <c r="W13" i="53"/>
  <c r="R13" i="53"/>
  <c r="M13" i="53"/>
  <c r="I13" i="53"/>
  <c r="I11" i="53"/>
  <c r="H13" i="53"/>
  <c r="G13" i="53"/>
  <c r="F13" i="53"/>
  <c r="E13" i="53"/>
  <c r="W12" i="53"/>
  <c r="R12" i="53"/>
  <c r="M12" i="53"/>
  <c r="I12" i="53"/>
  <c r="H12" i="53"/>
  <c r="G12" i="53"/>
  <c r="F12" i="53"/>
  <c r="E12" i="53"/>
  <c r="X11" i="53"/>
  <c r="V11" i="53"/>
  <c r="W11" i="53"/>
  <c r="U11" i="53"/>
  <c r="T11" i="53"/>
  <c r="S11" i="53"/>
  <c r="Q11" i="53"/>
  <c r="R11" i="53"/>
  <c r="P11" i="53"/>
  <c r="O11" i="53"/>
  <c r="N11" i="53"/>
  <c r="L11" i="53"/>
  <c r="M11" i="53"/>
  <c r="K11" i="53"/>
  <c r="J11" i="53"/>
  <c r="F11" i="53"/>
  <c r="E11" i="53"/>
  <c r="W10" i="53"/>
  <c r="R10" i="53"/>
  <c r="M10" i="53"/>
  <c r="G10" i="53"/>
  <c r="F10" i="53"/>
  <c r="E10" i="53"/>
  <c r="W9" i="53"/>
  <c r="R9" i="53"/>
  <c r="M9" i="53"/>
  <c r="I9" i="53"/>
  <c r="H9" i="53"/>
  <c r="G9" i="53"/>
  <c r="F9" i="53"/>
  <c r="E9" i="53"/>
  <c r="W8" i="53"/>
  <c r="R8" i="53"/>
  <c r="M8" i="53"/>
  <c r="I8" i="53"/>
  <c r="H8" i="53"/>
  <c r="G8" i="53"/>
  <c r="F8" i="53"/>
  <c r="E8" i="53"/>
  <c r="W7" i="53"/>
  <c r="R7" i="53"/>
  <c r="M7" i="53"/>
  <c r="I7" i="53"/>
  <c r="H7" i="53"/>
  <c r="G7" i="53"/>
  <c r="F7" i="53"/>
  <c r="E7" i="53"/>
  <c r="X6" i="53"/>
  <c r="X31" i="53"/>
  <c r="X33" i="53"/>
  <c r="V6" i="53"/>
  <c r="W6" i="53"/>
  <c r="U6" i="53"/>
  <c r="U31" i="53"/>
  <c r="U33" i="53"/>
  <c r="T6" i="53"/>
  <c r="T31" i="53"/>
  <c r="T33" i="53"/>
  <c r="S6" i="53"/>
  <c r="S31" i="53"/>
  <c r="S33" i="53"/>
  <c r="Q6" i="53"/>
  <c r="R6" i="53"/>
  <c r="P6" i="53"/>
  <c r="P31" i="53"/>
  <c r="P33" i="53"/>
  <c r="O6" i="53"/>
  <c r="O31" i="53"/>
  <c r="O33" i="53"/>
  <c r="N6" i="53"/>
  <c r="M6" i="53"/>
  <c r="L6" i="53"/>
  <c r="K6" i="53"/>
  <c r="K31" i="53"/>
  <c r="K33" i="53"/>
  <c r="J6" i="53"/>
  <c r="J31" i="53"/>
  <c r="J33" i="53"/>
  <c r="I6" i="53"/>
  <c r="H6" i="53"/>
  <c r="G6" i="53"/>
  <c r="F6" i="53"/>
  <c r="F31" i="53"/>
  <c r="F33" i="53"/>
  <c r="E6" i="53"/>
  <c r="S11" i="51"/>
  <c r="S31" i="51"/>
  <c r="S33" i="51"/>
  <c r="S6" i="51"/>
  <c r="N11" i="51"/>
  <c r="N31" i="51"/>
  <c r="N33" i="51"/>
  <c r="N6" i="51"/>
  <c r="M37" i="56"/>
  <c r="H36" i="56"/>
  <c r="H35" i="56"/>
  <c r="H34" i="56"/>
  <c r="W32" i="56"/>
  <c r="R32" i="56"/>
  <c r="M32" i="56"/>
  <c r="I32" i="56"/>
  <c r="H32" i="56"/>
  <c r="G32" i="56"/>
  <c r="F32" i="56"/>
  <c r="E32" i="56"/>
  <c r="W30" i="56"/>
  <c r="R30" i="56"/>
  <c r="M30" i="56"/>
  <c r="I30" i="56"/>
  <c r="H30" i="56"/>
  <c r="G30" i="56"/>
  <c r="F30" i="56"/>
  <c r="E30" i="56"/>
  <c r="W29" i="56"/>
  <c r="R29" i="56"/>
  <c r="M29" i="56"/>
  <c r="I29" i="56"/>
  <c r="H29" i="56"/>
  <c r="G29" i="56"/>
  <c r="F29" i="56"/>
  <c r="E29" i="56"/>
  <c r="W28" i="56"/>
  <c r="R28" i="56"/>
  <c r="L28" i="56"/>
  <c r="K28" i="56"/>
  <c r="M28" i="56"/>
  <c r="I28" i="56"/>
  <c r="G28" i="56"/>
  <c r="F28" i="56"/>
  <c r="H28" i="56"/>
  <c r="E28" i="56"/>
  <c r="W27" i="56"/>
  <c r="R27" i="56"/>
  <c r="M27" i="56"/>
  <c r="L27" i="56"/>
  <c r="K27" i="56"/>
  <c r="I27" i="56"/>
  <c r="H27" i="56"/>
  <c r="G27" i="56"/>
  <c r="F27" i="56"/>
  <c r="E27" i="56"/>
  <c r="W26" i="56"/>
  <c r="V26" i="56"/>
  <c r="R26" i="56"/>
  <c r="L26" i="56"/>
  <c r="M26" i="56"/>
  <c r="I26" i="56"/>
  <c r="F26" i="56"/>
  <c r="E26" i="56"/>
  <c r="W25" i="56"/>
  <c r="R25" i="56"/>
  <c r="M25" i="56"/>
  <c r="I25" i="56"/>
  <c r="G25" i="56"/>
  <c r="F25" i="56"/>
  <c r="H25" i="56"/>
  <c r="E25" i="56"/>
  <c r="W24" i="56"/>
  <c r="R24" i="56"/>
  <c r="M24" i="56"/>
  <c r="I24" i="56"/>
  <c r="G24" i="56"/>
  <c r="F24" i="56"/>
  <c r="H24" i="56"/>
  <c r="E24" i="56"/>
  <c r="W23" i="56"/>
  <c r="R23" i="56"/>
  <c r="M23" i="56"/>
  <c r="I23" i="56"/>
  <c r="G23" i="56"/>
  <c r="F23" i="56"/>
  <c r="H23" i="56"/>
  <c r="E23" i="56"/>
  <c r="W22" i="56"/>
  <c r="R22" i="56"/>
  <c r="M22" i="56"/>
  <c r="I22" i="56"/>
  <c r="G22" i="56"/>
  <c r="F22" i="56"/>
  <c r="H22" i="56"/>
  <c r="E22" i="56"/>
  <c r="W21" i="56"/>
  <c r="Q21" i="56"/>
  <c r="G21" i="56"/>
  <c r="H21" i="56"/>
  <c r="M21" i="56"/>
  <c r="L21" i="56"/>
  <c r="K21" i="56"/>
  <c r="I21" i="56"/>
  <c r="F21" i="56"/>
  <c r="E21" i="56"/>
  <c r="W20" i="56"/>
  <c r="R20" i="56"/>
  <c r="Q20" i="56"/>
  <c r="M20" i="56"/>
  <c r="L20" i="56"/>
  <c r="K20" i="56"/>
  <c r="I20" i="56"/>
  <c r="H20" i="56"/>
  <c r="G20" i="56"/>
  <c r="F20" i="56"/>
  <c r="E20" i="56"/>
  <c r="W19" i="56"/>
  <c r="V19" i="56"/>
  <c r="R19" i="56"/>
  <c r="Q19" i="56"/>
  <c r="M19" i="56"/>
  <c r="L19" i="56"/>
  <c r="K19" i="56"/>
  <c r="I19" i="56"/>
  <c r="H19" i="56"/>
  <c r="G19" i="56"/>
  <c r="F19" i="56"/>
  <c r="E19" i="56"/>
  <c r="W18" i="56"/>
  <c r="V18" i="56"/>
  <c r="R18" i="56"/>
  <c r="L18" i="56"/>
  <c r="M18" i="56"/>
  <c r="K18" i="56"/>
  <c r="I18" i="56"/>
  <c r="G18" i="56"/>
  <c r="H18" i="56"/>
  <c r="F18" i="56"/>
  <c r="E18" i="56"/>
  <c r="W17" i="56"/>
  <c r="R17" i="56"/>
  <c r="M17" i="56"/>
  <c r="K17" i="56"/>
  <c r="I17" i="56"/>
  <c r="H17" i="56"/>
  <c r="G17" i="56"/>
  <c r="F17" i="56"/>
  <c r="E17" i="56"/>
  <c r="W16" i="56"/>
  <c r="R16" i="56"/>
  <c r="L16" i="56"/>
  <c r="K16" i="56"/>
  <c r="M16" i="56"/>
  <c r="I16" i="56"/>
  <c r="G16" i="56"/>
  <c r="F16" i="56"/>
  <c r="H16" i="56"/>
  <c r="E16" i="56"/>
  <c r="W15" i="56"/>
  <c r="R15" i="56"/>
  <c r="M15" i="56"/>
  <c r="I15" i="56"/>
  <c r="G15" i="56"/>
  <c r="F15" i="56"/>
  <c r="H15" i="56"/>
  <c r="E15" i="56"/>
  <c r="W14" i="56"/>
  <c r="R14" i="56"/>
  <c r="M14" i="56"/>
  <c r="I14" i="56"/>
  <c r="G14" i="56"/>
  <c r="F14" i="56"/>
  <c r="H14" i="56"/>
  <c r="E14" i="56"/>
  <c r="W13" i="56"/>
  <c r="V13" i="56"/>
  <c r="R13" i="56"/>
  <c r="M13" i="56"/>
  <c r="L13" i="56"/>
  <c r="K13" i="56"/>
  <c r="I13" i="56"/>
  <c r="H13" i="56"/>
  <c r="G13" i="56"/>
  <c r="F13" i="56"/>
  <c r="E13" i="56"/>
  <c r="W12" i="56"/>
  <c r="V12" i="56"/>
  <c r="V11" i="56"/>
  <c r="W11" i="56"/>
  <c r="Q12" i="56"/>
  <c r="G12" i="56"/>
  <c r="M12" i="56"/>
  <c r="L12" i="56"/>
  <c r="K12" i="56"/>
  <c r="I12" i="56"/>
  <c r="F12" i="56"/>
  <c r="E12" i="56"/>
  <c r="X11" i="56"/>
  <c r="U11" i="56"/>
  <c r="T11" i="56"/>
  <c r="S11" i="56"/>
  <c r="Q11" i="56"/>
  <c r="R11" i="56"/>
  <c r="P11" i="56"/>
  <c r="O11" i="56"/>
  <c r="N11" i="56"/>
  <c r="L11" i="56"/>
  <c r="J11" i="56"/>
  <c r="I11" i="56"/>
  <c r="E11" i="56"/>
  <c r="W10" i="56"/>
  <c r="R10" i="56"/>
  <c r="M10" i="56"/>
  <c r="I10" i="56"/>
  <c r="H10" i="56"/>
  <c r="G10" i="56"/>
  <c r="F10" i="56"/>
  <c r="E10" i="56"/>
  <c r="W9" i="56"/>
  <c r="R9" i="56"/>
  <c r="Q9" i="56"/>
  <c r="M9" i="56"/>
  <c r="I9" i="56"/>
  <c r="G9" i="56"/>
  <c r="F9" i="56"/>
  <c r="H9" i="56"/>
  <c r="E9" i="56"/>
  <c r="W8" i="56"/>
  <c r="R8" i="56"/>
  <c r="M8" i="56"/>
  <c r="I8" i="56"/>
  <c r="I6" i="56"/>
  <c r="I31" i="56"/>
  <c r="I33" i="56"/>
  <c r="G8" i="56"/>
  <c r="F8" i="56"/>
  <c r="H8" i="56"/>
  <c r="E8" i="56"/>
  <c r="E6" i="56"/>
  <c r="E31" i="56"/>
  <c r="E33" i="56"/>
  <c r="W7" i="56"/>
  <c r="V7" i="56"/>
  <c r="R7" i="56"/>
  <c r="M7" i="56"/>
  <c r="K7" i="56"/>
  <c r="I7" i="56"/>
  <c r="H7" i="56"/>
  <c r="G7" i="56"/>
  <c r="F7" i="56"/>
  <c r="E7" i="56"/>
  <c r="X6" i="56"/>
  <c r="X31" i="56"/>
  <c r="X33" i="56"/>
  <c r="W6" i="56"/>
  <c r="V6" i="56"/>
  <c r="V31" i="56"/>
  <c r="U6" i="56"/>
  <c r="U31" i="56"/>
  <c r="U33" i="56"/>
  <c r="T6" i="56"/>
  <c r="T31" i="56"/>
  <c r="T33" i="56"/>
  <c r="S6" i="56"/>
  <c r="S31" i="56"/>
  <c r="S33" i="56"/>
  <c r="Q6" i="56"/>
  <c r="Q31" i="56"/>
  <c r="P6" i="56"/>
  <c r="P31" i="56"/>
  <c r="P33" i="56"/>
  <c r="O6" i="56"/>
  <c r="O31" i="56"/>
  <c r="O33" i="56"/>
  <c r="N6" i="56"/>
  <c r="N31" i="56"/>
  <c r="N33" i="56"/>
  <c r="L6" i="56"/>
  <c r="L31" i="56"/>
  <c r="K6" i="56"/>
  <c r="J6" i="56"/>
  <c r="J31" i="56"/>
  <c r="J33" i="56"/>
  <c r="G6" i="56"/>
  <c r="M32" i="58"/>
  <c r="M30" i="58"/>
  <c r="M29" i="58"/>
  <c r="M28" i="58"/>
  <c r="M27" i="58"/>
  <c r="M26" i="58"/>
  <c r="M25" i="58"/>
  <c r="M24" i="58"/>
  <c r="M23" i="58"/>
  <c r="M22" i="58"/>
  <c r="M21" i="58"/>
  <c r="M19" i="58"/>
  <c r="M18" i="58"/>
  <c r="M17" i="58"/>
  <c r="M16" i="58"/>
  <c r="M15" i="58"/>
  <c r="M14" i="58"/>
  <c r="M13" i="58"/>
  <c r="M12" i="58"/>
  <c r="W30" i="58"/>
  <c r="W29" i="58"/>
  <c r="W28" i="58"/>
  <c r="W27" i="58"/>
  <c r="W26" i="58"/>
  <c r="W25" i="58"/>
  <c r="W24" i="58"/>
  <c r="W23" i="58"/>
  <c r="W22" i="58"/>
  <c r="W21" i="58"/>
  <c r="W20" i="58"/>
  <c r="W19" i="58"/>
  <c r="W18" i="58"/>
  <c r="W17" i="58"/>
  <c r="W16" i="58"/>
  <c r="W15" i="58"/>
  <c r="W14" i="58"/>
  <c r="W13" i="58"/>
  <c r="W12" i="58"/>
  <c r="W9" i="58"/>
  <c r="W8" i="58"/>
  <c r="R30" i="58"/>
  <c r="R29" i="58"/>
  <c r="R28" i="58"/>
  <c r="R27" i="58"/>
  <c r="R26" i="58"/>
  <c r="R25" i="58"/>
  <c r="R24" i="58"/>
  <c r="R23" i="58"/>
  <c r="R22" i="58"/>
  <c r="R21" i="58"/>
  <c r="R20" i="58"/>
  <c r="R19" i="58"/>
  <c r="R18" i="58"/>
  <c r="R17" i="58"/>
  <c r="R16" i="58"/>
  <c r="R15" i="58"/>
  <c r="R14" i="58"/>
  <c r="R13" i="58"/>
  <c r="R12" i="58"/>
  <c r="R8" i="58"/>
  <c r="R7" i="58"/>
  <c r="X11" i="58"/>
  <c r="X31" i="58"/>
  <c r="X33" i="58"/>
  <c r="X6" i="58"/>
  <c r="S11" i="58"/>
  <c r="S31" i="58"/>
  <c r="S33" i="58"/>
  <c r="S6" i="58"/>
  <c r="N11" i="58"/>
  <c r="N31" i="58"/>
  <c r="N6" i="58"/>
  <c r="M38" i="61"/>
  <c r="H37" i="61"/>
  <c r="H36" i="61"/>
  <c r="H35" i="61"/>
  <c r="W33" i="61"/>
  <c r="R33" i="61"/>
  <c r="M33" i="61"/>
  <c r="I33" i="61"/>
  <c r="G33" i="61"/>
  <c r="H33" i="61"/>
  <c r="F33" i="61"/>
  <c r="E33" i="61"/>
  <c r="W31" i="61"/>
  <c r="R31" i="61"/>
  <c r="M31" i="61"/>
  <c r="I31" i="61"/>
  <c r="G31" i="61"/>
  <c r="H31" i="61"/>
  <c r="F31" i="61"/>
  <c r="E31" i="61"/>
  <c r="W30" i="61"/>
  <c r="R30" i="61"/>
  <c r="M30" i="61"/>
  <c r="I30" i="61"/>
  <c r="G30" i="61"/>
  <c r="H30" i="61"/>
  <c r="F30" i="61"/>
  <c r="E30" i="61"/>
  <c r="W29" i="61"/>
  <c r="R29" i="61"/>
  <c r="M29" i="61"/>
  <c r="I29" i="61"/>
  <c r="G29" i="61"/>
  <c r="H29" i="61"/>
  <c r="F29" i="61"/>
  <c r="E29" i="61"/>
  <c r="W28" i="61"/>
  <c r="R28" i="61"/>
  <c r="M28" i="61"/>
  <c r="I28" i="61"/>
  <c r="G28" i="61"/>
  <c r="H28" i="61"/>
  <c r="F28" i="61"/>
  <c r="E28" i="61"/>
  <c r="W27" i="61"/>
  <c r="R27" i="61"/>
  <c r="M27" i="61"/>
  <c r="I27" i="61"/>
  <c r="G27" i="61"/>
  <c r="H27" i="61"/>
  <c r="F27" i="61"/>
  <c r="E27" i="61"/>
  <c r="W26" i="61"/>
  <c r="R26" i="61"/>
  <c r="M26" i="61"/>
  <c r="I26" i="61"/>
  <c r="G26" i="61"/>
  <c r="H26" i="61"/>
  <c r="F26" i="61"/>
  <c r="E26" i="61"/>
  <c r="W25" i="61"/>
  <c r="R25" i="61"/>
  <c r="M25" i="61"/>
  <c r="I25" i="61"/>
  <c r="G25" i="61"/>
  <c r="H25" i="61"/>
  <c r="F25" i="61"/>
  <c r="E25" i="61"/>
  <c r="W24" i="61"/>
  <c r="R24" i="61"/>
  <c r="M24" i="61"/>
  <c r="I24" i="61"/>
  <c r="G24" i="61"/>
  <c r="H24" i="61"/>
  <c r="F24" i="61"/>
  <c r="E24" i="61"/>
  <c r="W23" i="61"/>
  <c r="R23" i="61"/>
  <c r="M23" i="61"/>
  <c r="I23" i="61"/>
  <c r="G23" i="61"/>
  <c r="H23" i="61"/>
  <c r="F23" i="61"/>
  <c r="E23" i="61"/>
  <c r="W22" i="61"/>
  <c r="R22" i="61"/>
  <c r="M22" i="61"/>
  <c r="I22" i="61"/>
  <c r="G22" i="61"/>
  <c r="H22" i="61"/>
  <c r="F22" i="61"/>
  <c r="E22" i="61"/>
  <c r="W21" i="61"/>
  <c r="R21" i="61"/>
  <c r="M21" i="61"/>
  <c r="I21" i="61"/>
  <c r="G21" i="61"/>
  <c r="H21" i="61"/>
  <c r="F21" i="61"/>
  <c r="E21" i="61"/>
  <c r="W20" i="61"/>
  <c r="R20" i="61"/>
  <c r="M20" i="61"/>
  <c r="I20" i="61"/>
  <c r="G20" i="61"/>
  <c r="H20" i="61"/>
  <c r="F20" i="61"/>
  <c r="E20" i="61"/>
  <c r="W19" i="61"/>
  <c r="R19" i="61"/>
  <c r="M19" i="61"/>
  <c r="I19" i="61"/>
  <c r="G19" i="61"/>
  <c r="H19" i="61"/>
  <c r="F19" i="61"/>
  <c r="E19" i="61"/>
  <c r="W18" i="61"/>
  <c r="R18" i="61"/>
  <c r="M18" i="61"/>
  <c r="I18" i="61"/>
  <c r="G18" i="61"/>
  <c r="H18" i="61"/>
  <c r="F18" i="61"/>
  <c r="E18" i="61"/>
  <c r="W17" i="61"/>
  <c r="R17" i="61"/>
  <c r="M17" i="61"/>
  <c r="I17" i="61"/>
  <c r="G17" i="61"/>
  <c r="H17" i="61"/>
  <c r="F17" i="61"/>
  <c r="E17" i="61"/>
  <c r="W16" i="61"/>
  <c r="R16" i="61"/>
  <c r="M16" i="61"/>
  <c r="I16" i="61"/>
  <c r="G16" i="61"/>
  <c r="H16" i="61"/>
  <c r="F16" i="61"/>
  <c r="E16" i="61"/>
  <c r="W15" i="61"/>
  <c r="R15" i="61"/>
  <c r="M15" i="61"/>
  <c r="I15" i="61"/>
  <c r="G15" i="61"/>
  <c r="H15" i="61"/>
  <c r="F15" i="61"/>
  <c r="E15" i="61"/>
  <c r="W14" i="61"/>
  <c r="R14" i="61"/>
  <c r="M14" i="61"/>
  <c r="I14" i="61"/>
  <c r="G14" i="61"/>
  <c r="H14" i="61"/>
  <c r="F14" i="61"/>
  <c r="E14" i="61"/>
  <c r="W13" i="61"/>
  <c r="R13" i="61"/>
  <c r="M13" i="61"/>
  <c r="I13" i="61"/>
  <c r="G13" i="61"/>
  <c r="H13" i="61"/>
  <c r="F13" i="61"/>
  <c r="E13" i="61"/>
  <c r="W12" i="61"/>
  <c r="R12" i="61"/>
  <c r="M12" i="61"/>
  <c r="I12" i="61"/>
  <c r="G12" i="61"/>
  <c r="H12" i="61"/>
  <c r="F12" i="61"/>
  <c r="E12" i="61"/>
  <c r="X11" i="61"/>
  <c r="W11" i="61"/>
  <c r="V11" i="61"/>
  <c r="U11" i="61"/>
  <c r="T11" i="61"/>
  <c r="S11" i="61"/>
  <c r="Q11" i="61"/>
  <c r="R11" i="61"/>
  <c r="P11" i="61"/>
  <c r="O11" i="61"/>
  <c r="N11" i="61"/>
  <c r="L11" i="61"/>
  <c r="K11" i="61"/>
  <c r="M11" i="61"/>
  <c r="J11" i="61"/>
  <c r="I11" i="61"/>
  <c r="G11" i="61"/>
  <c r="H11" i="61"/>
  <c r="F11" i="61"/>
  <c r="E11" i="61"/>
  <c r="W10" i="61"/>
  <c r="R10" i="61"/>
  <c r="M10" i="61"/>
  <c r="I10" i="61"/>
  <c r="G10" i="61"/>
  <c r="H10" i="61"/>
  <c r="F10" i="61"/>
  <c r="E10" i="61"/>
  <c r="W9" i="61"/>
  <c r="R9" i="61"/>
  <c r="M9" i="61"/>
  <c r="I9" i="61"/>
  <c r="G9" i="61"/>
  <c r="H9" i="61"/>
  <c r="F9" i="61"/>
  <c r="E9" i="61"/>
  <c r="W8" i="61"/>
  <c r="R8" i="61"/>
  <c r="M8" i="61"/>
  <c r="I8" i="61"/>
  <c r="G8" i="61"/>
  <c r="H8" i="61"/>
  <c r="F8" i="61"/>
  <c r="E8" i="61"/>
  <c r="W7" i="61"/>
  <c r="R7" i="61"/>
  <c r="M7" i="61"/>
  <c r="I7" i="61"/>
  <c r="G7" i="61"/>
  <c r="H7" i="61"/>
  <c r="F7" i="61"/>
  <c r="E7" i="61"/>
  <c r="X6" i="61"/>
  <c r="X32" i="61"/>
  <c r="X34" i="61"/>
  <c r="W6" i="61"/>
  <c r="V6" i="61"/>
  <c r="V32" i="61"/>
  <c r="U6" i="61"/>
  <c r="U32" i="61"/>
  <c r="U34" i="61"/>
  <c r="T6" i="61"/>
  <c r="T32" i="61"/>
  <c r="T34" i="61"/>
  <c r="S6" i="61"/>
  <c r="S32" i="61"/>
  <c r="S34" i="61"/>
  <c r="R6" i="61"/>
  <c r="Q6" i="61"/>
  <c r="Q32" i="61"/>
  <c r="P6" i="61"/>
  <c r="P32" i="61"/>
  <c r="P34" i="61"/>
  <c r="O6" i="61"/>
  <c r="O32" i="61"/>
  <c r="O34" i="61"/>
  <c r="N6" i="61"/>
  <c r="N32" i="61"/>
  <c r="N34" i="61"/>
  <c r="L6" i="61"/>
  <c r="L32" i="61"/>
  <c r="K6" i="61"/>
  <c r="K32" i="61"/>
  <c r="K34" i="61"/>
  <c r="J6" i="61"/>
  <c r="J32" i="61"/>
  <c r="J34" i="61"/>
  <c r="I6" i="61"/>
  <c r="I32" i="61"/>
  <c r="I34" i="61"/>
  <c r="G6" i="61"/>
  <c r="H6" i="61"/>
  <c r="F6" i="61"/>
  <c r="F32" i="61"/>
  <c r="F34" i="61"/>
  <c r="E6" i="61"/>
  <c r="E32" i="61"/>
  <c r="E34" i="61"/>
  <c r="W32" i="52"/>
  <c r="R32" i="52"/>
  <c r="M32" i="52"/>
  <c r="H32" i="52"/>
  <c r="W30" i="52"/>
  <c r="W29" i="52"/>
  <c r="W28" i="52"/>
  <c r="W27" i="52"/>
  <c r="W26" i="52"/>
  <c r="W25" i="52"/>
  <c r="W24" i="52"/>
  <c r="W23" i="52"/>
  <c r="W22" i="52"/>
  <c r="W21" i="52"/>
  <c r="W20" i="52"/>
  <c r="W19" i="52"/>
  <c r="W18" i="52"/>
  <c r="W17" i="52"/>
  <c r="W16" i="52"/>
  <c r="W15" i="52"/>
  <c r="W14" i="52"/>
  <c r="W9" i="52"/>
  <c r="W8" i="52"/>
  <c r="R30" i="52"/>
  <c r="R29" i="52"/>
  <c r="R28" i="52"/>
  <c r="R27" i="52"/>
  <c r="R26" i="52"/>
  <c r="R25" i="52"/>
  <c r="R24" i="52"/>
  <c r="R23" i="52"/>
  <c r="R22" i="52"/>
  <c r="R21" i="52"/>
  <c r="R20" i="52"/>
  <c r="R19" i="52"/>
  <c r="R18" i="52"/>
  <c r="R17" i="52"/>
  <c r="R16" i="52"/>
  <c r="R15" i="52"/>
  <c r="R14" i="52"/>
  <c r="R13" i="52"/>
  <c r="R12" i="52"/>
  <c r="R8" i="52"/>
  <c r="R7" i="52"/>
  <c r="H33" i="52"/>
  <c r="H31" i="52"/>
  <c r="H10" i="52"/>
  <c r="H30" i="52"/>
  <c r="H29" i="52"/>
  <c r="H28" i="52"/>
  <c r="H27" i="52"/>
  <c r="H26" i="52"/>
  <c r="H25" i="52"/>
  <c r="H24" i="52"/>
  <c r="H23" i="52"/>
  <c r="H22" i="52"/>
  <c r="R33" i="52"/>
  <c r="M33" i="52"/>
  <c r="M31" i="52"/>
  <c r="M30" i="52"/>
  <c r="M29" i="52"/>
  <c r="M28" i="52"/>
  <c r="M27" i="52"/>
  <c r="M26" i="52"/>
  <c r="M25" i="52"/>
  <c r="M24" i="52"/>
  <c r="M23" i="52"/>
  <c r="M22" i="52"/>
  <c r="M37" i="52"/>
  <c r="H36" i="52"/>
  <c r="H35" i="52"/>
  <c r="H34" i="52"/>
  <c r="I32" i="52"/>
  <c r="G32" i="52"/>
  <c r="F32" i="52"/>
  <c r="E32" i="52"/>
  <c r="I30" i="52"/>
  <c r="G30" i="52"/>
  <c r="F30" i="52"/>
  <c r="E30" i="52"/>
  <c r="I29" i="52"/>
  <c r="G29" i="52"/>
  <c r="F29" i="52"/>
  <c r="E29" i="52"/>
  <c r="I28" i="52"/>
  <c r="G28" i="52"/>
  <c r="F28" i="52"/>
  <c r="E28" i="52"/>
  <c r="I27" i="52"/>
  <c r="G27" i="52"/>
  <c r="F27" i="52"/>
  <c r="E27" i="52"/>
  <c r="I26" i="52"/>
  <c r="G26" i="52"/>
  <c r="F26" i="52"/>
  <c r="E26" i="52"/>
  <c r="I25" i="52"/>
  <c r="G25" i="52"/>
  <c r="F25" i="52"/>
  <c r="E25" i="52"/>
  <c r="I24" i="52"/>
  <c r="G24" i="52"/>
  <c r="F24" i="52"/>
  <c r="E24" i="52"/>
  <c r="I23" i="52"/>
  <c r="G23" i="52"/>
  <c r="F23" i="52"/>
  <c r="E23" i="52"/>
  <c r="I22" i="52"/>
  <c r="G22" i="52"/>
  <c r="F22" i="52"/>
  <c r="E22" i="52"/>
  <c r="M21" i="52"/>
  <c r="I21" i="52"/>
  <c r="G21" i="52"/>
  <c r="H21" i="52"/>
  <c r="F21" i="52"/>
  <c r="E21" i="52"/>
  <c r="M20" i="52"/>
  <c r="I20" i="52"/>
  <c r="H20" i="52"/>
  <c r="G20" i="52"/>
  <c r="F20" i="52"/>
  <c r="E20" i="52"/>
  <c r="M19" i="52"/>
  <c r="I19" i="52"/>
  <c r="G19" i="52"/>
  <c r="H19" i="52"/>
  <c r="F19" i="52"/>
  <c r="E19" i="52"/>
  <c r="M18" i="52"/>
  <c r="I18" i="52"/>
  <c r="G18" i="52"/>
  <c r="H18" i="52"/>
  <c r="F18" i="52"/>
  <c r="E18" i="52"/>
  <c r="M17" i="52"/>
  <c r="I17" i="52"/>
  <c r="H17" i="52"/>
  <c r="G17" i="52"/>
  <c r="F17" i="52"/>
  <c r="E17" i="52"/>
  <c r="M16" i="52"/>
  <c r="I16" i="52"/>
  <c r="G16" i="52"/>
  <c r="H16" i="52"/>
  <c r="F16" i="52"/>
  <c r="E16" i="52"/>
  <c r="M15" i="52"/>
  <c r="I15" i="52"/>
  <c r="H15" i="52"/>
  <c r="G15" i="52"/>
  <c r="F15" i="52"/>
  <c r="E15" i="52"/>
  <c r="I14" i="52"/>
  <c r="G14" i="52"/>
  <c r="F14" i="52"/>
  <c r="F11" i="52"/>
  <c r="E14" i="52"/>
  <c r="W13" i="52"/>
  <c r="M13" i="52"/>
  <c r="I13" i="52"/>
  <c r="G13" i="52"/>
  <c r="H13" i="52"/>
  <c r="F13" i="52"/>
  <c r="E13" i="52"/>
  <c r="W12" i="52"/>
  <c r="M12" i="52"/>
  <c r="I12" i="52"/>
  <c r="G12" i="52"/>
  <c r="H12" i="52"/>
  <c r="F12" i="52"/>
  <c r="E12" i="52"/>
  <c r="X11" i="52"/>
  <c r="W11" i="52"/>
  <c r="V11" i="52"/>
  <c r="U11" i="52"/>
  <c r="U31" i="52"/>
  <c r="U33" i="52"/>
  <c r="T11" i="52"/>
  <c r="S11" i="52"/>
  <c r="Q11" i="52"/>
  <c r="R11" i="52"/>
  <c r="P11" i="52"/>
  <c r="O11" i="52"/>
  <c r="N11" i="52"/>
  <c r="L11" i="52"/>
  <c r="M11" i="52"/>
  <c r="K11" i="52"/>
  <c r="J11" i="52"/>
  <c r="I11" i="52"/>
  <c r="G11" i="52"/>
  <c r="H11" i="52"/>
  <c r="E11" i="52"/>
  <c r="I10" i="52"/>
  <c r="G10" i="52"/>
  <c r="F10" i="52"/>
  <c r="E10" i="52"/>
  <c r="R9" i="52"/>
  <c r="M9" i="52"/>
  <c r="I9" i="52"/>
  <c r="G9" i="52"/>
  <c r="H9" i="52"/>
  <c r="F9" i="52"/>
  <c r="E9" i="52"/>
  <c r="M8" i="52"/>
  <c r="I8" i="52"/>
  <c r="H8" i="52"/>
  <c r="G8" i="52"/>
  <c r="F8" i="52"/>
  <c r="E8" i="52"/>
  <c r="W7" i="52"/>
  <c r="M7" i="52"/>
  <c r="I7" i="52"/>
  <c r="I6" i="52"/>
  <c r="I31" i="52"/>
  <c r="I33" i="52"/>
  <c r="G7" i="52"/>
  <c r="H7" i="52"/>
  <c r="F7" i="52"/>
  <c r="E7" i="52"/>
  <c r="E6" i="52"/>
  <c r="E31" i="52"/>
  <c r="E33" i="52"/>
  <c r="X6" i="52"/>
  <c r="X31" i="52"/>
  <c r="X33" i="52"/>
  <c r="W6" i="52"/>
  <c r="V6" i="52"/>
  <c r="V31" i="52"/>
  <c r="T6" i="52"/>
  <c r="S6" i="52"/>
  <c r="S31" i="52"/>
  <c r="S33" i="52"/>
  <c r="R6" i="52"/>
  <c r="Q6" i="52"/>
  <c r="Q31" i="52"/>
  <c r="Q33" i="52"/>
  <c r="P6" i="52"/>
  <c r="P31" i="52"/>
  <c r="P33" i="52"/>
  <c r="O6" i="52"/>
  <c r="O31" i="52"/>
  <c r="O33" i="52"/>
  <c r="N6" i="52"/>
  <c r="N31" i="52"/>
  <c r="N33" i="52"/>
  <c r="L6" i="52"/>
  <c r="M6" i="52"/>
  <c r="K6" i="52"/>
  <c r="K31" i="52"/>
  <c r="K33" i="52"/>
  <c r="J6" i="52"/>
  <c r="J31" i="52"/>
  <c r="J33" i="52"/>
  <c r="G6" i="52"/>
  <c r="H6" i="52"/>
  <c r="F6" i="52"/>
  <c r="F31" i="52"/>
  <c r="F33" i="52"/>
  <c r="M37" i="79"/>
  <c r="X33" i="79"/>
  <c r="W32" i="79"/>
  <c r="R32" i="79"/>
  <c r="M32" i="79"/>
  <c r="I32" i="79"/>
  <c r="H32" i="79"/>
  <c r="G32" i="79"/>
  <c r="F32" i="79"/>
  <c r="E32" i="79"/>
  <c r="X31" i="79"/>
  <c r="S31" i="79"/>
  <c r="S33" i="79"/>
  <c r="O31" i="79"/>
  <c r="O33" i="79"/>
  <c r="K31" i="79"/>
  <c r="K33" i="79"/>
  <c r="W30" i="79"/>
  <c r="R30" i="79"/>
  <c r="M30" i="79"/>
  <c r="I30" i="79"/>
  <c r="G30" i="79"/>
  <c r="H30" i="79"/>
  <c r="F30" i="79"/>
  <c r="E30" i="79"/>
  <c r="W29" i="79"/>
  <c r="R29" i="79"/>
  <c r="M29" i="79"/>
  <c r="I29" i="79"/>
  <c r="G29" i="79"/>
  <c r="H29" i="79"/>
  <c r="F29" i="79"/>
  <c r="E29" i="79"/>
  <c r="W28" i="79"/>
  <c r="R28" i="79"/>
  <c r="M28" i="79"/>
  <c r="I28" i="79"/>
  <c r="G28" i="79"/>
  <c r="H28" i="79"/>
  <c r="F28" i="79"/>
  <c r="E28" i="79"/>
  <c r="W27" i="79"/>
  <c r="R27" i="79"/>
  <c r="M27" i="79"/>
  <c r="I27" i="79"/>
  <c r="G27" i="79"/>
  <c r="H27" i="79"/>
  <c r="F27" i="79"/>
  <c r="E27" i="79"/>
  <c r="W26" i="79"/>
  <c r="R26" i="79"/>
  <c r="M26" i="79"/>
  <c r="I26" i="79"/>
  <c r="G26" i="79"/>
  <c r="H26" i="79"/>
  <c r="F26" i="79"/>
  <c r="E26" i="79"/>
  <c r="W25" i="79"/>
  <c r="R25" i="79"/>
  <c r="M25" i="79"/>
  <c r="I25" i="79"/>
  <c r="G25" i="79"/>
  <c r="H25" i="79"/>
  <c r="F25" i="79"/>
  <c r="E25" i="79"/>
  <c r="W24" i="79"/>
  <c r="R24" i="79"/>
  <c r="M24" i="79"/>
  <c r="I24" i="79"/>
  <c r="G24" i="79"/>
  <c r="H24" i="79"/>
  <c r="F24" i="79"/>
  <c r="E24" i="79"/>
  <c r="W23" i="79"/>
  <c r="R23" i="79"/>
  <c r="M23" i="79"/>
  <c r="I23" i="79"/>
  <c r="G23" i="79"/>
  <c r="H23" i="79"/>
  <c r="F23" i="79"/>
  <c r="E23" i="79"/>
  <c r="W22" i="79"/>
  <c r="R22" i="79"/>
  <c r="M22" i="79"/>
  <c r="I22" i="79"/>
  <c r="G22" i="79"/>
  <c r="H22" i="79"/>
  <c r="F22" i="79"/>
  <c r="E22" i="79"/>
  <c r="W21" i="79"/>
  <c r="R21" i="79"/>
  <c r="M21" i="79"/>
  <c r="I21" i="79"/>
  <c r="G21" i="79"/>
  <c r="H21" i="79"/>
  <c r="F21" i="79"/>
  <c r="E21" i="79"/>
  <c r="W20" i="79"/>
  <c r="R20" i="79"/>
  <c r="M20" i="79"/>
  <c r="I20" i="79"/>
  <c r="G20" i="79"/>
  <c r="H20" i="79"/>
  <c r="F20" i="79"/>
  <c r="E20" i="79"/>
  <c r="W19" i="79"/>
  <c r="R19" i="79"/>
  <c r="M19" i="79"/>
  <c r="I19" i="79"/>
  <c r="G19" i="79"/>
  <c r="H19" i="79"/>
  <c r="F19" i="79"/>
  <c r="E19" i="79"/>
  <c r="W18" i="79"/>
  <c r="R18" i="79"/>
  <c r="M18" i="79"/>
  <c r="I18" i="79"/>
  <c r="G18" i="79"/>
  <c r="H18" i="79"/>
  <c r="F18" i="79"/>
  <c r="E18" i="79"/>
  <c r="W17" i="79"/>
  <c r="R17" i="79"/>
  <c r="M17" i="79"/>
  <c r="I17" i="79"/>
  <c r="G17" i="79"/>
  <c r="H17" i="79"/>
  <c r="F17" i="79"/>
  <c r="E17" i="79"/>
  <c r="W16" i="79"/>
  <c r="R16" i="79"/>
  <c r="M16" i="79"/>
  <c r="I16" i="79"/>
  <c r="G16" i="79"/>
  <c r="H16" i="79"/>
  <c r="F16" i="79"/>
  <c r="E16" i="79"/>
  <c r="W15" i="79"/>
  <c r="R15" i="79"/>
  <c r="M15" i="79"/>
  <c r="I15" i="79"/>
  <c r="G15" i="79"/>
  <c r="H15" i="79"/>
  <c r="F15" i="79"/>
  <c r="E15" i="79"/>
  <c r="W14" i="79"/>
  <c r="R14" i="79"/>
  <c r="M14" i="79"/>
  <c r="I14" i="79"/>
  <c r="G14" i="79"/>
  <c r="H14" i="79"/>
  <c r="F14" i="79"/>
  <c r="E14" i="79"/>
  <c r="W13" i="79"/>
  <c r="R13" i="79"/>
  <c r="M13" i="79"/>
  <c r="I13" i="79"/>
  <c r="G13" i="79"/>
  <c r="H13" i="79"/>
  <c r="F13" i="79"/>
  <c r="E13" i="79"/>
  <c r="W12" i="79"/>
  <c r="R12" i="79"/>
  <c r="M12" i="79"/>
  <c r="I12" i="79"/>
  <c r="G12" i="79"/>
  <c r="H12" i="79"/>
  <c r="F12" i="79"/>
  <c r="E12" i="79"/>
  <c r="X11" i="79"/>
  <c r="W11" i="79"/>
  <c r="V11" i="79"/>
  <c r="U11" i="79"/>
  <c r="S11" i="79"/>
  <c r="Q11" i="79"/>
  <c r="R11" i="79"/>
  <c r="P11" i="79"/>
  <c r="O11" i="79"/>
  <c r="N11" i="79"/>
  <c r="L11" i="79"/>
  <c r="M11" i="79"/>
  <c r="K11" i="79"/>
  <c r="J11" i="79"/>
  <c r="I11" i="79"/>
  <c r="F11" i="79"/>
  <c r="E11" i="79"/>
  <c r="X10" i="79"/>
  <c r="W10" i="79"/>
  <c r="R10" i="79"/>
  <c r="M10" i="79"/>
  <c r="I10" i="79"/>
  <c r="G10" i="79"/>
  <c r="H10" i="79"/>
  <c r="F10" i="79"/>
  <c r="E10" i="79"/>
  <c r="W9" i="79"/>
  <c r="R9" i="79"/>
  <c r="M9" i="79"/>
  <c r="I9" i="79"/>
  <c r="G9" i="79"/>
  <c r="H9" i="79"/>
  <c r="F9" i="79"/>
  <c r="E9" i="79"/>
  <c r="W8" i="79"/>
  <c r="R8" i="79"/>
  <c r="M8" i="79"/>
  <c r="I8" i="79"/>
  <c r="G8" i="79"/>
  <c r="H8" i="79"/>
  <c r="F8" i="79"/>
  <c r="E8" i="79"/>
  <c r="W7" i="79"/>
  <c r="R7" i="79"/>
  <c r="M7" i="79"/>
  <c r="I7" i="79"/>
  <c r="G7" i="79"/>
  <c r="H7" i="79"/>
  <c r="F7" i="79"/>
  <c r="E7" i="79"/>
  <c r="X6" i="79"/>
  <c r="W6" i="79"/>
  <c r="V6" i="79"/>
  <c r="V31" i="79"/>
  <c r="U6" i="79"/>
  <c r="U31" i="79"/>
  <c r="U33" i="79"/>
  <c r="S6" i="79"/>
  <c r="R6" i="79"/>
  <c r="Q6" i="79"/>
  <c r="Q31" i="79"/>
  <c r="P6" i="79"/>
  <c r="P31" i="79"/>
  <c r="P33" i="79"/>
  <c r="O6" i="79"/>
  <c r="N6" i="79"/>
  <c r="N31" i="79"/>
  <c r="N33" i="79"/>
  <c r="L6" i="79"/>
  <c r="M6" i="79"/>
  <c r="K6" i="79"/>
  <c r="J6" i="79"/>
  <c r="I6" i="79"/>
  <c r="I31" i="79"/>
  <c r="I33" i="79"/>
  <c r="F6" i="79"/>
  <c r="F31" i="79"/>
  <c r="F33" i="79"/>
  <c r="E6" i="79"/>
  <c r="S11" i="50"/>
  <c r="S31" i="50"/>
  <c r="S33" i="50"/>
  <c r="S6" i="50"/>
  <c r="M20" i="58"/>
  <c r="R9" i="58"/>
  <c r="M9" i="58"/>
  <c r="M8" i="58"/>
  <c r="W7" i="58"/>
  <c r="M7" i="58"/>
  <c r="M18" i="57"/>
  <c r="H36" i="51"/>
  <c r="H35" i="51"/>
  <c r="H34" i="51"/>
  <c r="R30" i="51"/>
  <c r="M30" i="51"/>
  <c r="R29" i="51"/>
  <c r="M29" i="51"/>
  <c r="R28" i="51"/>
  <c r="M28" i="51"/>
  <c r="R27" i="51"/>
  <c r="M27" i="51"/>
  <c r="R26" i="51"/>
  <c r="M26" i="51"/>
  <c r="R25" i="51"/>
  <c r="M25" i="51"/>
  <c r="R24" i="51"/>
  <c r="M24" i="51"/>
  <c r="R23" i="51"/>
  <c r="M23" i="51"/>
  <c r="R22" i="51"/>
  <c r="M22" i="51"/>
  <c r="R21" i="51"/>
  <c r="M21" i="51"/>
  <c r="R20" i="51"/>
  <c r="M20" i="51"/>
  <c r="R19" i="51"/>
  <c r="M19" i="51"/>
  <c r="R18" i="51"/>
  <c r="M18" i="51"/>
  <c r="R17" i="51"/>
  <c r="M17" i="51"/>
  <c r="R16" i="51"/>
  <c r="M16" i="51"/>
  <c r="R15" i="51"/>
  <c r="M15" i="51"/>
  <c r="R14" i="51"/>
  <c r="M14" i="51"/>
  <c r="R13" i="51"/>
  <c r="M13" i="51"/>
  <c r="R12" i="51"/>
  <c r="M12" i="51"/>
  <c r="R9" i="51"/>
  <c r="M9" i="51"/>
  <c r="R8" i="51"/>
  <c r="M8" i="51"/>
  <c r="R7" i="51"/>
  <c r="M7" i="51"/>
  <c r="R30" i="50"/>
  <c r="M30" i="50"/>
  <c r="R29" i="50"/>
  <c r="M29" i="50"/>
  <c r="R28" i="50"/>
  <c r="M28" i="50"/>
  <c r="R27" i="50"/>
  <c r="M27" i="50"/>
  <c r="R26" i="50"/>
  <c r="M26" i="50"/>
  <c r="R25" i="50"/>
  <c r="M25" i="50"/>
  <c r="R24" i="50"/>
  <c r="M24" i="50"/>
  <c r="R23" i="50"/>
  <c r="M23" i="50"/>
  <c r="R22" i="50"/>
  <c r="M22" i="50"/>
  <c r="R21" i="50"/>
  <c r="M21" i="50"/>
  <c r="R20" i="50"/>
  <c r="M20" i="50"/>
  <c r="R19" i="50"/>
  <c r="M19" i="50"/>
  <c r="R18" i="50"/>
  <c r="M18" i="50"/>
  <c r="R17" i="50"/>
  <c r="M17" i="50"/>
  <c r="R16" i="50"/>
  <c r="M16" i="50"/>
  <c r="R15" i="50"/>
  <c r="M15" i="50"/>
  <c r="R14" i="50"/>
  <c r="M14" i="50"/>
  <c r="R13" i="50"/>
  <c r="M13" i="50"/>
  <c r="R12" i="50"/>
  <c r="M12" i="50"/>
  <c r="R9" i="50"/>
  <c r="M9" i="50"/>
  <c r="R8" i="50"/>
  <c r="M8" i="50"/>
  <c r="R7" i="50"/>
  <c r="M7" i="50"/>
  <c r="H36" i="42"/>
  <c r="H35" i="42"/>
  <c r="H34" i="42"/>
  <c r="M13" i="42"/>
  <c r="R9" i="42"/>
  <c r="M9" i="42"/>
  <c r="M8" i="42"/>
  <c r="M7" i="42"/>
  <c r="H36" i="57"/>
  <c r="H35" i="57"/>
  <c r="H34" i="57"/>
  <c r="R32" i="57"/>
  <c r="M32" i="57"/>
  <c r="R30" i="57"/>
  <c r="M30" i="57"/>
  <c r="R29" i="57"/>
  <c r="M29" i="57"/>
  <c r="R28" i="57"/>
  <c r="M28" i="57"/>
  <c r="R27" i="57"/>
  <c r="M27" i="57"/>
  <c r="R26" i="57"/>
  <c r="M26" i="57"/>
  <c r="R25" i="57"/>
  <c r="M25" i="57"/>
  <c r="R24" i="57"/>
  <c r="M24" i="57"/>
  <c r="R23" i="57"/>
  <c r="M23" i="57"/>
  <c r="R22" i="57"/>
  <c r="M22" i="57"/>
  <c r="R21" i="57"/>
  <c r="M21" i="57"/>
  <c r="R20" i="57"/>
  <c r="M20" i="57"/>
  <c r="R19" i="57"/>
  <c r="M19" i="57"/>
  <c r="R18" i="57"/>
  <c r="R17" i="57"/>
  <c r="M17" i="57"/>
  <c r="R16" i="57"/>
  <c r="M16" i="57"/>
  <c r="R15" i="57"/>
  <c r="M15" i="57"/>
  <c r="R14" i="57"/>
  <c r="M14" i="57"/>
  <c r="R13" i="57"/>
  <c r="M13" i="57"/>
  <c r="R12" i="57"/>
  <c r="M12" i="57"/>
  <c r="Q11" i="57"/>
  <c r="P11" i="57"/>
  <c r="O11" i="57"/>
  <c r="L11" i="57"/>
  <c r="K11" i="57"/>
  <c r="J11" i="57"/>
  <c r="R10" i="57"/>
  <c r="M10" i="57"/>
  <c r="R9" i="57"/>
  <c r="M9" i="57"/>
  <c r="R8" i="57"/>
  <c r="M8" i="57"/>
  <c r="R7" i="57"/>
  <c r="M7" i="57"/>
  <c r="Q6" i="57"/>
  <c r="P6" i="57"/>
  <c r="O6" i="57"/>
  <c r="L6" i="57"/>
  <c r="K6" i="57"/>
  <c r="J6" i="57"/>
  <c r="R32" i="50"/>
  <c r="M32" i="50"/>
  <c r="Q11" i="50"/>
  <c r="P11" i="50"/>
  <c r="O11" i="50"/>
  <c r="N11" i="50"/>
  <c r="L11" i="50"/>
  <c r="K11" i="50"/>
  <c r="J11" i="50"/>
  <c r="R10" i="50"/>
  <c r="M10" i="50"/>
  <c r="Q6" i="50"/>
  <c r="P6" i="50"/>
  <c r="O6" i="50"/>
  <c r="N6" i="50"/>
  <c r="L6" i="50"/>
  <c r="K6" i="50"/>
  <c r="J6" i="50"/>
  <c r="J6" i="49"/>
  <c r="K6" i="49"/>
  <c r="L6" i="49"/>
  <c r="O6" i="49"/>
  <c r="P6" i="49"/>
  <c r="Q6" i="49"/>
  <c r="M7" i="49"/>
  <c r="R7" i="49"/>
  <c r="R8" i="49"/>
  <c r="R9" i="49"/>
  <c r="M10" i="49"/>
  <c r="R10" i="49"/>
  <c r="J11" i="49"/>
  <c r="K11" i="49"/>
  <c r="L11" i="49"/>
  <c r="O11" i="49"/>
  <c r="P11" i="49"/>
  <c r="P31" i="49"/>
  <c r="P33" i="49"/>
  <c r="Q11" i="49"/>
  <c r="M12" i="49"/>
  <c r="R12" i="49"/>
  <c r="M13" i="49"/>
  <c r="R13" i="49"/>
  <c r="M14" i="49"/>
  <c r="R14" i="49"/>
  <c r="M15" i="49"/>
  <c r="R15" i="49"/>
  <c r="M16" i="49"/>
  <c r="R16" i="49"/>
  <c r="M17" i="49"/>
  <c r="R17" i="49"/>
  <c r="M18" i="49"/>
  <c r="R18" i="49"/>
  <c r="M19" i="49"/>
  <c r="R19" i="49"/>
  <c r="M20" i="49"/>
  <c r="R20" i="49"/>
  <c r="R21" i="49"/>
  <c r="M22" i="49"/>
  <c r="R22" i="49"/>
  <c r="M23" i="49"/>
  <c r="R23" i="49"/>
  <c r="M24" i="49"/>
  <c r="R24" i="49"/>
  <c r="M25" i="49"/>
  <c r="R25" i="49"/>
  <c r="M26" i="49"/>
  <c r="R26" i="49"/>
  <c r="M27" i="49"/>
  <c r="R27" i="49"/>
  <c r="M28" i="49"/>
  <c r="R28" i="49"/>
  <c r="M29" i="49"/>
  <c r="R29" i="49"/>
  <c r="M30" i="49"/>
  <c r="R30" i="49"/>
  <c r="M32" i="49"/>
  <c r="R32" i="49"/>
  <c r="H34" i="49"/>
  <c r="H35" i="49"/>
  <c r="H36" i="49"/>
  <c r="W32" i="49"/>
  <c r="W30" i="49"/>
  <c r="W29" i="49"/>
  <c r="W28" i="49"/>
  <c r="W27" i="49"/>
  <c r="W26" i="49"/>
  <c r="W25" i="49"/>
  <c r="W24" i="49"/>
  <c r="W23" i="49"/>
  <c r="W22" i="49"/>
  <c r="W21" i="49"/>
  <c r="W20" i="49"/>
  <c r="W19" i="49"/>
  <c r="W18" i="49"/>
  <c r="W17" i="49"/>
  <c r="W16" i="49"/>
  <c r="W15" i="49"/>
  <c r="W14" i="49"/>
  <c r="W13" i="49"/>
  <c r="W12" i="49"/>
  <c r="X11" i="49"/>
  <c r="V11" i="49"/>
  <c r="U11" i="49"/>
  <c r="T11" i="49"/>
  <c r="W10" i="49"/>
  <c r="W9" i="49"/>
  <c r="W8" i="49"/>
  <c r="W7" i="49"/>
  <c r="X6" i="49"/>
  <c r="X31" i="49"/>
  <c r="X33" i="49"/>
  <c r="V6" i="49"/>
  <c r="U6" i="49"/>
  <c r="T6" i="49"/>
  <c r="T31" i="49"/>
  <c r="T33" i="49"/>
  <c r="W32" i="58"/>
  <c r="W10" i="58"/>
  <c r="R32" i="58"/>
  <c r="R10" i="58"/>
  <c r="M10" i="58"/>
  <c r="V11" i="58"/>
  <c r="U11" i="58"/>
  <c r="T11" i="58"/>
  <c r="Q11" i="58"/>
  <c r="P11" i="58"/>
  <c r="O11" i="58"/>
  <c r="L11" i="58"/>
  <c r="K11" i="58"/>
  <c r="J11" i="58"/>
  <c r="V6" i="58"/>
  <c r="U6" i="58"/>
  <c r="T6" i="58"/>
  <c r="Q6" i="58"/>
  <c r="P6" i="58"/>
  <c r="O6" i="58"/>
  <c r="O31" i="58"/>
  <c r="O33" i="58"/>
  <c r="L6" i="58"/>
  <c r="K6" i="58"/>
  <c r="J6" i="58"/>
  <c r="R32" i="42"/>
  <c r="R10" i="42"/>
  <c r="M32" i="42"/>
  <c r="M10" i="42"/>
  <c r="Q11" i="42"/>
  <c r="P11" i="42"/>
  <c r="P31" i="42"/>
  <c r="P33" i="42"/>
  <c r="O11" i="42"/>
  <c r="L11" i="42"/>
  <c r="K11" i="42"/>
  <c r="J11" i="42"/>
  <c r="Q6" i="42"/>
  <c r="P6" i="42"/>
  <c r="O6" i="42"/>
  <c r="L6" i="42"/>
  <c r="K6" i="42"/>
  <c r="J6" i="42"/>
  <c r="R32" i="51"/>
  <c r="M32" i="51"/>
  <c r="Q11" i="51"/>
  <c r="P11" i="51"/>
  <c r="O11" i="51"/>
  <c r="L11" i="51"/>
  <c r="K11" i="51"/>
  <c r="J11" i="51"/>
  <c r="R10" i="51"/>
  <c r="M10" i="51"/>
  <c r="Q6" i="51"/>
  <c r="Q31" i="51"/>
  <c r="P6" i="51"/>
  <c r="O6" i="51"/>
  <c r="L6" i="51"/>
  <c r="L31" i="51"/>
  <c r="K6" i="51"/>
  <c r="J6" i="51"/>
  <c r="M37" i="57"/>
  <c r="W32" i="57"/>
  <c r="I32" i="57"/>
  <c r="G32" i="57"/>
  <c r="H32" i="57"/>
  <c r="F32" i="57"/>
  <c r="E32" i="57"/>
  <c r="W30" i="57"/>
  <c r="I30" i="57"/>
  <c r="G30" i="57"/>
  <c r="H30" i="57"/>
  <c r="F30" i="57"/>
  <c r="E30" i="57"/>
  <c r="W29" i="57"/>
  <c r="I29" i="57"/>
  <c r="G29" i="57"/>
  <c r="H29" i="57"/>
  <c r="F29" i="57"/>
  <c r="E29" i="57"/>
  <c r="W28" i="57"/>
  <c r="I28" i="57"/>
  <c r="G28" i="57"/>
  <c r="F28" i="57"/>
  <c r="E28" i="57"/>
  <c r="W27" i="57"/>
  <c r="I27" i="57"/>
  <c r="G27" i="57"/>
  <c r="F27" i="57"/>
  <c r="E27" i="57"/>
  <c r="W26" i="57"/>
  <c r="I26" i="57"/>
  <c r="G26" i="57"/>
  <c r="F26" i="57"/>
  <c r="E26" i="57"/>
  <c r="W25" i="57"/>
  <c r="I25" i="57"/>
  <c r="G25" i="57"/>
  <c r="H25" i="57"/>
  <c r="F25" i="57"/>
  <c r="E25" i="57"/>
  <c r="W24" i="57"/>
  <c r="I24" i="57"/>
  <c r="G24" i="57"/>
  <c r="H24" i="57"/>
  <c r="F24" i="57"/>
  <c r="E24" i="57"/>
  <c r="W23" i="57"/>
  <c r="I23" i="57"/>
  <c r="G23" i="57"/>
  <c r="H23" i="57"/>
  <c r="F23" i="57"/>
  <c r="E23" i="57"/>
  <c r="W22" i="57"/>
  <c r="I22" i="57"/>
  <c r="G22" i="57"/>
  <c r="H22" i="57"/>
  <c r="F22" i="57"/>
  <c r="E22" i="57"/>
  <c r="W21" i="57"/>
  <c r="I21" i="57"/>
  <c r="G21" i="57"/>
  <c r="F21" i="57"/>
  <c r="E21" i="57"/>
  <c r="W20" i="57"/>
  <c r="I20" i="57"/>
  <c r="G20" i="57"/>
  <c r="F20" i="57"/>
  <c r="E20" i="57"/>
  <c r="W19" i="57"/>
  <c r="I19" i="57"/>
  <c r="G19" i="57"/>
  <c r="F19" i="57"/>
  <c r="E19" i="57"/>
  <c r="W18" i="57"/>
  <c r="I18" i="57"/>
  <c r="G18" i="57"/>
  <c r="F18" i="57"/>
  <c r="E18" i="57"/>
  <c r="W17" i="57"/>
  <c r="I17" i="57"/>
  <c r="G17" i="57"/>
  <c r="F17" i="57"/>
  <c r="E17" i="57"/>
  <c r="W16" i="57"/>
  <c r="I16" i="57"/>
  <c r="G16" i="57"/>
  <c r="F16" i="57"/>
  <c r="E16" i="57"/>
  <c r="W15" i="57"/>
  <c r="I15" i="57"/>
  <c r="G15" i="57"/>
  <c r="F15" i="57"/>
  <c r="E15" i="57"/>
  <c r="W14" i="57"/>
  <c r="I14" i="57"/>
  <c r="G14" i="57"/>
  <c r="H14" i="57"/>
  <c r="F14" i="57"/>
  <c r="E14" i="57"/>
  <c r="W13" i="57"/>
  <c r="I13" i="57"/>
  <c r="G13" i="57"/>
  <c r="F13" i="57"/>
  <c r="E13" i="57"/>
  <c r="W12" i="57"/>
  <c r="I12" i="57"/>
  <c r="G12" i="57"/>
  <c r="F12" i="57"/>
  <c r="E12" i="57"/>
  <c r="X11" i="57"/>
  <c r="V11" i="57"/>
  <c r="U11" i="57"/>
  <c r="T11" i="57"/>
  <c r="W10" i="57"/>
  <c r="I10" i="57"/>
  <c r="G10" i="57"/>
  <c r="H10" i="57"/>
  <c r="F10" i="57"/>
  <c r="E10" i="57"/>
  <c r="W9" i="57"/>
  <c r="G9" i="57"/>
  <c r="F9" i="57"/>
  <c r="E9" i="57"/>
  <c r="W8" i="57"/>
  <c r="I8" i="57"/>
  <c r="G8" i="57"/>
  <c r="F8" i="57"/>
  <c r="E8" i="57"/>
  <c r="W7" i="57"/>
  <c r="I7" i="57"/>
  <c r="G7" i="57"/>
  <c r="F7" i="57"/>
  <c r="E7" i="57"/>
  <c r="X6" i="57"/>
  <c r="X31" i="57"/>
  <c r="X33" i="57"/>
  <c r="V6" i="57"/>
  <c r="U6" i="57"/>
  <c r="T6" i="57"/>
  <c r="T31" i="57"/>
  <c r="T33" i="57"/>
  <c r="I32" i="51"/>
  <c r="G32" i="51"/>
  <c r="F32" i="51"/>
  <c r="E32" i="51"/>
  <c r="I30" i="51"/>
  <c r="G30" i="51"/>
  <c r="F30" i="51"/>
  <c r="E30" i="51"/>
  <c r="I29" i="51"/>
  <c r="G29" i="51"/>
  <c r="F29" i="51"/>
  <c r="E29" i="51"/>
  <c r="I28" i="51"/>
  <c r="G28" i="51"/>
  <c r="F28" i="51"/>
  <c r="E28" i="51"/>
  <c r="I27" i="51"/>
  <c r="G27" i="51"/>
  <c r="F27" i="51"/>
  <c r="E27" i="51"/>
  <c r="I26" i="51"/>
  <c r="G26" i="51"/>
  <c r="F26" i="51"/>
  <c r="E26" i="51"/>
  <c r="I25" i="51"/>
  <c r="G25" i="51"/>
  <c r="F25" i="51"/>
  <c r="E25" i="51"/>
  <c r="I24" i="51"/>
  <c r="G24" i="51"/>
  <c r="F24" i="51"/>
  <c r="E24" i="51"/>
  <c r="I23" i="51"/>
  <c r="G23" i="51"/>
  <c r="F23" i="51"/>
  <c r="E23" i="51"/>
  <c r="I22" i="51"/>
  <c r="G22" i="51"/>
  <c r="H22" i="51"/>
  <c r="F22" i="51"/>
  <c r="E22" i="51"/>
  <c r="I21" i="51"/>
  <c r="G21" i="51"/>
  <c r="F21" i="51"/>
  <c r="E21" i="51"/>
  <c r="I20" i="51"/>
  <c r="G20" i="51"/>
  <c r="F20" i="51"/>
  <c r="E20" i="51"/>
  <c r="I19" i="51"/>
  <c r="G19" i="51"/>
  <c r="F19" i="51"/>
  <c r="E19" i="51"/>
  <c r="I18" i="51"/>
  <c r="G18" i="51"/>
  <c r="F18" i="51"/>
  <c r="E18" i="51"/>
  <c r="I17" i="51"/>
  <c r="G17" i="51"/>
  <c r="F17" i="51"/>
  <c r="E17" i="51"/>
  <c r="I16" i="51"/>
  <c r="G16" i="51"/>
  <c r="F16" i="51"/>
  <c r="E16" i="51"/>
  <c r="I15" i="51"/>
  <c r="G15" i="51"/>
  <c r="F15" i="51"/>
  <c r="H15" i="51"/>
  <c r="E15" i="51"/>
  <c r="I14" i="51"/>
  <c r="G14" i="51"/>
  <c r="F14" i="51"/>
  <c r="E14" i="51"/>
  <c r="I13" i="51"/>
  <c r="G13" i="51"/>
  <c r="F13" i="51"/>
  <c r="E13" i="51"/>
  <c r="I12" i="51"/>
  <c r="G12" i="51"/>
  <c r="F12" i="51"/>
  <c r="E12" i="51"/>
  <c r="I10" i="51"/>
  <c r="G10" i="51"/>
  <c r="H10" i="51"/>
  <c r="F10" i="51"/>
  <c r="E10" i="51"/>
  <c r="I9" i="51"/>
  <c r="G9" i="51"/>
  <c r="F9" i="51"/>
  <c r="E9" i="51"/>
  <c r="I8" i="51"/>
  <c r="I6" i="51"/>
  <c r="G8" i="51"/>
  <c r="F8" i="51"/>
  <c r="E8" i="51"/>
  <c r="I7" i="51"/>
  <c r="G7" i="51"/>
  <c r="G6" i="51"/>
  <c r="F7" i="51"/>
  <c r="F6" i="51"/>
  <c r="E7" i="51"/>
  <c r="E6" i="51"/>
  <c r="M37" i="49"/>
  <c r="I32" i="49"/>
  <c r="G32" i="49"/>
  <c r="H32" i="49"/>
  <c r="F32" i="49"/>
  <c r="E32" i="49"/>
  <c r="I30" i="49"/>
  <c r="G30" i="49"/>
  <c r="H30" i="49"/>
  <c r="F30" i="49"/>
  <c r="E30" i="49"/>
  <c r="I29" i="49"/>
  <c r="G29" i="49"/>
  <c r="F29" i="49"/>
  <c r="E29" i="49"/>
  <c r="I28" i="49"/>
  <c r="G28" i="49"/>
  <c r="F28" i="49"/>
  <c r="H28" i="49"/>
  <c r="E28" i="49"/>
  <c r="I27" i="49"/>
  <c r="G27" i="49"/>
  <c r="F27" i="49"/>
  <c r="E27" i="49"/>
  <c r="I26" i="49"/>
  <c r="G26" i="49"/>
  <c r="H26" i="49"/>
  <c r="F26" i="49"/>
  <c r="E26" i="49"/>
  <c r="I25" i="49"/>
  <c r="G25" i="49"/>
  <c r="F25" i="49"/>
  <c r="H25" i="49"/>
  <c r="E25" i="49"/>
  <c r="I24" i="49"/>
  <c r="G24" i="49"/>
  <c r="F24" i="49"/>
  <c r="E24" i="49"/>
  <c r="I23" i="49"/>
  <c r="G23" i="49"/>
  <c r="F23" i="49"/>
  <c r="E23" i="49"/>
  <c r="I22" i="49"/>
  <c r="G22" i="49"/>
  <c r="H22" i="49"/>
  <c r="F22" i="49"/>
  <c r="E22" i="49"/>
  <c r="I21" i="49"/>
  <c r="G21" i="49"/>
  <c r="F21" i="49"/>
  <c r="E21" i="49"/>
  <c r="I20" i="49"/>
  <c r="G20" i="49"/>
  <c r="F20" i="49"/>
  <c r="E20" i="49"/>
  <c r="I19" i="49"/>
  <c r="G19" i="49"/>
  <c r="F19" i="49"/>
  <c r="E19" i="49"/>
  <c r="I18" i="49"/>
  <c r="G18" i="49"/>
  <c r="F18" i="49"/>
  <c r="E18" i="49"/>
  <c r="I17" i="49"/>
  <c r="G17" i="49"/>
  <c r="F17" i="49"/>
  <c r="E17" i="49"/>
  <c r="I16" i="49"/>
  <c r="G16" i="49"/>
  <c r="F16" i="49"/>
  <c r="E16" i="49"/>
  <c r="I15" i="49"/>
  <c r="G15" i="49"/>
  <c r="F15" i="49"/>
  <c r="E15" i="49"/>
  <c r="I14" i="49"/>
  <c r="G14" i="49"/>
  <c r="F14" i="49"/>
  <c r="E14" i="49"/>
  <c r="I13" i="49"/>
  <c r="G13" i="49"/>
  <c r="F13" i="49"/>
  <c r="E13" i="49"/>
  <c r="I12" i="49"/>
  <c r="G12" i="49"/>
  <c r="F12" i="49"/>
  <c r="E12" i="49"/>
  <c r="I10" i="49"/>
  <c r="G10" i="49"/>
  <c r="F10" i="49"/>
  <c r="E10" i="49"/>
  <c r="I9" i="49"/>
  <c r="G9" i="49"/>
  <c r="F9" i="49"/>
  <c r="E9" i="49"/>
  <c r="I8" i="49"/>
  <c r="G8" i="49"/>
  <c r="F8" i="49"/>
  <c r="E8" i="49"/>
  <c r="E6" i="49" s="1"/>
  <c r="I7" i="49"/>
  <c r="I6" i="49"/>
  <c r="G7" i="49"/>
  <c r="F7" i="49"/>
  <c r="E7" i="49"/>
  <c r="M37" i="58"/>
  <c r="I10" i="58"/>
  <c r="G10" i="58"/>
  <c r="H10" i="58"/>
  <c r="F10" i="58"/>
  <c r="E10" i="58"/>
  <c r="I32" i="58"/>
  <c r="G32" i="58"/>
  <c r="H32" i="58"/>
  <c r="F32" i="58"/>
  <c r="E32" i="58"/>
  <c r="I29" i="58"/>
  <c r="G29" i="58"/>
  <c r="H29" i="58"/>
  <c r="F29" i="58"/>
  <c r="E29" i="58"/>
  <c r="I27" i="58"/>
  <c r="G27" i="58"/>
  <c r="F27" i="58"/>
  <c r="E27" i="58"/>
  <c r="I25" i="58"/>
  <c r="G25" i="58"/>
  <c r="H25" i="58"/>
  <c r="F25" i="58"/>
  <c r="E25" i="58"/>
  <c r="I24" i="58"/>
  <c r="G24" i="58"/>
  <c r="H24" i="58"/>
  <c r="F24" i="58"/>
  <c r="E24" i="58"/>
  <c r="I23" i="58"/>
  <c r="G23" i="58"/>
  <c r="H23" i="58"/>
  <c r="F23" i="58"/>
  <c r="E23" i="58"/>
  <c r="I14" i="58"/>
  <c r="G14" i="58"/>
  <c r="F14" i="58"/>
  <c r="H14" i="58"/>
  <c r="E14" i="58"/>
  <c r="I30" i="58"/>
  <c r="G30" i="58"/>
  <c r="H30" i="58"/>
  <c r="F30" i="58"/>
  <c r="E30" i="58"/>
  <c r="I28" i="58"/>
  <c r="G28" i="58"/>
  <c r="H28" i="58"/>
  <c r="F28" i="58"/>
  <c r="E28" i="58"/>
  <c r="G26" i="58"/>
  <c r="H26" i="58" s="1"/>
  <c r="F26" i="58"/>
  <c r="E26" i="58"/>
  <c r="I22" i="58"/>
  <c r="G22" i="58"/>
  <c r="F22" i="58"/>
  <c r="E22" i="58"/>
  <c r="I21" i="58"/>
  <c r="G21" i="58"/>
  <c r="F21" i="58"/>
  <c r="E21" i="58"/>
  <c r="I20" i="58"/>
  <c r="G20" i="58"/>
  <c r="F20" i="58"/>
  <c r="E20" i="58"/>
  <c r="I19" i="58"/>
  <c r="G19" i="58"/>
  <c r="F19" i="58"/>
  <c r="E19" i="58"/>
  <c r="I18" i="58"/>
  <c r="G18" i="58"/>
  <c r="F18" i="58"/>
  <c r="E18" i="58"/>
  <c r="I17" i="58"/>
  <c r="G17" i="58"/>
  <c r="F17" i="58"/>
  <c r="E17" i="58"/>
  <c r="I16" i="58"/>
  <c r="G16" i="58"/>
  <c r="F16" i="58"/>
  <c r="E16" i="58"/>
  <c r="I15" i="58"/>
  <c r="G15" i="58"/>
  <c r="F15" i="58"/>
  <c r="E15" i="58"/>
  <c r="I13" i="58"/>
  <c r="G13" i="58"/>
  <c r="F13" i="58"/>
  <c r="E13" i="58"/>
  <c r="I12" i="58"/>
  <c r="I11" i="58"/>
  <c r="G12" i="58"/>
  <c r="H12" i="58"/>
  <c r="F12" i="58"/>
  <c r="E12" i="58"/>
  <c r="I9" i="58"/>
  <c r="I6" i="58"/>
  <c r="G9" i="58"/>
  <c r="F9" i="58"/>
  <c r="E9" i="58"/>
  <c r="I8" i="58"/>
  <c r="G8" i="58"/>
  <c r="F8" i="58"/>
  <c r="E8" i="58"/>
  <c r="I7" i="58"/>
  <c r="G7" i="58"/>
  <c r="F7" i="58"/>
  <c r="E7" i="58"/>
  <c r="E6" i="58"/>
  <c r="M37" i="51"/>
  <c r="W32" i="51"/>
  <c r="W30" i="51"/>
  <c r="W29" i="51"/>
  <c r="W28" i="51"/>
  <c r="W27" i="51"/>
  <c r="W26" i="51"/>
  <c r="W25" i="51"/>
  <c r="W24" i="51"/>
  <c r="W23" i="51"/>
  <c r="W22" i="51"/>
  <c r="W21" i="51"/>
  <c r="W20" i="51"/>
  <c r="W19" i="51"/>
  <c r="W18" i="51"/>
  <c r="W17" i="51"/>
  <c r="W16" i="51"/>
  <c r="W15" i="51"/>
  <c r="W14" i="51"/>
  <c r="W13" i="51"/>
  <c r="W12" i="51"/>
  <c r="X11" i="51"/>
  <c r="V11" i="51"/>
  <c r="U11" i="51"/>
  <c r="T11" i="51"/>
  <c r="T31" i="51"/>
  <c r="T33" i="51"/>
  <c r="W10" i="51"/>
  <c r="W9" i="51"/>
  <c r="W8" i="51"/>
  <c r="W7" i="51"/>
  <c r="X6" i="51"/>
  <c r="X31" i="51"/>
  <c r="X33" i="51"/>
  <c r="V6" i="51"/>
  <c r="U6" i="51"/>
  <c r="U31" i="51"/>
  <c r="T6" i="51"/>
  <c r="M37" i="50"/>
  <c r="W32" i="50"/>
  <c r="I32" i="50"/>
  <c r="G32" i="50"/>
  <c r="H32" i="50"/>
  <c r="F32" i="50"/>
  <c r="E32" i="50"/>
  <c r="W30" i="50"/>
  <c r="I30" i="50"/>
  <c r="G30" i="50"/>
  <c r="H30" i="50"/>
  <c r="F30" i="50"/>
  <c r="E30" i="50"/>
  <c r="W29" i="50"/>
  <c r="I29" i="50"/>
  <c r="G29" i="50"/>
  <c r="H29" i="50"/>
  <c r="F29" i="50"/>
  <c r="E29" i="50"/>
  <c r="W28" i="50"/>
  <c r="I28" i="50"/>
  <c r="G28" i="50"/>
  <c r="F28" i="50"/>
  <c r="E28" i="50"/>
  <c r="W27" i="50"/>
  <c r="I27" i="50"/>
  <c r="G27" i="50"/>
  <c r="F27" i="50"/>
  <c r="E27" i="50"/>
  <c r="W26" i="50"/>
  <c r="I26" i="50"/>
  <c r="G26" i="50"/>
  <c r="F26" i="50"/>
  <c r="E26" i="50"/>
  <c r="W25" i="50"/>
  <c r="I25" i="50"/>
  <c r="G25" i="50"/>
  <c r="H25" i="50"/>
  <c r="F25" i="50"/>
  <c r="E25" i="50"/>
  <c r="W24" i="50"/>
  <c r="I24" i="50"/>
  <c r="G24" i="50"/>
  <c r="F24" i="50"/>
  <c r="H24" i="50"/>
  <c r="E24" i="50"/>
  <c r="W23" i="50"/>
  <c r="I23" i="50"/>
  <c r="G23" i="50"/>
  <c r="F23" i="50"/>
  <c r="E23" i="50"/>
  <c r="W22" i="50"/>
  <c r="I22" i="50"/>
  <c r="G22" i="50"/>
  <c r="F22" i="50"/>
  <c r="E22" i="50"/>
  <c r="W21" i="50"/>
  <c r="I21" i="50"/>
  <c r="G21" i="50"/>
  <c r="F21" i="50"/>
  <c r="E21" i="50"/>
  <c r="W20" i="50"/>
  <c r="I20" i="50"/>
  <c r="G20" i="50"/>
  <c r="F20" i="50"/>
  <c r="E20" i="50"/>
  <c r="W19" i="50"/>
  <c r="I19" i="50"/>
  <c r="G19" i="50"/>
  <c r="F19" i="50"/>
  <c r="E19" i="50"/>
  <c r="W18" i="50"/>
  <c r="I18" i="50"/>
  <c r="G18" i="50"/>
  <c r="F18" i="50"/>
  <c r="E18" i="50"/>
  <c r="W17" i="50"/>
  <c r="I17" i="50"/>
  <c r="G17" i="50"/>
  <c r="F17" i="50"/>
  <c r="E17" i="50"/>
  <c r="W16" i="50"/>
  <c r="I16" i="50"/>
  <c r="G16" i="50"/>
  <c r="F16" i="50"/>
  <c r="E16" i="50"/>
  <c r="W15" i="50"/>
  <c r="I15" i="50"/>
  <c r="G15" i="50"/>
  <c r="H15" i="50"/>
  <c r="F15" i="50"/>
  <c r="E15" i="50"/>
  <c r="W14" i="50"/>
  <c r="I14" i="50"/>
  <c r="G14" i="50"/>
  <c r="H14" i="50"/>
  <c r="F14" i="50"/>
  <c r="E14" i="50"/>
  <c r="W13" i="50"/>
  <c r="I13" i="50"/>
  <c r="G13" i="50"/>
  <c r="F13" i="50"/>
  <c r="E13" i="50"/>
  <c r="W12" i="50"/>
  <c r="I12" i="50"/>
  <c r="G12" i="50"/>
  <c r="F12" i="50"/>
  <c r="E12" i="50"/>
  <c r="X11" i="50"/>
  <c r="V11" i="50"/>
  <c r="U11" i="50"/>
  <c r="T11" i="50"/>
  <c r="W10" i="50"/>
  <c r="I10" i="50"/>
  <c r="G10" i="50"/>
  <c r="F10" i="50"/>
  <c r="E10" i="50"/>
  <c r="W9" i="50"/>
  <c r="I9" i="50"/>
  <c r="G9" i="50"/>
  <c r="F9" i="50"/>
  <c r="E9" i="50"/>
  <c r="W8" i="50"/>
  <c r="I8" i="50"/>
  <c r="G8" i="50"/>
  <c r="F8" i="50"/>
  <c r="E8" i="50"/>
  <c r="W7" i="50"/>
  <c r="I7" i="50"/>
  <c r="G7" i="50"/>
  <c r="F7" i="50"/>
  <c r="E7" i="50"/>
  <c r="X6" i="50"/>
  <c r="X31" i="50"/>
  <c r="X33" i="50"/>
  <c r="V6" i="50"/>
  <c r="U6" i="50"/>
  <c r="T6" i="50"/>
  <c r="T31" i="50"/>
  <c r="T33" i="50"/>
  <c r="M37" i="42"/>
  <c r="W32" i="42"/>
  <c r="I32" i="42"/>
  <c r="G32" i="42"/>
  <c r="H32" i="42"/>
  <c r="F32" i="42"/>
  <c r="E32" i="42"/>
  <c r="W30" i="42"/>
  <c r="I30" i="42"/>
  <c r="G30" i="42"/>
  <c r="H30" i="42"/>
  <c r="F30" i="42"/>
  <c r="E30" i="42"/>
  <c r="W29" i="42"/>
  <c r="I29" i="42"/>
  <c r="G29" i="42"/>
  <c r="F29" i="42"/>
  <c r="E29" i="42"/>
  <c r="W28" i="42"/>
  <c r="I28" i="42"/>
  <c r="I11" i="42"/>
  <c r="G28" i="42"/>
  <c r="F28" i="42"/>
  <c r="E28" i="42"/>
  <c r="W27" i="42"/>
  <c r="I27" i="42"/>
  <c r="G27" i="42"/>
  <c r="F27" i="42"/>
  <c r="E27" i="42"/>
  <c r="W26" i="42"/>
  <c r="I26" i="42"/>
  <c r="G26" i="42"/>
  <c r="F26" i="42"/>
  <c r="E26" i="42"/>
  <c r="W25" i="42"/>
  <c r="I25" i="42"/>
  <c r="G25" i="42"/>
  <c r="H25" i="42"/>
  <c r="F25" i="42"/>
  <c r="E25" i="42"/>
  <c r="W24" i="42"/>
  <c r="I24" i="42"/>
  <c r="G24" i="42"/>
  <c r="F24" i="42"/>
  <c r="H24" i="42"/>
  <c r="E24" i="42"/>
  <c r="W23" i="42"/>
  <c r="I23" i="42"/>
  <c r="G23" i="42"/>
  <c r="H23" i="42"/>
  <c r="F23" i="42"/>
  <c r="E23" i="42"/>
  <c r="W22" i="42"/>
  <c r="I22" i="42"/>
  <c r="G22" i="42"/>
  <c r="F22" i="42"/>
  <c r="E22" i="42"/>
  <c r="W21" i="42"/>
  <c r="I21" i="42"/>
  <c r="G21" i="42"/>
  <c r="F21" i="42"/>
  <c r="E21" i="42"/>
  <c r="W20" i="42"/>
  <c r="I20" i="42"/>
  <c r="G20" i="42"/>
  <c r="F20" i="42"/>
  <c r="E20" i="42"/>
  <c r="W19" i="42"/>
  <c r="I19" i="42"/>
  <c r="G19" i="42"/>
  <c r="F19" i="42"/>
  <c r="E19" i="42"/>
  <c r="W18" i="42"/>
  <c r="I18" i="42"/>
  <c r="G18" i="42"/>
  <c r="F18" i="42"/>
  <c r="E18" i="42"/>
  <c r="W17" i="42"/>
  <c r="I17" i="42"/>
  <c r="G17" i="42"/>
  <c r="H17" i="42"/>
  <c r="F17" i="42"/>
  <c r="E17" i="42"/>
  <c r="W16" i="42"/>
  <c r="I16" i="42"/>
  <c r="G16" i="42"/>
  <c r="H16" i="42"/>
  <c r="F16" i="42"/>
  <c r="E16" i="42"/>
  <c r="W15" i="42"/>
  <c r="I15" i="42"/>
  <c r="G15" i="42"/>
  <c r="F15" i="42"/>
  <c r="E15" i="42"/>
  <c r="W14" i="42"/>
  <c r="I14" i="42"/>
  <c r="G14" i="42"/>
  <c r="F14" i="42"/>
  <c r="H14" i="42"/>
  <c r="E14" i="42"/>
  <c r="W13" i="42"/>
  <c r="I13" i="42"/>
  <c r="G13" i="42"/>
  <c r="H13" i="42"/>
  <c r="F13" i="42"/>
  <c r="E13" i="42"/>
  <c r="W12" i="42"/>
  <c r="I12" i="42"/>
  <c r="G12" i="42"/>
  <c r="F12" i="42"/>
  <c r="E12" i="42"/>
  <c r="X11" i="42"/>
  <c r="V11" i="42"/>
  <c r="U11" i="42"/>
  <c r="T11" i="42"/>
  <c r="W10" i="42"/>
  <c r="I10" i="42"/>
  <c r="G10" i="42"/>
  <c r="H10" i="42"/>
  <c r="F10" i="42"/>
  <c r="E10" i="42"/>
  <c r="W9" i="42"/>
  <c r="I9" i="42"/>
  <c r="G9" i="42"/>
  <c r="F9" i="42"/>
  <c r="E9" i="42"/>
  <c r="W8" i="42"/>
  <c r="I8" i="42"/>
  <c r="G8" i="42"/>
  <c r="F8" i="42"/>
  <c r="E8" i="42"/>
  <c r="W7" i="42"/>
  <c r="I7" i="42"/>
  <c r="I6" i="42"/>
  <c r="G7" i="42"/>
  <c r="F7" i="42"/>
  <c r="E7" i="42"/>
  <c r="X6" i="42"/>
  <c r="X31" i="42"/>
  <c r="X33" i="42"/>
  <c r="V6" i="42"/>
  <c r="V31" i="42"/>
  <c r="V33" i="42"/>
  <c r="U6" i="42"/>
  <c r="U31" i="42"/>
  <c r="U33" i="42"/>
  <c r="T6" i="42"/>
  <c r="T31" i="42"/>
  <c r="T33" i="42"/>
  <c r="M37" i="44"/>
  <c r="I32" i="44"/>
  <c r="G32" i="44"/>
  <c r="H32" i="44"/>
  <c r="F32" i="44"/>
  <c r="E32" i="44"/>
  <c r="I30" i="44"/>
  <c r="G30" i="44"/>
  <c r="F30" i="44"/>
  <c r="H30" i="44"/>
  <c r="E30" i="44"/>
  <c r="I29" i="44"/>
  <c r="G29" i="44"/>
  <c r="F29" i="44"/>
  <c r="E29" i="44"/>
  <c r="I28" i="44"/>
  <c r="G28" i="44"/>
  <c r="F28" i="44"/>
  <c r="E28" i="44"/>
  <c r="I27" i="44"/>
  <c r="G27" i="44"/>
  <c r="H27" i="44"/>
  <c r="F27" i="44"/>
  <c r="E27" i="44"/>
  <c r="I26" i="44"/>
  <c r="G26" i="44"/>
  <c r="F26" i="44"/>
  <c r="E26" i="44"/>
  <c r="I25" i="44"/>
  <c r="G25" i="44"/>
  <c r="H25" i="44"/>
  <c r="F25" i="44"/>
  <c r="E25" i="44"/>
  <c r="I24" i="44"/>
  <c r="G24" i="44"/>
  <c r="F24" i="44"/>
  <c r="H24" i="44"/>
  <c r="E24" i="44"/>
  <c r="I23" i="44"/>
  <c r="G23" i="44"/>
  <c r="H23" i="44"/>
  <c r="F23" i="44"/>
  <c r="E23" i="44"/>
  <c r="I22" i="44"/>
  <c r="G22" i="44"/>
  <c r="H22" i="44"/>
  <c r="F22" i="44"/>
  <c r="E22" i="44"/>
  <c r="I21" i="44"/>
  <c r="G21" i="44"/>
  <c r="H21" i="44"/>
  <c r="F21" i="44"/>
  <c r="E21" i="44"/>
  <c r="I20" i="44"/>
  <c r="G20" i="44"/>
  <c r="F20" i="44"/>
  <c r="E20" i="44"/>
  <c r="I19" i="44"/>
  <c r="G19" i="44"/>
  <c r="F19" i="44"/>
  <c r="H19" i="44"/>
  <c r="E19" i="44"/>
  <c r="I18" i="44"/>
  <c r="G18" i="44"/>
  <c r="F18" i="44"/>
  <c r="E18" i="44"/>
  <c r="I17" i="44"/>
  <c r="G17" i="44"/>
  <c r="F17" i="44"/>
  <c r="H17" i="44"/>
  <c r="E17" i="44"/>
  <c r="I16" i="44"/>
  <c r="G16" i="44"/>
  <c r="H16" i="44"/>
  <c r="F16" i="44"/>
  <c r="E16" i="44"/>
  <c r="I15" i="44"/>
  <c r="G15" i="44"/>
  <c r="H15" i="44"/>
  <c r="F15" i="44"/>
  <c r="E15" i="44"/>
  <c r="E11" i="44"/>
  <c r="E31" i="44"/>
  <c r="E33" i="44"/>
  <c r="I14" i="44"/>
  <c r="G14" i="44"/>
  <c r="F14" i="44"/>
  <c r="H14" i="44"/>
  <c r="E14" i="44"/>
  <c r="I13" i="44"/>
  <c r="G13" i="44"/>
  <c r="F13" i="44"/>
  <c r="E13" i="44"/>
  <c r="I12" i="44"/>
  <c r="G12" i="44"/>
  <c r="G11" i="44"/>
  <c r="F12" i="44"/>
  <c r="E12" i="44"/>
  <c r="I10" i="44"/>
  <c r="G10" i="44"/>
  <c r="H10" i="44"/>
  <c r="F10" i="44"/>
  <c r="E10" i="44"/>
  <c r="I9" i="44"/>
  <c r="G9" i="44"/>
  <c r="F9" i="44"/>
  <c r="H9" i="44"/>
  <c r="E9" i="44"/>
  <c r="I8" i="44"/>
  <c r="G8" i="44"/>
  <c r="H8" i="44"/>
  <c r="F8" i="44"/>
  <c r="E8" i="44"/>
  <c r="I7" i="44"/>
  <c r="G7" i="44"/>
  <c r="H7" i="44"/>
  <c r="F7" i="44"/>
  <c r="E7" i="44"/>
  <c r="E6" i="44"/>
  <c r="W6" i="51"/>
  <c r="W6" i="50"/>
  <c r="H28" i="50"/>
  <c r="H26" i="50"/>
  <c r="H20" i="50"/>
  <c r="H19" i="50"/>
  <c r="H18" i="50"/>
  <c r="H17" i="50"/>
  <c r="H13" i="50"/>
  <c r="H12" i="50"/>
  <c r="F11" i="50"/>
  <c r="H9" i="50"/>
  <c r="I6" i="50"/>
  <c r="H8" i="50"/>
  <c r="F6" i="50"/>
  <c r="F31" i="50"/>
  <c r="H29" i="42"/>
  <c r="H26" i="42"/>
  <c r="H26" i="44"/>
  <c r="H29" i="44"/>
  <c r="H28" i="44"/>
  <c r="H20" i="44"/>
  <c r="H18" i="44"/>
  <c r="I11" i="44"/>
  <c r="H13" i="44"/>
  <c r="F11" i="44"/>
  <c r="I6" i="44"/>
  <c r="I31" i="44"/>
  <c r="I33" i="44"/>
  <c r="G6" i="44"/>
  <c r="H6" i="44"/>
  <c r="F6" i="44"/>
  <c r="F31" i="44"/>
  <c r="F33" i="44"/>
  <c r="H7" i="50"/>
  <c r="G6" i="50"/>
  <c r="H22" i="50"/>
  <c r="H10" i="50"/>
  <c r="H23" i="50"/>
  <c r="E11" i="58"/>
  <c r="H6" i="50"/>
  <c r="H27" i="50"/>
  <c r="H21" i="50"/>
  <c r="H16" i="50"/>
  <c r="E11" i="50"/>
  <c r="H29" i="51"/>
  <c r="H32" i="51"/>
  <c r="I11" i="51"/>
  <c r="G11" i="51"/>
  <c r="H14" i="51"/>
  <c r="F11" i="51"/>
  <c r="H7" i="51"/>
  <c r="Q31" i="42"/>
  <c r="Q33" i="42"/>
  <c r="L31" i="58"/>
  <c r="L33" i="58" s="1"/>
  <c r="F11" i="58"/>
  <c r="W11" i="49"/>
  <c r="G6" i="49"/>
  <c r="R6" i="50"/>
  <c r="H8" i="49"/>
  <c r="H10" i="49"/>
  <c r="H14" i="49"/>
  <c r="H23" i="49"/>
  <c r="H24" i="49"/>
  <c r="H29" i="49"/>
  <c r="H16" i="49"/>
  <c r="H18" i="49"/>
  <c r="F6" i="49"/>
  <c r="H12" i="57"/>
  <c r="R6" i="57"/>
  <c r="M11" i="51"/>
  <c r="E11" i="51"/>
  <c r="R11" i="51"/>
  <c r="H27" i="49"/>
  <c r="I11" i="49"/>
  <c r="H21" i="49"/>
  <c r="H20" i="49"/>
  <c r="H19" i="49"/>
  <c r="G11" i="49"/>
  <c r="H13" i="49"/>
  <c r="R11" i="49"/>
  <c r="H12" i="49"/>
  <c r="M11" i="49"/>
  <c r="F11" i="49"/>
  <c r="K31" i="49"/>
  <c r="H9" i="49"/>
  <c r="R6" i="49"/>
  <c r="M6" i="49"/>
  <c r="H7" i="49"/>
  <c r="K31" i="42"/>
  <c r="K33" i="42"/>
  <c r="L31" i="42"/>
  <c r="H11" i="44"/>
  <c r="H12" i="44"/>
  <c r="H24" i="51"/>
  <c r="H30" i="51"/>
  <c r="H23" i="51"/>
  <c r="H25" i="51"/>
  <c r="H26" i="51"/>
  <c r="H17" i="51"/>
  <c r="O31" i="51"/>
  <c r="O33" i="51"/>
  <c r="H13" i="51"/>
  <c r="P31" i="51"/>
  <c r="P33" i="51"/>
  <c r="J31" i="51"/>
  <c r="J33" i="51"/>
  <c r="K31" i="51"/>
  <c r="K33" i="51"/>
  <c r="M6" i="51"/>
  <c r="H28" i="57"/>
  <c r="H27" i="57"/>
  <c r="L31" i="57"/>
  <c r="L33" i="57"/>
  <c r="H21" i="57"/>
  <c r="H20" i="57"/>
  <c r="E11" i="57"/>
  <c r="H19" i="57"/>
  <c r="H18" i="57"/>
  <c r="H17" i="57"/>
  <c r="F11" i="57"/>
  <c r="H16" i="57"/>
  <c r="H15" i="57"/>
  <c r="I11" i="57"/>
  <c r="M11" i="57"/>
  <c r="G11" i="57"/>
  <c r="R11" i="57"/>
  <c r="Q31" i="57"/>
  <c r="Q33" i="57"/>
  <c r="P31" i="57"/>
  <c r="P33" i="57"/>
  <c r="H9" i="57"/>
  <c r="I6" i="57"/>
  <c r="I31" i="57"/>
  <c r="I33" i="57"/>
  <c r="G6" i="57"/>
  <c r="H8" i="57"/>
  <c r="F6" i="57"/>
  <c r="H7" i="57"/>
  <c r="M6" i="57"/>
  <c r="K31" i="57"/>
  <c r="K33" i="57"/>
  <c r="G11" i="58"/>
  <c r="H11" i="58" s="1"/>
  <c r="M6" i="58"/>
  <c r="V31" i="58"/>
  <c r="V33" i="58" s="1"/>
  <c r="W33" i="58" s="1"/>
  <c r="G6" i="58"/>
  <c r="H6" i="58" s="1"/>
  <c r="L34" i="61"/>
  <c r="M34" i="61"/>
  <c r="M32" i="61"/>
  <c r="R32" i="61"/>
  <c r="Q34" i="61"/>
  <c r="R34" i="61"/>
  <c r="W32" i="61"/>
  <c r="V34" i="61"/>
  <c r="W34" i="61"/>
  <c r="M6" i="61"/>
  <c r="G32" i="61"/>
  <c r="T31" i="52"/>
  <c r="T33" i="52"/>
  <c r="V33" i="52"/>
  <c r="W31" i="52"/>
  <c r="G31" i="52"/>
  <c r="G33" i="52"/>
  <c r="L31" i="52"/>
  <c r="L33" i="52"/>
  <c r="J31" i="79"/>
  <c r="J33" i="79"/>
  <c r="E31" i="79"/>
  <c r="E33" i="79"/>
  <c r="R31" i="79"/>
  <c r="Q33" i="79"/>
  <c r="R33" i="79"/>
  <c r="W31" i="79"/>
  <c r="V33" i="79"/>
  <c r="W33" i="79"/>
  <c r="G6" i="79"/>
  <c r="G11" i="79"/>
  <c r="H11" i="79"/>
  <c r="L31" i="79"/>
  <c r="O31" i="50"/>
  <c r="O33" i="50"/>
  <c r="G11" i="50"/>
  <c r="H11" i="50"/>
  <c r="W11" i="50"/>
  <c r="V31" i="50"/>
  <c r="V33" i="50"/>
  <c r="U31" i="50"/>
  <c r="U33" i="50"/>
  <c r="Q31" i="50"/>
  <c r="Q33" i="50"/>
  <c r="R11" i="50"/>
  <c r="P31" i="50"/>
  <c r="P33" i="50"/>
  <c r="L31" i="50"/>
  <c r="L33" i="50"/>
  <c r="M11" i="50"/>
  <c r="J31" i="50"/>
  <c r="J33" i="50"/>
  <c r="E6" i="50"/>
  <c r="E31" i="50"/>
  <c r="E33" i="50"/>
  <c r="I11" i="50"/>
  <c r="I31" i="50"/>
  <c r="I33" i="50"/>
  <c r="N31" i="50"/>
  <c r="N33" i="50"/>
  <c r="M6" i="50"/>
  <c r="F33" i="50"/>
  <c r="K31" i="50"/>
  <c r="H32" i="61"/>
  <c r="G34" i="61"/>
  <c r="H34" i="61"/>
  <c r="L33" i="79"/>
  <c r="M33" i="79"/>
  <c r="M31" i="79"/>
  <c r="G31" i="79"/>
  <c r="H6" i="79"/>
  <c r="R33" i="50"/>
  <c r="G31" i="50"/>
  <c r="G33" i="50"/>
  <c r="H33" i="50"/>
  <c r="R31" i="50"/>
  <c r="W33" i="50"/>
  <c r="W31" i="50"/>
  <c r="M31" i="50"/>
  <c r="K33" i="50"/>
  <c r="M33" i="50"/>
  <c r="G33" i="79"/>
  <c r="H33" i="79"/>
  <c r="H31" i="79"/>
  <c r="H31" i="50"/>
  <c r="H27" i="58"/>
  <c r="H22" i="58"/>
  <c r="H21" i="58"/>
  <c r="H20" i="58"/>
  <c r="H19" i="58"/>
  <c r="H17" i="58"/>
  <c r="H16" i="58"/>
  <c r="H15" i="58"/>
  <c r="H13" i="58"/>
  <c r="K31" i="58"/>
  <c r="F31" i="58"/>
  <c r="M11" i="58"/>
  <c r="J31" i="58"/>
  <c r="J33" i="58"/>
  <c r="E33" i="58"/>
  <c r="W11" i="58"/>
  <c r="U31" i="58"/>
  <c r="W31" i="58"/>
  <c r="T31" i="58"/>
  <c r="T33" i="58"/>
  <c r="R11" i="58"/>
  <c r="H18" i="58"/>
  <c r="Q31" i="58"/>
  <c r="Q33" i="58"/>
  <c r="P31" i="58"/>
  <c r="P33" i="58"/>
  <c r="R6" i="58"/>
  <c r="H9" i="58"/>
  <c r="H8" i="58"/>
  <c r="W6" i="58"/>
  <c r="H7" i="58"/>
  <c r="N33" i="58"/>
  <c r="I33" i="58"/>
  <c r="I31" i="58"/>
  <c r="F6" i="58"/>
  <c r="E31" i="58"/>
  <c r="K33" i="58"/>
  <c r="U33" i="58"/>
  <c r="R31" i="58"/>
  <c r="G31" i="58"/>
  <c r="H31" i="58" s="1"/>
  <c r="R33" i="58"/>
  <c r="F33" i="58"/>
  <c r="L33" i="56"/>
  <c r="R31" i="56"/>
  <c r="Q33" i="56"/>
  <c r="R33" i="56"/>
  <c r="W31" i="56"/>
  <c r="V33" i="56"/>
  <c r="W33" i="56"/>
  <c r="H12" i="56"/>
  <c r="M6" i="56"/>
  <c r="F11" i="56"/>
  <c r="R12" i="56"/>
  <c r="R21" i="56"/>
  <c r="G26" i="56"/>
  <c r="H26" i="56"/>
  <c r="F6" i="56"/>
  <c r="R6" i="56"/>
  <c r="K11" i="56"/>
  <c r="M11" i="56"/>
  <c r="K31" i="56"/>
  <c r="G11" i="56"/>
  <c r="H6" i="56"/>
  <c r="F31" i="56"/>
  <c r="F33" i="56"/>
  <c r="H11" i="56"/>
  <c r="G31" i="56"/>
  <c r="K33" i="56"/>
  <c r="M33" i="56"/>
  <c r="M31" i="56"/>
  <c r="H31" i="56"/>
  <c r="G33" i="56"/>
  <c r="H33" i="56"/>
  <c r="H28" i="51"/>
  <c r="H27" i="51"/>
  <c r="H21" i="51"/>
  <c r="H20" i="51"/>
  <c r="H19" i="51"/>
  <c r="H18" i="51"/>
  <c r="H16" i="51"/>
  <c r="W11" i="51"/>
  <c r="V31" i="51"/>
  <c r="V33" i="51"/>
  <c r="H11" i="51"/>
  <c r="G31" i="51"/>
  <c r="G33" i="51"/>
  <c r="H12" i="51"/>
  <c r="E31" i="51"/>
  <c r="E33" i="51"/>
  <c r="Q33" i="51"/>
  <c r="R33" i="51"/>
  <c r="R31" i="51"/>
  <c r="R6" i="51"/>
  <c r="H9" i="51"/>
  <c r="H8" i="51"/>
  <c r="U33" i="51"/>
  <c r="I31" i="51"/>
  <c r="I33" i="51"/>
  <c r="M31" i="51"/>
  <c r="L33" i="51"/>
  <c r="M33" i="51"/>
  <c r="F31" i="51"/>
  <c r="H6" i="51"/>
  <c r="W31" i="51"/>
  <c r="W33" i="51"/>
  <c r="F33" i="51"/>
  <c r="H33" i="51"/>
  <c r="H31" i="51"/>
  <c r="H10" i="53"/>
  <c r="E31" i="53"/>
  <c r="E33" i="53"/>
  <c r="L31" i="53"/>
  <c r="H29" i="53"/>
  <c r="G31" i="53"/>
  <c r="G33" i="53"/>
  <c r="H33" i="53"/>
  <c r="I31" i="53"/>
  <c r="I33" i="53"/>
  <c r="N31" i="53"/>
  <c r="N33" i="53"/>
  <c r="M31" i="53"/>
  <c r="L33" i="53"/>
  <c r="M33" i="53"/>
  <c r="Q31" i="53"/>
  <c r="V31" i="53"/>
  <c r="H31" i="53"/>
  <c r="W31" i="53"/>
  <c r="V33" i="53"/>
  <c r="W33" i="53"/>
  <c r="R31" i="53"/>
  <c r="Q33" i="53"/>
  <c r="R33" i="53"/>
  <c r="L33" i="54"/>
  <c r="M33" i="54"/>
  <c r="M31" i="54"/>
  <c r="M6" i="54"/>
  <c r="Q31" i="54"/>
  <c r="V31" i="54"/>
  <c r="G31" i="54"/>
  <c r="H31" i="54"/>
  <c r="G33" i="54"/>
  <c r="H33" i="54"/>
  <c r="W31" i="54"/>
  <c r="V33" i="54"/>
  <c r="W33" i="54"/>
  <c r="R31" i="54"/>
  <c r="Q33" i="54"/>
  <c r="R33" i="54"/>
  <c r="H26" i="57"/>
  <c r="O31" i="57"/>
  <c r="O33" i="57"/>
  <c r="H13" i="57"/>
  <c r="V31" i="57"/>
  <c r="W11" i="57"/>
  <c r="U31" i="57"/>
  <c r="U33" i="57"/>
  <c r="R33" i="57"/>
  <c r="R31" i="57"/>
  <c r="H11" i="57"/>
  <c r="F31" i="57"/>
  <c r="F33" i="57"/>
  <c r="J31" i="57"/>
  <c r="J33" i="57"/>
  <c r="H6" i="57"/>
  <c r="W6" i="57"/>
  <c r="G31" i="57"/>
  <c r="G33" i="57"/>
  <c r="M31" i="57"/>
  <c r="E6" i="57"/>
  <c r="E31" i="57"/>
  <c r="E33" i="57"/>
  <c r="M33" i="57"/>
  <c r="E11" i="49"/>
  <c r="H17" i="49"/>
  <c r="H15" i="49"/>
  <c r="V31" i="49"/>
  <c r="V33" i="49"/>
  <c r="U31" i="49"/>
  <c r="U33" i="49"/>
  <c r="H11" i="49"/>
  <c r="Q31" i="49"/>
  <c r="Q33" i="49"/>
  <c r="R33" i="49"/>
  <c r="O31" i="49"/>
  <c r="O33" i="49"/>
  <c r="L31" i="49"/>
  <c r="L33" i="49"/>
  <c r="G31" i="49"/>
  <c r="G33" i="49"/>
  <c r="F31" i="49"/>
  <c r="J31" i="49"/>
  <c r="J33" i="49" s="1"/>
  <c r="W6" i="49"/>
  <c r="K33" i="49"/>
  <c r="H6" i="49"/>
  <c r="I31" i="49"/>
  <c r="I33" i="49"/>
  <c r="W31" i="57"/>
  <c r="V33" i="57"/>
  <c r="W33" i="57"/>
  <c r="H33" i="57"/>
  <c r="H31" i="57"/>
  <c r="R31" i="49"/>
  <c r="M31" i="49"/>
  <c r="H31" i="49"/>
  <c r="F33" i="49"/>
  <c r="M33" i="49"/>
  <c r="W33" i="49"/>
  <c r="W31" i="49"/>
  <c r="H33" i="49"/>
  <c r="L33" i="44"/>
  <c r="G31" i="44"/>
  <c r="Q31" i="44"/>
  <c r="Q33" i="44"/>
  <c r="G33" i="44"/>
  <c r="H33" i="44"/>
  <c r="H31" i="44"/>
  <c r="R31" i="43"/>
  <c r="Q33" i="43"/>
  <c r="R33" i="43"/>
  <c r="W31" i="43"/>
  <c r="V33" i="43"/>
  <c r="W33" i="43"/>
  <c r="G31" i="43"/>
  <c r="H6" i="43"/>
  <c r="L33" i="43"/>
  <c r="M33" i="43"/>
  <c r="M31" i="43"/>
  <c r="R6" i="43"/>
  <c r="H8" i="43"/>
  <c r="W6" i="43"/>
  <c r="G11" i="43"/>
  <c r="H11" i="43"/>
  <c r="H31" i="43"/>
  <c r="G33" i="43"/>
  <c r="H33" i="43"/>
  <c r="H27" i="45"/>
  <c r="H25" i="45"/>
  <c r="H21" i="45"/>
  <c r="R11" i="45"/>
  <c r="G11" i="45"/>
  <c r="H19" i="45"/>
  <c r="P31" i="45"/>
  <c r="P33" i="45"/>
  <c r="H17" i="45"/>
  <c r="I11" i="45"/>
  <c r="I31" i="45"/>
  <c r="I33" i="45"/>
  <c r="F11" i="45"/>
  <c r="M11" i="45"/>
  <c r="K31" i="45"/>
  <c r="K33" i="45"/>
  <c r="E11" i="45"/>
  <c r="S31" i="45"/>
  <c r="S33" i="45"/>
  <c r="N31" i="45"/>
  <c r="N33" i="45"/>
  <c r="J31" i="45"/>
  <c r="J33" i="45"/>
  <c r="R6" i="45"/>
  <c r="E6" i="45"/>
  <c r="H7" i="45"/>
  <c r="G6" i="45"/>
  <c r="H6" i="45"/>
  <c r="L31" i="45"/>
  <c r="L33" i="45"/>
  <c r="Q31" i="45"/>
  <c r="U31" i="45"/>
  <c r="U33" i="45"/>
  <c r="H8" i="45"/>
  <c r="H14" i="45"/>
  <c r="H18" i="45"/>
  <c r="H22" i="45"/>
  <c r="H26" i="45"/>
  <c r="H30" i="45"/>
  <c r="H10" i="45"/>
  <c r="W11" i="45"/>
  <c r="H12" i="45"/>
  <c r="H16" i="45"/>
  <c r="H20" i="45"/>
  <c r="H24" i="45"/>
  <c r="H28" i="45"/>
  <c r="H32" i="45"/>
  <c r="H9" i="45"/>
  <c r="H15" i="45"/>
  <c r="M6" i="45"/>
  <c r="V31" i="45"/>
  <c r="H28" i="42"/>
  <c r="H27" i="42"/>
  <c r="I31" i="42"/>
  <c r="I33" i="42"/>
  <c r="W6" i="42"/>
  <c r="W33" i="42"/>
  <c r="W11" i="42"/>
  <c r="W31" i="42"/>
  <c r="H22" i="42"/>
  <c r="H21" i="42"/>
  <c r="H20" i="42"/>
  <c r="H19" i="42"/>
  <c r="O31" i="42"/>
  <c r="O33" i="42"/>
  <c r="H18" i="42"/>
  <c r="H15" i="42"/>
  <c r="G11" i="42"/>
  <c r="F11" i="42"/>
  <c r="E11" i="42"/>
  <c r="R11" i="42"/>
  <c r="M11" i="42"/>
  <c r="H12" i="42"/>
  <c r="M31" i="42"/>
  <c r="J31" i="42"/>
  <c r="J33" i="42"/>
  <c r="R33" i="42"/>
  <c r="R6" i="42"/>
  <c r="R31" i="42"/>
  <c r="H9" i="42"/>
  <c r="G6" i="42"/>
  <c r="H8" i="42"/>
  <c r="L33" i="42"/>
  <c r="M33" i="42"/>
  <c r="E6" i="42"/>
  <c r="M6" i="42"/>
  <c r="H7" i="42"/>
  <c r="F6" i="42"/>
  <c r="I31" i="46"/>
  <c r="I33" i="46"/>
  <c r="F31" i="46"/>
  <c r="H12" i="46"/>
  <c r="E31" i="46"/>
  <c r="E33" i="46"/>
  <c r="G6" i="46"/>
  <c r="H7" i="46"/>
  <c r="M6" i="46"/>
  <c r="R6" i="46"/>
  <c r="G11" i="46"/>
  <c r="H11" i="46"/>
  <c r="H11" i="45"/>
  <c r="R31" i="45"/>
  <c r="M33" i="45"/>
  <c r="Q33" i="45"/>
  <c r="R33" i="45"/>
  <c r="F31" i="45"/>
  <c r="F33" i="45"/>
  <c r="E31" i="45"/>
  <c r="E33" i="45"/>
  <c r="G31" i="45"/>
  <c r="G33" i="45"/>
  <c r="M31" i="45"/>
  <c r="W31" i="45"/>
  <c r="V33" i="45"/>
  <c r="W33" i="45"/>
  <c r="H11" i="42"/>
  <c r="G31" i="42"/>
  <c r="G33" i="42"/>
  <c r="E31" i="42"/>
  <c r="E33" i="42"/>
  <c r="H6" i="42"/>
  <c r="F31" i="42"/>
  <c r="F33" i="46"/>
  <c r="G31" i="46"/>
  <c r="G33" i="46"/>
  <c r="H6" i="46"/>
  <c r="H33" i="45"/>
  <c r="H31" i="45"/>
  <c r="F33" i="42"/>
  <c r="H33" i="42"/>
  <c r="H31" i="42"/>
  <c r="H31" i="46"/>
  <c r="H33" i="46"/>
  <c r="E26" i="63"/>
  <c r="G33" i="58" l="1"/>
  <c r="H33" i="58" s="1"/>
  <c r="M33" i="58"/>
  <c r="M31" i="58"/>
  <c r="E31" i="49"/>
  <c r="E33" i="49" s="1"/>
</calcChain>
</file>

<file path=xl/sharedStrings.xml><?xml version="1.0" encoding="utf-8"?>
<sst xmlns="http://schemas.openxmlformats.org/spreadsheetml/2006/main" count="3971" uniqueCount="828">
  <si>
    <t>1.</t>
  </si>
  <si>
    <t>Výnosy celkem</t>
  </si>
  <si>
    <t>2.</t>
  </si>
  <si>
    <t>3.</t>
  </si>
  <si>
    <t>4.</t>
  </si>
  <si>
    <t>5.</t>
  </si>
  <si>
    <t>6.</t>
  </si>
  <si>
    <t>Příspěvek na investice</t>
  </si>
  <si>
    <t>7.</t>
  </si>
  <si>
    <t>Náklady celkem</t>
  </si>
  <si>
    <t>8.</t>
  </si>
  <si>
    <t>9.</t>
  </si>
  <si>
    <t>10.</t>
  </si>
  <si>
    <t>11.</t>
  </si>
  <si>
    <t>12.</t>
  </si>
  <si>
    <t>13.</t>
  </si>
  <si>
    <t>14.</t>
  </si>
  <si>
    <t>15.</t>
  </si>
  <si>
    <t>16.</t>
  </si>
  <si>
    <t>17.</t>
  </si>
  <si>
    <t>18.</t>
  </si>
  <si>
    <t>19.</t>
  </si>
  <si>
    <t>20.</t>
  </si>
  <si>
    <t>21.</t>
  </si>
  <si>
    <t>Průměrná měsíční mzda</t>
  </si>
  <si>
    <t>Kč</t>
  </si>
  <si>
    <t>osob</t>
  </si>
  <si>
    <t>Fyzický stav pracovníků</t>
  </si>
  <si>
    <t>501 - Spotřeba materiálu</t>
  </si>
  <si>
    <t>502 - Spotřeba energie</t>
  </si>
  <si>
    <t>512 - Cestovné</t>
  </si>
  <si>
    <t>518 - Ostatní služby</t>
  </si>
  <si>
    <t>521 - Mzdové náklady</t>
  </si>
  <si>
    <t>Evid. přepočtený stav pracovníků</t>
  </si>
  <si>
    <t>Celkem</t>
  </si>
  <si>
    <t>Roční plán</t>
  </si>
  <si>
    <t>Skutečnost</t>
  </si>
  <si>
    <t>SK/RP</t>
  </si>
  <si>
    <t>Doplňková činnost</t>
  </si>
  <si>
    <t>Vztah ke zřizovateli</t>
  </si>
  <si>
    <t>Poř. číslo</t>
  </si>
  <si>
    <t>Ukazatel</t>
  </si>
  <si>
    <t>Měrná jednotka</t>
  </si>
  <si>
    <t>Vztah k Olomouckému kraji, popř. SR ČR apod.</t>
  </si>
  <si>
    <t>Schválený roční plán</t>
  </si>
  <si>
    <t>22.</t>
  </si>
  <si>
    <t>Vyúčtování účel. prostředků zřizovatele</t>
  </si>
  <si>
    <t>60X až 64X - Výnosy z činnosti</t>
  </si>
  <si>
    <t>66X - Finanční výnosy</t>
  </si>
  <si>
    <t>513 - Náklady na reprezentaci</t>
  </si>
  <si>
    <t>524, 525 - Zákonné a jiné sociální pojištění</t>
  </si>
  <si>
    <t>527, 528 - Zákonné a jiné sociální náklady</t>
  </si>
  <si>
    <t>543 - Dary</t>
  </si>
  <si>
    <t>23.</t>
  </si>
  <si>
    <t>24.</t>
  </si>
  <si>
    <t>56X - Finanční náklady</t>
  </si>
  <si>
    <t>25.</t>
  </si>
  <si>
    <t>26.</t>
  </si>
  <si>
    <t>Výsledek hospodaření před zdaněním</t>
  </si>
  <si>
    <t>27.</t>
  </si>
  <si>
    <t>28.</t>
  </si>
  <si>
    <t>Výsledek hospodaření po zdanění</t>
  </si>
  <si>
    <t>29.</t>
  </si>
  <si>
    <t>30.</t>
  </si>
  <si>
    <t>31.</t>
  </si>
  <si>
    <t>32.</t>
  </si>
  <si>
    <t>67X - Výnosy z transferů</t>
  </si>
  <si>
    <t>50X - Jiné spotřebované nákupy</t>
  </si>
  <si>
    <t>511 - Opravy a udržování</t>
  </si>
  <si>
    <t>53X - Daně a poplatky</t>
  </si>
  <si>
    <t>541, 542 - Pokuty, úroky z prodlení  a penále</t>
  </si>
  <si>
    <t>54X - Jiné ostatní náklady</t>
  </si>
  <si>
    <t>551 - Odpisy dlouhodobého majetku</t>
  </si>
  <si>
    <t>55X - Jiné odpisy, rezervy a opravné položky</t>
  </si>
  <si>
    <t>549 - Ostatní náklady z činnosti</t>
  </si>
  <si>
    <t>57X - Náklady na transfery</t>
  </si>
  <si>
    <t>59X - Daň z příjmů</t>
  </si>
  <si>
    <t>Kategorie</t>
  </si>
  <si>
    <t>Hlavní činnost (zřizovatel)</t>
  </si>
  <si>
    <t>Peněžní fond</t>
  </si>
  <si>
    <t>Rezervní fond</t>
  </si>
  <si>
    <t>Fond odměn</t>
  </si>
  <si>
    <t>Fond kulturních a sociálních potřeb</t>
  </si>
  <si>
    <t>Číslo účtu - Název účtu dle rozvahy</t>
  </si>
  <si>
    <t>Číslo faktury</t>
  </si>
  <si>
    <t>Účel</t>
  </si>
  <si>
    <t>Text úpravy finančního plánu</t>
  </si>
  <si>
    <t>Datum schválení úpravy FP</t>
  </si>
  <si>
    <t>Datum provedení úpravy FP</t>
  </si>
  <si>
    <t>558 - Náklady z DDHM</t>
  </si>
  <si>
    <t xml:space="preserve"> </t>
  </si>
  <si>
    <t>Mateřská škola Prostějov, ul. Šárka 4a, příspěvková organizace</t>
  </si>
  <si>
    <t>Mateřská škola Prostějov, Partyzánská ul. 34, příspěvková organizace</t>
  </si>
  <si>
    <t>Mateřská škola Prostějov, Smetanova ul. 24, příspěvková organizace</t>
  </si>
  <si>
    <t>Mateřská škola Prostějov, Moravská ul. 30, příspěvková organizace</t>
  </si>
  <si>
    <t>Základní škola a mateřská škola Prostějov, Palackého tř. 14</t>
  </si>
  <si>
    <t>Základní škola a mateřská škola Prostějov, Kollárova ul. 4</t>
  </si>
  <si>
    <t>Základní škola a mateřská škola Jana Železného Prostějov, Sídliště svobody 24/79</t>
  </si>
  <si>
    <t>Základní škola a mateřská škola Prostějov, Melantrichova 60</t>
  </si>
  <si>
    <t>Základní škola Prostějov, ul. Vl. Majakovského 1</t>
  </si>
  <si>
    <t>Reálné gymnázium a základní škola města Prostějova, Studentská ul. 2</t>
  </si>
  <si>
    <t>Základní škola Prostějov, Dr. Horáka 24</t>
  </si>
  <si>
    <t>Základní škola Prostějov, ul. E. Valenty 52</t>
  </si>
  <si>
    <t>Sportcentrum - DDM Prostějov, příspěvková organizace, Olympijská 4</t>
  </si>
  <si>
    <t>Základní umělecká škola Vl. Ambrose Prostějov, Kravařova 14</t>
  </si>
  <si>
    <t>Městské divadlo v Prostějově, příspěvková organizace, Vojáčkovo nám. 1</t>
  </si>
  <si>
    <t>Městská knihovna Prostějov, příspěvková organizace, Skálovo nám. 6</t>
  </si>
  <si>
    <t>Mateřská škola Prostějov, Rumunská ul. 23, příspěvková organizace</t>
  </si>
  <si>
    <t>Srovn. skut. 2012</t>
  </si>
  <si>
    <t>100/2012</t>
  </si>
  <si>
    <t>123/2012</t>
  </si>
  <si>
    <t>125/2012</t>
  </si>
  <si>
    <t>Komentář k tvorbě hospodářského výsledku roku 2013</t>
  </si>
  <si>
    <t>Doplňková činnost (zřizovatel)</t>
  </si>
  <si>
    <t>Ostatní</t>
  </si>
  <si>
    <t>Komentář k plánovanému užití fondu</t>
  </si>
  <si>
    <t>Rezervní fond celkem</t>
  </si>
  <si>
    <t>Způsob vymáhání pohledávky po lhůtě splatnosti (dosavadní a plánovaný)</t>
  </si>
  <si>
    <t>K 31.12.2013</t>
  </si>
  <si>
    <t>Mateřská škola Prostějov, Partyzánská ul. 34</t>
  </si>
  <si>
    <t>Revitalizace školních zahrad.</t>
  </si>
  <si>
    <t>2. Příděl fondům provede organizace na základě písemného vyrozumění OŠKS.</t>
  </si>
  <si>
    <t>Základní škola a mateřská škola Prostějov, Kollárova 4</t>
  </si>
  <si>
    <t>Použití na odměňování pracovníkům a záloha na případné překročení mzdových prostředků.</t>
  </si>
  <si>
    <t xml:space="preserve">Fond sociální v příštím období škola i nadále použije zejména na čerpání příspěvku na stravování (necelá polovina zdrojů), na konání vlastních společných kulturních a společenských akcí, zájezdů a na vstupenky a návštěvy kulturních představení, příp. na sportovní, relaxační a jiné preventivní aktivity a programy. </t>
  </si>
  <si>
    <t>21/2013</t>
  </si>
  <si>
    <t>DOPLŇKOVÁ ČINNOST</t>
  </si>
  <si>
    <t>HLAVNÍ ČINNOST</t>
  </si>
  <si>
    <t>Použití fondu na příspěvek na stravné zaměstnancům.</t>
  </si>
  <si>
    <t>K 31.12.2014</t>
  </si>
  <si>
    <t>Srovn. skut. 2013</t>
  </si>
  <si>
    <t>33.</t>
  </si>
  <si>
    <t>558 - náklady z drobného maj.</t>
  </si>
  <si>
    <t>1. Zlepšený výsledek hospodaření za rok 2014</t>
  </si>
  <si>
    <t>Celkem rok 2014</t>
  </si>
  <si>
    <t>2. Návrh na rozdělení zlepšeného výsledku hospodaření (zřizovatel) za rok 2014 na základě jeho projednání</t>
  </si>
  <si>
    <t>Zřizovatel</t>
  </si>
  <si>
    <t>Organizace</t>
  </si>
  <si>
    <t>3. Fondové hospodaření příspěvkové organizace v roce 2014 v Kč</t>
  </si>
  <si>
    <t>Počáteční zůstatek 2014</t>
  </si>
  <si>
    <t>Zdroje 2014</t>
  </si>
  <si>
    <t>Čerpání 2014</t>
  </si>
  <si>
    <t>Konečný zůstatek 2014</t>
  </si>
  <si>
    <t>Investiční fond</t>
  </si>
  <si>
    <t>4. Pohledávky roku 2014 po lhůtě splatnosti</t>
  </si>
  <si>
    <t>5. Závazky roku 2014 po lhůtě splatnosti</t>
  </si>
  <si>
    <t>6. Přehled přijatých darů v roce 2014</t>
  </si>
  <si>
    <t>Čerpáno v roce 2014 (Kč)</t>
  </si>
  <si>
    <t>7. Úpravy finančního plánu příspěvkové organizace v roce 2014</t>
  </si>
  <si>
    <t xml:space="preserve">   27 467,00</t>
  </si>
  <si>
    <t>   27 467,00</t>
  </si>
  <si>
    <t>30.112014</t>
  </si>
  <si>
    <t>8. Plnění opatření z minulého kontrolního dne k výsledkům hospodaření za I. pololetí roku 2014</t>
  </si>
  <si>
    <t>9. Ostatní závěry, které vyplynuly z jednání kontrolního dne k výsledkům hospodaření za rok 2014, vztahované k období roku 2015, popř. obdobím následujícím</t>
  </si>
  <si>
    <t>Využití RF na nutnou obnovu škrabky do ŠJ (usnesení RMPV č. 4549 ze dne 25/6)</t>
  </si>
  <si>
    <t>Posílení pol DDHM, nákup škrabky na brambory</t>
  </si>
  <si>
    <t>Využití IF,  el. pec a el. kotlík do ŠJ (usnesení RMPV 4549 ze dne 25/6)</t>
  </si>
  <si>
    <t>Navýšení příspěvku organizace kap60</t>
  </si>
  <si>
    <t>Úspora pol 502 tepelná energie (mírná zima)</t>
  </si>
  <si>
    <t>Technické zhodnocení budovy, navýšení rezervovaného příkonu, splnění podmínek zákona</t>
  </si>
  <si>
    <t>Povýšení pol. 511 opravy kap. 20 (oprava šatních skříněk)</t>
  </si>
  <si>
    <t>Úspora pol. 502 tepelná energie (mírná zima)</t>
  </si>
  <si>
    <t>Navýšení pol.501 materiál, pořízení šatních skříněk pro děti</t>
  </si>
  <si>
    <t>Posílení položky 558 náklady DDHM (zahradní domeček)</t>
  </si>
  <si>
    <t>Navýšení pol. 501 materiál (menší jednotková cena)</t>
  </si>
  <si>
    <t>Navýšení pol. 602 tržby vlastní školné</t>
  </si>
  <si>
    <t>Navýšení pol. 501 materiál -potraviny</t>
  </si>
  <si>
    <t>Ponížení pol 518 ost. sl. - úspora na odvozu zahr. odpadu, pomoc rod.veřejnosti</t>
  </si>
  <si>
    <t>Ponížení pol. 511 opravy kap. 20 drobné opravy - vlastní zdroje</t>
  </si>
  <si>
    <t>Povýšení pol.549 JON (technické zhodnocení budovy, rozvody připojení internetu)</t>
  </si>
  <si>
    <t>Ponížení pol. 518 ost. služby (úspora na bankovních poplatcích a telefonu)</t>
  </si>
  <si>
    <t xml:space="preserve">Navýšení příspěvku kap. 60 </t>
  </si>
  <si>
    <t>Využití RF ost. zdroje</t>
  </si>
  <si>
    <t>Ponížení pol. 558 náklady DDHM</t>
  </si>
  <si>
    <t>Navýšení pol. 501 materiál (nutné pořízení dětských židlí)</t>
  </si>
  <si>
    <t>Navýšení pol. 602 tržby vlastní stravné</t>
  </si>
  <si>
    <t>Ponížení pol. 501 materiál (úspora na výtvarném materiálu, výpomoc rodičů)</t>
  </si>
  <si>
    <t>Navýšení pol. 511 opravy kap. 20 (nutná oprava myčky)</t>
  </si>
  <si>
    <t>1. Organizace použila účelově vázanou částku 154.625,09 ZVH roku 2013 na potřebnou obnovu vybavení ŠJ (pořízení el. pece a el. kotlíku) Zařízení bylo původní, značně opotřebené a jeho oprava nerentabilní. Uvedená částka byla původně plánována na pořízení hracího zahradního prvku. Zařízení ŠJ bylo však potřebnější. Pořízení uvedeného majetku bylo provedeno po schválení zřizovatelem (usnesení RMPV č. 4549 ze dne 25.6.2014).</t>
  </si>
  <si>
    <t>Organizace dostala v roce 2014 od rodičovské veřejnosti drobné finanční dary ve výši celkem 31.500,00 Kč, část těchto finančních prostředků ve výši 13.000,00 Kč byla použita na pořízení dřevěného domečku na hračky na školní zahradě.</t>
  </si>
  <si>
    <t>Případné dokrytí  chybějících mzdových prostředků a vyplácení odměn zaměstnanců organizace.</t>
  </si>
  <si>
    <t>Z FKSP vyplácen příspěvek na stravu zaměstnanců a dary při příležitosti výročí zaměstnanců organizace.</t>
  </si>
  <si>
    <t>Posílení pol.DHM, pořízení el. pece a el. kotlíku do ŠJ</t>
  </si>
  <si>
    <t>Navýšení pol. opravy stavební - havárie vody</t>
  </si>
  <si>
    <t>pol.551 odpisy - nově při pořízení el. pece a el. kotlíků</t>
  </si>
  <si>
    <t>Navýšení pol. 511 st. oprav - havárie vody</t>
  </si>
  <si>
    <t>Organizace předpokládá v roce 2015 zapojení RF při pořízení herního prvku na školní zahradu a při obnově zařízení ŠJ (potřeba nového plynového sporáku a elektrické pánve).</t>
  </si>
  <si>
    <t>Fond investic</t>
  </si>
  <si>
    <t>Fond investic je plánován na vybudování nových plotů okolo MŠ Šárka.</t>
  </si>
  <si>
    <t>Není prozatím plánováno jeho čerpání.</t>
  </si>
  <si>
    <t>Čerpání fondu odměn</t>
  </si>
  <si>
    <t xml:space="preserve">Výsledek hospodaření je tvořen zejména výnosovým účtem 649 - inventární rozdíl, který se po provedeném auditu zaúčtoval. Dále nebyly čerpány odpisy dle plánu, jelikož  byla provedena oprava odpis. plánu a plánovaná položka odpisů se snížila. Dále nebyly dočerpány náklady v drobných opravách. </t>
  </si>
  <si>
    <t>Rezervní fond bude použit na dofinancování vybavení třídy MŠ Libušinka -73 tis. Kč; zbytek fondu ve výši 55 tis. Kč bude sloužit jako rezerva na případné nutné náklady nekryté zřizovatelem.</t>
  </si>
  <si>
    <t>Nákup hraček a učebních pomůcek.</t>
  </si>
  <si>
    <t>Navýšení položky  528 - zákonné a jiné soc. náklady</t>
  </si>
  <si>
    <t>Ponížení položky 518 - ostatní služby</t>
  </si>
  <si>
    <t>Navýšení příspěvku zřizovatele</t>
  </si>
  <si>
    <t>Navýšení účtu 511 - stavební opravy</t>
  </si>
  <si>
    <t>Posílení účtu 521 - mzdy</t>
  </si>
  <si>
    <t>Ponížení účtu 518 - služby</t>
  </si>
  <si>
    <t>Navýšení účtu 524 - zákonné soc. náklady</t>
  </si>
  <si>
    <t>Organizace neměla uložena žádná opatření z KD k výsledkům hospodaření za I. pololetí 2014.</t>
  </si>
  <si>
    <t xml:space="preserve">2.Účastníci KD, vzhledem k provedené analýze ZVH, doporučují odvést část hospodářského výsledku ve výši 30.000 Kč na účet zřizovatele v rámci finančního vypořádání roku 2014. </t>
  </si>
  <si>
    <t>Je čerpán v souladu se směrnicí o FKSP - příspěvek na důchodové pojištění a dary k životním a pracovním výročím.</t>
  </si>
  <si>
    <t>nábytek do třídy</t>
  </si>
  <si>
    <t>pomůcky</t>
  </si>
  <si>
    <t>mobiliář na zahradu</t>
  </si>
  <si>
    <t>pomůcky, mobiliář</t>
  </si>
  <si>
    <t xml:space="preserve">stavebnice </t>
  </si>
  <si>
    <t>30.4.2014</t>
  </si>
  <si>
    <t>60x a 64x výnosy z činnosti v DČ</t>
  </si>
  <si>
    <t>511 opravy a udržování v HČ</t>
  </si>
  <si>
    <t>518 ostatní služby v HČ</t>
  </si>
  <si>
    <t>25.8.2014</t>
  </si>
  <si>
    <t>30.9.2014</t>
  </si>
  <si>
    <t>9.9.2014</t>
  </si>
  <si>
    <t>511 oprava chodníků v areálu MŠ</t>
  </si>
  <si>
    <t>7.10.2014</t>
  </si>
  <si>
    <t>31.12.2014</t>
  </si>
  <si>
    <t>14.11.2014</t>
  </si>
  <si>
    <t>30.11.2014</t>
  </si>
  <si>
    <t>17.12.2014</t>
  </si>
  <si>
    <t>30.12.2014</t>
  </si>
  <si>
    <t>Úspora na energiích a mzdových nákladech.</t>
  </si>
  <si>
    <t>Pronájem bytu.</t>
  </si>
  <si>
    <t>Posílení IF vybudování nákladního výtahu na stravu.</t>
  </si>
  <si>
    <t>Vybudování nákladního výtahu na stravu.</t>
  </si>
  <si>
    <t>Dokrytí fin.prostředků na platy a mimoř. odměny.</t>
  </si>
  <si>
    <t>Čerpán v souladu s pravidly a zásadami FKSP.</t>
  </si>
  <si>
    <t>Rozpoč. opatř. kap. 60 - oprava chodníku</t>
  </si>
  <si>
    <t>524,525 zákon. poj., odvody ZP a SP</t>
  </si>
  <si>
    <t>521 mzdové náklady - fond odměn pro zaměst.</t>
  </si>
  <si>
    <t>60x a 64x výnosy z činn. - použití RF</t>
  </si>
  <si>
    <t>60x a 64x výnosy z činn. - stravné a školné</t>
  </si>
  <si>
    <t>511 ost. hm. a dr. maj. - svépomoc, rodič.veřejnost</t>
  </si>
  <si>
    <t>558 nákl. z DDHM - nábytek, notebook, skříňky</t>
  </si>
  <si>
    <t>501 spotřeba mat. - pomůcky</t>
  </si>
  <si>
    <t>558 nákl. DDHM - nábytek, vysavače, kopírka</t>
  </si>
  <si>
    <t>501 sp.mat. - pomůcky, vybav kracích koutů</t>
  </si>
  <si>
    <t>502 energie - úspora plynu</t>
  </si>
  <si>
    <t>502 energie - úspora za plyn</t>
  </si>
  <si>
    <t>501 spotř. mat. - ložní vybavení, ručníky, nádobí</t>
  </si>
  <si>
    <t>60x a 64x výnosy z činnost - fond odměn</t>
  </si>
  <si>
    <t>549 ONČ - nákupy u dodavatelu s náhr. plnění</t>
  </si>
  <si>
    <t>551 odpisy - použití IF nákup gastrotechniky</t>
  </si>
  <si>
    <t>549 ONČ - nákupy u dodavatelů s NP</t>
  </si>
  <si>
    <t>518 ostatní služby v DČ - povinný servis plyn kotle, sporáku, komínů</t>
  </si>
  <si>
    <t>511 opravy a udržování - povinné opravy po revizích, oprava balkonu po zatečení</t>
  </si>
  <si>
    <t>60x a 64x výnosy z činnosti - HČ</t>
  </si>
  <si>
    <t>3. Příděl fondům a případný odvod provede organizace na základě písemného vyrozumění OŠKS.</t>
  </si>
  <si>
    <t xml:space="preserve">Mimořádné odměny pracovníkům - náročnost úklidu po rekontrukci. </t>
  </si>
  <si>
    <t xml:space="preserve">Výsledek hospodaření je z velké části ovlivněn úsporou v položce energií vlivem velmi mírné zimy. </t>
  </si>
  <si>
    <t>Bude použit na nákup koberců do chodeb MŠ.</t>
  </si>
  <si>
    <t xml:space="preserve">Použití v souladu s plánem FKSP pro rok 2015 na stravování zaměstnanců, příspěvek na rekreace, ozdravný program. </t>
  </si>
  <si>
    <t>Výtvarné potřeby pro děti v MŠ.</t>
  </si>
  <si>
    <t>Dar bude použit na nákup didaktických pomůcek v roce 2015.</t>
  </si>
  <si>
    <t>Technické zhodnocení automobilu - obložení podlahy (549)</t>
  </si>
  <si>
    <t>Snížení nákladů na opravy majetku (511)</t>
  </si>
  <si>
    <t>Navýšení výnosů - režijní náklady Držovice (602)</t>
  </si>
  <si>
    <t>Navýšení odpisů - pořízení dětské průlezky (551)</t>
  </si>
  <si>
    <t>Nákup DDHM (558)</t>
  </si>
  <si>
    <t>Použití RF na nákup DDHM (648)</t>
  </si>
  <si>
    <t>Nákup DDHM z RF (558)</t>
  </si>
  <si>
    <t>Cestovné - snížení nákladů dle aktuální potřeby (512)</t>
  </si>
  <si>
    <t>Oprava stavu oprávek - narovnání rozdílu (547)</t>
  </si>
  <si>
    <t>Navýšení položky odpisů - nově pořízený majetek (551)</t>
  </si>
  <si>
    <t>Snížení nákladů - nižší nákup OOPP (527)</t>
  </si>
  <si>
    <t>Navýšení položky - případné použití FO (524)</t>
  </si>
  <si>
    <t>Navýšení položky dle aktuální potřeby, dále pro použití FO</t>
  </si>
  <si>
    <t>Navýšení položky 501 - obnova opotřebovaného materiálu</t>
  </si>
  <si>
    <t>Navýšení položky výnosů - více uvařených obědů (602)</t>
  </si>
  <si>
    <t>Navýšení položky nákladů - nákup potravin (501)</t>
  </si>
  <si>
    <t>Navýšení položky výnosů - režijní náklady Držovice (602)</t>
  </si>
  <si>
    <t>Snížení položky energie vlivem teplní zimy (502)</t>
  </si>
  <si>
    <t>Snížení položky - nižší poruchovost přístrojů (511)</t>
  </si>
  <si>
    <t>Navýšení položky 558 - obnova opotřebovaného materiálu</t>
  </si>
  <si>
    <t>Pořízení DDHM (558)</t>
  </si>
  <si>
    <t>Organizaci nebylo uloženo žádné opatření vyplývající z kontrolního dne za I. pololetí 2014.</t>
  </si>
  <si>
    <r>
      <t xml:space="preserve">1. Účastníci KD, vzhledem k provedené analýze ZVH, doporučují ponechat organizaci celý výsledek hospodaření ve výši 199.152,28 Kč pro příděl do peněžních fondů organizace dle zákona č. 250/2000 Sb., o rozpočtových pravidlech územních rozpočtů, ve znění pozdějších předpisů a na základě předložených požadavků a potřeb organizace. Do rezervního fondu je navrženo převést částku 189.152,28 Kč s tím, že bude účelově vázána na úhradu nákladů spojených s malováním po rekonstrukcí mateřské školy a na částečnou úhradu konvektomatu do ŠJ. Do fondu odměn je navrženo převést částku 10.000 Kč. </t>
    </r>
    <r>
      <rPr>
        <b/>
        <sz val="8"/>
        <color indexed="8"/>
        <rFont val="Times New Roman"/>
        <family val="1"/>
        <charset val="238"/>
      </rPr>
      <t>Kontrola užití účelově vázaných prostředků bude provedena na KD k výsledkům hospodaření organizace za I. pololetí 2015.</t>
    </r>
  </si>
  <si>
    <r>
      <t xml:space="preserve">1. Účastníci KD, vzhledem k provedené analýze ZVH, doporučují ponechat organizaci celý výsledek hospodaření ve výši 94.043,76 Kč pro příděl do peněžních fondů organizace dle zákona č. 250/2000 Sb., o rozpočtových pravidlech územních rozpočtů, ve znění pozdějších předpisů a na základě předložených požadavků a potřeb organizace. Do rezervního fondu je navrženo převést částku 84.043,76 Kč s tím, že bude účelově vázána na pořízení herního prvku na školní zahradu, případně na obnovu dalšího potřebného vybavení ŠJ, tj. plynového sporáku a elektrické pánve. Do fondu odměn je navrženo převést částku 10.000 Kč. </t>
    </r>
    <r>
      <rPr>
        <b/>
        <sz val="8"/>
        <color indexed="8"/>
        <rFont val="Times New Roman"/>
        <family val="1"/>
        <charset val="238"/>
      </rPr>
      <t>Kontrola užití účelově vázaných prostředků bude provedena na KD k výsledkům hospodaření organizace za I. pololetí 2015.</t>
    </r>
  </si>
  <si>
    <r>
      <t xml:space="preserve">1. Účastníci KD, vzhledem k provedené analýze ZVH, doporučují ponechat organizaci výsledek hospodaření ve výši 73.705,13 Kč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73.705,13 Kč s tím, že bude účelově vázána na dovybavení třídy střediska Libušinka. </t>
    </r>
    <r>
      <rPr>
        <b/>
        <sz val="8"/>
        <color indexed="8"/>
        <rFont val="Times New Roman"/>
        <family val="1"/>
        <charset val="238"/>
      </rPr>
      <t>Kontrola užití účelově vázaných prostředků bude provedena na KD k výsledkům hospodaření organizace za I. pololetí 2015.</t>
    </r>
  </si>
  <si>
    <t>Komentář k tvorbě hospodářského výsledku roku 2014</t>
  </si>
  <si>
    <t>Organizace pronajala část oplocení v areálu školy pro reklamní plochu stavební firmě.</t>
  </si>
  <si>
    <t xml:space="preserve">plus Ostatní výnosy z činnosti / +  558 DDHM  - dar pružinová houpačka </t>
  </si>
  <si>
    <t>plus Zúčtování fondu-finanční dary / + 558 DDHM  odkládací skříň, dětské botníky</t>
  </si>
  <si>
    <t>31.12 2014</t>
  </si>
  <si>
    <t>(plus 5 000,00 Kč)</t>
  </si>
  <si>
    <t>Naplněná kapacita MŠ a zvýšené školné od září 2014, pol.518 + 511 = práce konané svépomocí a brigádnicky,výhodné nákupy, cenové nabídky - poptávkové řízení, úspory energií šetřivým režimem školy.</t>
  </si>
  <si>
    <t>Dětský zahradní mobiliář, revital.zahrad, postupná obnova dětského nábytku.</t>
  </si>
  <si>
    <t>Příspěvek na stravování, ozdravný program, dary k prac. a život. výročím.</t>
  </si>
  <si>
    <t>Odměny zaměstnancům; případné  překročení prostředků na platy.</t>
  </si>
  <si>
    <t xml:space="preserve"> Věcný dar - pružin.houpačka</t>
  </si>
  <si>
    <t xml:space="preserve"> Byly čerpány dary z předchozích let na obnovu dětsk. zahradního mobiliáře a dětsk. nábytku.</t>
  </si>
  <si>
    <t>plus Zúčtování fondu-finanč.dary / + 501 materiál - nástěnky</t>
  </si>
  <si>
    <t>minus Ostatní služby / + DDHM posuvná lavice pro výdej stravy</t>
  </si>
  <si>
    <t>Zúčtování fondu /RF-ZVH/ + 558 DDHM  - dětský zahradní mobiliář</t>
  </si>
  <si>
    <t>Zúčtování fondu-fin.dary / + 558 rošty do botníků</t>
  </si>
  <si>
    <t>minus Ostatní služby / + 558  DDHM -  chladnička pro personál školy</t>
  </si>
  <si>
    <t>minus Energie / + 558  DDHM  nerezový servírovací vozík, nábytek</t>
  </si>
  <si>
    <t>minus Energie / + 501-materiál -  dětské židle, stůl, várnice, hračky, prádlo, koberec</t>
  </si>
  <si>
    <t>minus Opravy a údržba  kap.20 / +  558  DDHM hračky - barevné kostky</t>
  </si>
  <si>
    <t>minus Ostatní služby / +  558  DDHM děts. nábytek, pomůcky, hračky</t>
  </si>
  <si>
    <t>minus Ostatní služby /  + 512 Cestovné - doprovod dětí na kulturní akce</t>
  </si>
  <si>
    <t>minus Ostatní služby / +  538 Jiné daně a poplatky - potvrzení o bezdlužnosti orga.</t>
  </si>
  <si>
    <t>minus Spotřeba materiálu / + 558  DDHM hračky - barevné kostky</t>
  </si>
  <si>
    <t>minus Energie / + 558 DDHM  - barevné kostky pro plošné kontruování</t>
  </si>
  <si>
    <t>plus Tržby z pronájmu reklanmí plochy / + 538 Jiné - daně a popl. - založení Živn. listu</t>
  </si>
  <si>
    <t>minus Opravy a údržba kap.60 / + 549 Techn. zhodnocení - zakončovací profily v šatně</t>
  </si>
  <si>
    <r>
      <t xml:space="preserve">1. Účastníci KD, vzhledem k provedené analýze ZVH, doporučují ponechat organizaci celý výsledek hospodaření ve výši 53.482,28 Kč pro příděl do peněžních fondů organizace dle zákona č. 250/2000 Sb., o rozpočtových pravidlech územních rozpočtů, ve znění pozdějších předpisů a na základě předložených požadavků a potřeb organizace. Do rezervního fondu je navrženo převést částku 49.932,81 Kč s tím, že částka 5.700 bude účelově vázána na obnovu dětského zahradního zařízení. Do fondu odměn je navrženo převést částku 3.558,47 Kč. </t>
    </r>
    <r>
      <rPr>
        <b/>
        <sz val="8"/>
        <color indexed="8"/>
        <rFont val="Times New Roman"/>
        <family val="1"/>
        <charset val="238"/>
      </rPr>
      <t>Kontrola užití účelově vázaných prostředků bude provedena na KD k výsledkům hospodaření organizace za I. pololetí 2015.</t>
    </r>
  </si>
  <si>
    <t>Fond bude v následujícím období použit na obnovu PC, dataprojektorů, vybavení kabinetů, kanceláří, tříd.</t>
  </si>
  <si>
    <t>IF by organizace chtěla využít na nákup nového serveru a zabezpečovací systém v MŠ.</t>
  </si>
  <si>
    <t>Fond je čerpán na obědy a kulturní akce pro zaměstnance a odměny pro zaměstnance k životním a pracovním výročím.</t>
  </si>
  <si>
    <t>V případě nedostačujících finančních prostředků na platy a odměny pro zaměstnance, bude organizace čerpat fond odměn.</t>
  </si>
  <si>
    <t>Organizace přijala pouze věcné dary.</t>
  </si>
  <si>
    <t>Usnesením RM č. 4457 bylo převedeno na DČ jako povinný příděl do FKSP (účet 527) - ponížení položky 527 v HČ</t>
  </si>
  <si>
    <t>Usnesením RM č. 4047 byl posílen účet 649.0320 - ostatní výnosy-DARY a účet 501.0320 - učební pomůcky = odrážedla na zahradu pro MŠ Mánesova</t>
  </si>
  <si>
    <t>Usnesením RM č. 4457 bylo schváleno čerpání RF na PC do kanceláře školy (účet 558 - nákup DDHM a účet 648 - čerpání fondů)</t>
  </si>
  <si>
    <t>Vedoucím odboru OŠKS bylo schváleno snížení prostředků na energie v HČ a jejich převedení na DČ (plyn = 105.000,-; el. en. = 65.000,- a voda = 30.000,-)</t>
  </si>
  <si>
    <t>Úpravou FP bylo převedeno z HČ - 518 - ostatní služby na DČ jako navýšení položky mzdové náklady a odvody z DČ</t>
  </si>
  <si>
    <t>Z účtu 511 - opravy a údržba byla tato částka převedena na DČ</t>
  </si>
  <si>
    <t>Usnesením RM č. 4473 byl navýšen NIV na nákup šatních skříněk pro MŠ Mánesova = účet 672 - dotace a účet 558 - nákup DDHM</t>
  </si>
  <si>
    <t>Z účtu 501 - spotřeba materiálu byla posílena položka 527 - ochranné pracovní pomůcky pro správní zam.</t>
  </si>
  <si>
    <t>Usnesením RM č. 4556 bylo schváleno přijetí daru - 3 díly didakt. pomůcek DiPo pro ZŠ Skálovo = posílen účet 649 - ostatní výn.-DARY a účet 501 - nákup OEM</t>
  </si>
  <si>
    <t>Odborem výstavby a investic byl schválen přesun prostředků z oprav budovy - 511 na účet 549 - technické zhodnocení budovy</t>
  </si>
  <si>
    <t>Usnesením RM č. 4623 bylo schváleno čerpání RF na nákup židliček do dvou zrekonstruovaných tříd (účet 501 - nákup OEM a účet 648 - čerpání fondů)</t>
  </si>
  <si>
    <t>Usnesením RM č. 4843 bylo schváleno čerpání RF na nákup koberců pro kancelář a pro MŠ Mánes. (účet 558 - nákup DDHM a účet 648 - čerpání fondů)</t>
  </si>
  <si>
    <t>Usnesením RM č. 4851 byl posílen účet 649.0320 - ostatní výnosy-DARY a účet 558.0311 - DDHM-učební pomůcky = sedačka Mazlíček pro MŠ Čechovice v hodnotě 4.950,- a účet 501.0400 - OEM = digit. foťák pro MŠ Mánesova</t>
  </si>
  <si>
    <t>Vedoucím odboru OŠKS bylo schváleno snížení prostředků na položce 502 - spotřeba energie a převod částky 20.327,- na spotřebu materiálu - 501 (povlečení pro MŠ) a částky 179.673,- na DDHM - 558 (myčky, lavice, skříňky a ostatní vybavení tříd v MŠ)</t>
  </si>
  <si>
    <t>Vedoucím odboru OŠKS bylo schváleno snížení prostředků na položce energie a převod částky v původní výši 500.000,-, použito bylo o 72.732,05 Kč méně (v 12/2014 se zvedly nákl. na energie, tato částka byla zaplacena z prostředků DČ) = z toho na 501 - OEM přesunuto 129.595,- (nákup hraček, skříněk a vybavení tříd, várnic na pitný režim pro MŠ a židliček pro ZŠ) a na 558 - DDHM přesunuto 297.673,95 (nákup stolů, skříní, herních prvků, hraček, dataprojektorů, houpadel na zahradu pro MŠ a pro ZŠ lavice)</t>
  </si>
  <si>
    <t>Usnesením RM č. 04035 byl posílen účet 649.0320 - ostatní výnosy - DARY a účet 558 - nákup DDHM = domeček s piknikem 8.500,- MŠ Mánesova a koberec 3.325,- a didakt. pomůcky 4.677,- pro ZŠ Skálovo; dále účet 501 - nákup OEM = přehrávač 1.998,- ZŠ Skálovo a autodráha 8.500,- pro MŠ Mánesova</t>
  </si>
  <si>
    <t>1. Z jednání KD za rok 2014 vyplynulo, že účelově vázané prostředky ve výši 70.000 Kč byly použity na nákup židliček do dvou tříd a na obnovu PC. Židličky i PC do kanceláře školy byly pořízeny = úkol splněn.</t>
  </si>
  <si>
    <t>1. Účastníci KD, vzhledem k provedené analýze ZVH, doporučují ponechat organizaci celý výsledek hospodaření ve výši 34.771,68 Kč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34.771,68 Kč.</t>
  </si>
  <si>
    <t>Úpravou FP bylo převedeno z HČ - 501 - čistící prostředky na tuto položku v DČ</t>
  </si>
  <si>
    <t>Usnesením RM č. 4100 byl posílen účet 649.0320 - ostatní výnosy - DARY a účet 558.0311 - DDHM - učební pomůcky = klávesy YAMAHA pro MŠ Čechovice</t>
  </si>
  <si>
    <t>Usnesením RM č. 4457 -  dále snížení částky na odpisy (nižší odpisy z důvodu nečerpání IF na obnovu PC učebny jako celku, PC byly pořízeny jako učební pom. z prostř .ONIV) v HČ a posílení mzdových prostředků + odvodů v DČ</t>
  </si>
  <si>
    <t>Bude posílen IF na opravy majetku.</t>
  </si>
  <si>
    <t>Bude proveden nákup vypalovací pece a akordeonů.</t>
  </si>
  <si>
    <t>Budou vyplaceny odměny z fondu odměn.</t>
  </si>
  <si>
    <t>Bude provedeno čerpání dle platné směrnice o FKSP.</t>
  </si>
  <si>
    <t>Snížení investičního příspěvku na provoz</t>
  </si>
  <si>
    <t>Čerpání IF a FO</t>
  </si>
  <si>
    <t>Pronájem školního bytu, pronájem divadla Starost a pronájem prostor Telefonica, a.s..</t>
  </si>
  <si>
    <t>Snížení čerpání sp. energie a navýšení nákladů z drobného dl. majetku</t>
  </si>
  <si>
    <t>Snížení energie hl. činnost, zvýšení sp. energie - doplňková činost</t>
  </si>
  <si>
    <t>Snížení oprav kap. 60 hlavní činnost; zvášení oprav - dopl. činnost</t>
  </si>
  <si>
    <t>1. Pohledávka po lhůtě splatnosti ve výši 1 150 Kč byla uhrazena v plné výši.</t>
  </si>
  <si>
    <r>
      <t xml:space="preserve">1. Účastníci KD, vzhledem k provedené analýze ZVH, doporučují ponechat organizaci výsledek hospodaření ve výši 137.828,75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137.828,75 Kč s tím, že částka 130.000 Kč bude účelově vázána  na opravu koupelny ve školním bytě a na nátěr v učebně výuky na bicí nástroje. </t>
    </r>
    <r>
      <rPr>
        <b/>
        <sz val="8"/>
        <color indexed="8"/>
        <rFont val="Times New Roman"/>
        <family val="1"/>
        <charset val="238"/>
      </rPr>
      <t>Kontrola užití účelově vázaných prostředků bude provedena na KD k výsledkům hospodaření organizace za I. pololetí 2015.</t>
    </r>
  </si>
  <si>
    <t xml:space="preserve">2.Účastníci KD, vzhledem k provedené analýze VH, doporučují odvést část ZVH ve výši 12.221 Kč na účet zřizovatele v rámci finančního vypořádání roku 2014. </t>
  </si>
  <si>
    <t>3. Příděl fondům provede organizace na základě písemného vyrozumění OŠKS.</t>
  </si>
  <si>
    <t>Zák. pojištění 13.600 Kč, zák. soc. nákl. 400 Kč, ostatní služby -14.000 Kč</t>
  </si>
  <si>
    <t>V roce 2015 bude fond čerpán na základě skutečné potřeby organizace.</t>
  </si>
  <si>
    <t>Finanační dar účelově určený na pokrytí osobních nákladů asistenta pedagoga.</t>
  </si>
  <si>
    <t>30.04.2014</t>
  </si>
  <si>
    <t>30.06.2014</t>
  </si>
  <si>
    <t>09.09.2014</t>
  </si>
  <si>
    <t>30.09.2014</t>
  </si>
  <si>
    <t>29.04.2014</t>
  </si>
  <si>
    <t>21.01.2014</t>
  </si>
  <si>
    <t xml:space="preserve"> + 648 + 511 - čerpání RF v souvislosti s výměnou oken na soc.zařízení ZŠ</t>
  </si>
  <si>
    <t>07.10.2014</t>
  </si>
  <si>
    <t>31.10.2014</t>
  </si>
  <si>
    <t>20.10.2014</t>
  </si>
  <si>
    <t xml:space="preserve"> - 603, + 603 - trřby z pronájmu přesunuty z HČ do DČ</t>
  </si>
  <si>
    <t>24.11.2014</t>
  </si>
  <si>
    <t xml:space="preserve"> - 502, + 502 - přesun nákladů na energie z HČ do DČ</t>
  </si>
  <si>
    <t>29.05.2014</t>
  </si>
  <si>
    <t>29.07.2014</t>
  </si>
  <si>
    <t>31.07.2014</t>
  </si>
  <si>
    <t>24.09.2014</t>
  </si>
  <si>
    <t>12.11.2014</t>
  </si>
  <si>
    <t>03.12.2014</t>
  </si>
  <si>
    <t>10.12.2014</t>
  </si>
  <si>
    <t>22.12.2014</t>
  </si>
  <si>
    <t xml:space="preserve"> - 511, + 511 - přesun nákladů z HČ do DČ</t>
  </si>
  <si>
    <t xml:space="preserve"> - 518, + 518 - přesun nákladů z HČ do DČ</t>
  </si>
  <si>
    <t>29.05.214</t>
  </si>
  <si>
    <t>30.06.214</t>
  </si>
  <si>
    <t>Výsledek hospodaření v hlavní činnosti je tvořen překročenými výnosy z činnosti ve výši Kč 4.517,- a úsporou nákladových účtů (zejména energií) v celkové výši Kč 128.491,-.</t>
  </si>
  <si>
    <t>Výsledek hospodaření v DČ je tvořen pronájmy tělocvičny, kantýny, školního bytu a garáží.</t>
  </si>
  <si>
    <t>RF bude čerpán dle aktuálních potřeb organizace (obnova majetku, obnova PC v učebnách).</t>
  </si>
  <si>
    <t>FKSP je čerpán průběžně dle zásad o použití fondu (dary k výročím, příspěvek na obědy, kulturní a společenské akce).</t>
  </si>
  <si>
    <t xml:space="preserve"> - 672, - 502 - snížení neinvestičního příspěvku v položce energie</t>
  </si>
  <si>
    <t xml:space="preserve"> + 648, + 524,+527 - navýš.záv.ukazatele 524 - zákon. poj. na dofinancování pracovního místa vytvořeného úřadem práce</t>
  </si>
  <si>
    <t xml:space="preserve"> + 648, + 521 - navýš.záv. ukazatele 521 - mzdové náklady v návaznosti na přijetí fin.daru na úhradu os.nákladů asistenta pedagoga</t>
  </si>
  <si>
    <t xml:space="preserve"> + 649, + 501 - odměna za sběr papíru, poškoz. učeb. použita na nákup sport. potřeb</t>
  </si>
  <si>
    <t xml:space="preserve"> + 609, + 501 - zvýšené tržby MŠ a ŠD použity na nákup hraček a výtvar. potřeb</t>
  </si>
  <si>
    <t xml:space="preserve"> - 502, + 551 - posílení účtu 551 - odpisy na nákup DHM</t>
  </si>
  <si>
    <t xml:space="preserve"> - 502, + 558, + 501 - úspora na energiích použita na nákup DDHM - skříněk do MŠ, sedacích souprav do MŠ, pračky a sušičky, trezoru, dataprojektorů</t>
  </si>
  <si>
    <t xml:space="preserve"> - 502, + 558, +511 , +501 - úspora na energiích použita na nákup DDHM -skříněk do MŠ, kamerového systému, drobných oprav, tonerů</t>
  </si>
  <si>
    <t xml:space="preserve"> - 502, + 501, + 558 - úspora na energiích použita na nákup hracích koutků do  MŠ, sedacích souprav do MŠ, žákov.nábytku do ZŠ, várnice do ŠJ</t>
  </si>
  <si>
    <t xml:space="preserve"> - 512, + 518 - úsporou účtu 512-cestovné  posílen účet 518 - služby</t>
  </si>
  <si>
    <t xml:space="preserve"> - 558, + 501 - přesun částky na nákladovou položku 501 - spotřeba materiálu na pořízení žákovského nábytku</t>
  </si>
  <si>
    <t xml:space="preserve"> - 518, + 501 - úsporou účtu 518 - ostatní služby posílen účet 501 - na nákup materiálu na drobné opravy</t>
  </si>
  <si>
    <t xml:space="preserve"> + 518, - 512,- 558 - úsporou účtu 512 - cestovné a 558 - DDHM byl posílen účet 518 - ostatní služby</t>
  </si>
  <si>
    <t>1. Účelově vázány prostředky VH 2013 ve výši Kč 200 000,- byly čerpány na výměnu oken na sociálním zařízení v ZŠ. Splněno.</t>
  </si>
  <si>
    <r>
      <t xml:space="preserve">1. Účastníci KD, vzhledem k provedené analýze ZVH, doporučují ponechat organizaci celý výsledek hospodaření ve výši 185.596,08 Kč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185.596,08 Kč s tím, že částka 133.000 Kč bude účelově vázána  na výměnu osvětlení učeben. </t>
    </r>
    <r>
      <rPr>
        <b/>
        <sz val="8"/>
        <color indexed="8"/>
        <rFont val="Times New Roman"/>
        <family val="1"/>
        <charset val="238"/>
      </rPr>
      <t>Kontrola užití účelově vázaných prostředků bude provedena na KD k výsledkům hospodaření organizace za I. pololetí 2015.</t>
    </r>
  </si>
  <si>
    <t>RF bude čerpán pro zajištění nábytkového vybavení MŠ.</t>
  </si>
  <si>
    <t>3150300/2 Jiné pohledávky z hlavní činnosti</t>
  </si>
  <si>
    <t>Dar účelově neurčený - použití na nákup učebních pomůcek</t>
  </si>
  <si>
    <t>15.04.2014</t>
  </si>
  <si>
    <t>30.05.2014</t>
  </si>
  <si>
    <t xml:space="preserve">  - 551, + 551 - náklady na odpisy převedeny z HČ do DČ</t>
  </si>
  <si>
    <t xml:space="preserve">  - 518 420, + 518 420 - pronájem garáže, nákl. převedeny z HČ do DČ</t>
  </si>
  <si>
    <t xml:space="preserve">  - 518 620, + 518 620 - správce hřiště, nákl. převedeny z HČ do DČ</t>
  </si>
  <si>
    <t xml:space="preserve">  - 603, + 603 - výnosy z pronájmů převedeny z HČ do DČ</t>
  </si>
  <si>
    <t>01.07.2014</t>
  </si>
  <si>
    <t>10.9.2014</t>
  </si>
  <si>
    <t>14.10.2014</t>
  </si>
  <si>
    <t>3.11.2014</t>
  </si>
  <si>
    <t>25.11.2014</t>
  </si>
  <si>
    <t>27.11.2014</t>
  </si>
  <si>
    <t>28.11.2014</t>
  </si>
  <si>
    <t>28.112014</t>
  </si>
  <si>
    <t>18.12.2014</t>
  </si>
  <si>
    <t>19.12.2014</t>
  </si>
  <si>
    <t>Výsledek hospodaření z doplňkové činnosti je tvořen zejména z pronájmů tělocvičen a ostat. sportovišť. Organizace bude pokračovat v této DČ i v roce 2015 a usilovat o zvýšení četnosti pronájmů, které je ovlivněno provozními možnostmi organizace.</t>
  </si>
  <si>
    <t>Fond odměn bude čerpán na případné mimoř. odměny pro pracovníky.</t>
  </si>
  <si>
    <t>Čerpání bude probíhat dle zásad FKSP pro rok 2015.</t>
  </si>
  <si>
    <t>Na základě podané žádosti na Okresní soud v Prostějově bude vymáháno soudní cestou.</t>
  </si>
  <si>
    <t xml:space="preserve">  + 501, + 672 - navýšení neinv. přísp. pro zajištění akce Zdravé město</t>
  </si>
  <si>
    <t xml:space="preserve">  + 558, + 672 - navýšení neinv. přísp. pro zajištění akce Zdravé město</t>
  </si>
  <si>
    <t xml:space="preserve">  - 501 360, + 501 360  - nákl.na čistící prostř. převedeny z HČ do DČ</t>
  </si>
  <si>
    <t xml:space="preserve">  - 501 420, + 501 420 - benzín (rozvoz obědů) nákl. převedeny z HČ do DČ</t>
  </si>
  <si>
    <t xml:space="preserve"> - 501 510,  + 501 410 - úsporou účtu 501 510 - učebnice posílen účet 501 410  (nákup úsporných perlátorů)</t>
  </si>
  <si>
    <t xml:space="preserve">  - 502, + 502 - náklady na energie převedeny z HČ do DČ</t>
  </si>
  <si>
    <t xml:space="preserve">  - 512 300, + 557 300 - úsporou účtu 512 - Cestovné, posílen  účet 557 - Náklady z odeps. pohledávek</t>
  </si>
  <si>
    <t xml:space="preserve">  + 648, + 501 -  použití RF na vybavení kab. Fy a zakoupení PC</t>
  </si>
  <si>
    <t xml:space="preserve">  + 648, + 558 - použití RF na vybavení kab. Fy a zakoupení PC</t>
  </si>
  <si>
    <t xml:space="preserve">  + 558</t>
  </si>
  <si>
    <t xml:space="preserve">  + 648, + 558 - použití fin. prostředků ze sponzorského daru na UP</t>
  </si>
  <si>
    <t xml:space="preserve">  + 501 </t>
  </si>
  <si>
    <t xml:space="preserve">  + 602, + 501 - překročeny tržby za docházku do ŠD, použití na nákup her, hraček, VV pro školní družinu</t>
  </si>
  <si>
    <t xml:space="preserve">  + 602, + 558 - překročeny tržby za docházku do MŠ</t>
  </si>
  <si>
    <t xml:space="preserve">  + 501 - nákup hracích prvků - UP a výtvarného materiálu</t>
  </si>
  <si>
    <t xml:space="preserve">  + 648, + 521 - čerpání FO pro mimořádné odměny - řidič rozvoz stravy</t>
  </si>
  <si>
    <t xml:space="preserve">  + 511, - 502 - převod úspory tepla a TUV na zajištění malování po revitalizaci MŠ</t>
  </si>
  <si>
    <t xml:space="preserve">  - 501, + 558 -  převod prostředků z komisí RMP mezi účty - nákup UP nad 3.000 Kč</t>
  </si>
  <si>
    <t xml:space="preserve">  + 602, + 501 - navýšení tržeb za poskytování stravy žákům ZŠ a MŠ Mostkovice Finanční prostředky použity na nákup lůžkovin pro MŠ, hračky a  výtvarný materiál pro MŠ</t>
  </si>
  <si>
    <t xml:space="preserve">  + 672, + 558 - navýšení příspěvku města na nákup DDHM pro MŠ (3.000-40.000 Kč/ks)</t>
  </si>
  <si>
    <t xml:space="preserve">  + 501 - navýšení příspěvku města na nákup POE pro MŠ (1.000-3.000Kč/ks)</t>
  </si>
  <si>
    <t xml:space="preserve">  + 644, + 501 - překročeny tržby za materiál - sběr star. papíru - nákup učebních materiálů</t>
  </si>
  <si>
    <t xml:space="preserve">  + 602, + 501 - překročeny tržby za stravné a současně navýšení spotřeby potravin v ŠJ</t>
  </si>
  <si>
    <t xml:space="preserve">  + 512, - 549 - použití volných fin. prostředků na úhradu cestovného</t>
  </si>
  <si>
    <t xml:space="preserve">  + 557, - 518 - použití nedočerpaných fin. prostředků na odpisy pohledávek</t>
  </si>
  <si>
    <t xml:space="preserve">  - 518, + 556 - použití nedočerpaných fin. prostředků na úhradu opravných položek </t>
  </si>
  <si>
    <t xml:space="preserve">  - 518, + 511 - úspora nákl. účtu - v pol. telefonní poplatky, fin. prostředky použity na úhradu drobných oprav v MŠ </t>
  </si>
  <si>
    <t xml:space="preserve">  - 502, + 558 - úspora energií - el. energie - nákup UP - PC pro MŠ a ŠJ</t>
  </si>
  <si>
    <t xml:space="preserve">  - 511 310, + 511 310 - nákl. na opravy z kap. 60 převedeny z HČ do DČ</t>
  </si>
  <si>
    <t xml:space="preserve">  - 518, + 501  - úspora nákladového účtu v položce plavání, bankovní a telefon. poplatky, poplatky za deratizaci - nákup hygien. potřeb pro MŠ, tonerů a kanc. potřeb</t>
  </si>
  <si>
    <t xml:space="preserve">  - 662, + 649 - překročenými ostatními výnosy bylo zohledněno nenaplnění úroků</t>
  </si>
  <si>
    <t xml:space="preserve">  - 511 320, + 511 320 - nákl. na opravy hmot. maj. z kap. 20 převedeny z HČ do DČ</t>
  </si>
  <si>
    <t>1. Z celkové výše pohledávek 8.275 Kč byly odepsány pohledávky ve výši 3.574 Kč na základě doporučení KD k výsledkům hospodaření za I. pololetí 2014. Organizace předala Okresnímu soudu v Prostějově k žalobě pohledávky ve výši 4.701 Kč.</t>
  </si>
  <si>
    <t>3. Na KD k výsledkům hospodaření organizace za I. pololetí 2015 bude provedena kontrola likvidace pohledávek po lhůtě splatnosti ve výši 4.701 Kč.</t>
  </si>
  <si>
    <r>
      <t xml:space="preserve">1. Účastníci KD, vzhledem k provedené analýze ZVH, doporučují ponechat organizaci celý výsledek hospodaření ve výši 125.081,42 Kč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125.081,42 Kč s tím, že částka 38.650 Kč bude účelově vázána na pořízení nábytkového vybavení MŠ. </t>
    </r>
    <r>
      <rPr>
        <b/>
        <sz val="8"/>
        <color indexed="8"/>
        <rFont val="Times New Roman"/>
        <family val="1"/>
        <charset val="238"/>
      </rPr>
      <t>Kontrola užití účelově vázaných prostředků bude provedena na KD k výsledkům hospodaření organizace za I. pololetí 2015.</t>
    </r>
  </si>
  <si>
    <t>Výsledek hospodaření je tvořen převážně z minimálního nedočerpání nákladů a zejména překročením výnosů v oblasti tržeb za poskytování stravy pro žáky ZŠ a MŠ Mostkovice a CMG Prostějov - režijní náklady.</t>
  </si>
  <si>
    <t xml:space="preserve">  + 648, + 501,+ 558 - použití fin. prostředků ze sponzorského daru na UP</t>
  </si>
  <si>
    <t>Po naplnění fondu fin. prostředky bude využit pro nákup automobilu pro rozvoz stravy.</t>
  </si>
  <si>
    <t>rozdělení na HČ a DČ (úpravy FP v hlavní činnosti)</t>
  </si>
  <si>
    <t>spotřeba materiálu - ostatní</t>
  </si>
  <si>
    <t>spotřeba energie - plyn</t>
  </si>
  <si>
    <t>spotřeba energie - vodné, stočné</t>
  </si>
  <si>
    <t>spotřeba energie - el. energie</t>
  </si>
  <si>
    <t>náklady z dbobného dlouhodobého majetku</t>
  </si>
  <si>
    <t>snížení neinvestičního příspěvku</t>
  </si>
  <si>
    <t>snížení neinvestičního příspěvku v položce energií</t>
  </si>
  <si>
    <t>502 - úspora energií vlivem příznivého počasí</t>
  </si>
  <si>
    <t xml:space="preserve">558 - nákup DDHM </t>
  </si>
  <si>
    <t>dovybavení školy</t>
  </si>
  <si>
    <t>501/0334 - OHEM</t>
  </si>
  <si>
    <t>501 - čístící prostředky</t>
  </si>
  <si>
    <t>vyšší počet tříd</t>
  </si>
  <si>
    <t>648 - použití rezervního fondu</t>
  </si>
  <si>
    <t>558/0300 - nákup nábytku</t>
  </si>
  <si>
    <t>dovybavení učebny</t>
  </si>
  <si>
    <t>609/0300 - jiné výnosy z vlastních výkonů</t>
  </si>
  <si>
    <t>za 1. místo ve sběru papíru</t>
  </si>
  <si>
    <t>558/0300 - DDHM</t>
  </si>
  <si>
    <t>nákup hudebního vozíku</t>
  </si>
  <si>
    <t>511/0333 - strojní opravy</t>
  </si>
  <si>
    <t>oprava přívěsného vozíku</t>
  </si>
  <si>
    <t>511/0334 - drobné opravy</t>
  </si>
  <si>
    <t>žádné drobné opravy nebyly</t>
  </si>
  <si>
    <t>549/0300 - ostatní náklady z  činnosti</t>
  </si>
  <si>
    <t>platilo se jen pojistné</t>
  </si>
  <si>
    <t>527/0300, 0310 - zákonné a jiné sociální náklady</t>
  </si>
  <si>
    <t>výpisy z lékařské dokument.</t>
  </si>
  <si>
    <t>512/0330 - cestovné</t>
  </si>
  <si>
    <t>více seminářů v místě</t>
  </si>
  <si>
    <t>501/0342 - OHEM</t>
  </si>
  <si>
    <t>monitory k zakoupeným PC</t>
  </si>
  <si>
    <t>518/0333 - telekomunikační poplatky</t>
  </si>
  <si>
    <t>internet hradil sponzor</t>
  </si>
  <si>
    <t>518/0337 - nájemné</t>
  </si>
  <si>
    <t>nájem bazénu</t>
  </si>
  <si>
    <t>518/0350 - zpracování mezd</t>
  </si>
  <si>
    <t>málo zástupů</t>
  </si>
  <si>
    <t>501/0337 - učební pomůcky</t>
  </si>
  <si>
    <t>z odměny za sběr papíru</t>
  </si>
  <si>
    <t>501/0341 - časopisy, noviny, brožury</t>
  </si>
  <si>
    <t>zrušení předplatného 2 časop.</t>
  </si>
  <si>
    <t>nákup chybějících židliček</t>
  </si>
  <si>
    <t>51/0371 - programové vybavení do 7 tisíc Kč</t>
  </si>
  <si>
    <t>šetřili jsme na program.vybav.</t>
  </si>
  <si>
    <t>518/0330 - ostatní služby</t>
  </si>
  <si>
    <t>servisní služby u PC</t>
  </si>
  <si>
    <t>518/0332 - poštovné, spotřeba cenin</t>
  </si>
  <si>
    <t>osobní doručování zásilek</t>
  </si>
  <si>
    <t>518/0338 - školení jinými organizacemi</t>
  </si>
  <si>
    <t>vyšší cena seminářů</t>
  </si>
  <si>
    <t>518/0370 - aktualizace programů, upgrade</t>
  </si>
  <si>
    <t>vyšší ceny upgrade oproti FP</t>
  </si>
  <si>
    <t>518/0333 - telekomunikační služby</t>
  </si>
  <si>
    <t>Oproti plánu utržila organizace za pronájem tělocvičny o 57.289 Kč více, neplánovaně byly pronajaty učebny  za 5.100 Kč, tržby za kantýnu odpovídaly plánu. Naopak ale nájemníci služebního bytu vypověděli k 30.9.2014 nájem, proto byly výnosy o 8.466 Kč nižší. Uvedeným výnosům po propočtu odpovídají náklady na materiál a energie celkově ve výši 129.047 Kč. Rozdíl 66.876 Kč je výsledek hospodaření v doplňkové činnosti.</t>
  </si>
  <si>
    <t xml:space="preserve">V roce 2014 organizace oproti schválenému čerpání 70.000 Kč použila jen polovinu na skříňovou sestavu do učebny. Ve fondu je i schválený účelově určený dar od Nadačního fondu Dětský čin roku, který organizace použije v roce 2015 na nákup školních pomůcek. </t>
  </si>
  <si>
    <t>Organizace neodepisuje žádný majetek. Organizace proto nepředpokládá změnu na tomto fondu. Případné čerpání by organizace žádala na 16 let starou myčku nádobí ve výdejně stravy.</t>
  </si>
  <si>
    <t>V roce 2014 nebyl užit fond odměn, nedošlo k překročení čerpání prostředků na mzdy ani k vyplacení odměn.</t>
  </si>
  <si>
    <t>Užití fondu se řídí zásadami FKSP.</t>
  </si>
  <si>
    <t>Jde o peněžitý účelově určený dar od Nadačního fondu Dětský čin roku na nákup školních pomůcek. Jeho přijetí bylo schváleno usnesením RMP č. 04034. Realizace nákupu pomůcek proběhne v roce 2015.</t>
  </si>
  <si>
    <t>Na kontrolním dni k výsledkům hospodaření za I. pololetí 2014 nebyla organizaci uložena žádná opatření.</t>
  </si>
  <si>
    <t>1. Účastníci KD, vzhledem k provedené analýze ZVH, doporučují ponechat organizaci výsledek hospodaření ve výši 66.876 Kč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66.876 Kč.</t>
  </si>
  <si>
    <t xml:space="preserve">2.Účastníci KD, vzhledem k provedené analýze VH, doporučují odvést část ZVH ve výši 74.974,63 Kč na účet zřizovatele v rámci finančního vypořádání roku 2014. </t>
  </si>
  <si>
    <t xml:space="preserve">Výsledek hospodaření v doplňkové činnosti v částce 216.693 Kč je vytvořen rozdílem mezi skutečnými  výnosy za pronájmy v celkové výši 835.036 Kč a celkovými náklady na tyto pronájmy ve výši 618.343 Kč. Veškeré výnosy z doplňkové činnosti plynou zejména z pronájmů tělocvičen podle smluv na školní rok. Ostatní nájmy jsou vždy na kalendářní rok (bufet, kancelář ČMOS) nebo jednorázově smluvené konkrétní akce. Celkové výnosy za pronájmy jsou v tomto roce vyšší proti plánované skutečnosti. U garsoniér je navýšení způsobeno rozdílem v plánovaných výnosech pro jednu garsoniéru, protože v období tvorby plánu nebylo jasné, zda garsoniéra bude celoročně obsazena. Navíc i s bytem školníka se v průběhu roku změnily náhrady za poskytované služby, podle období, kdy se smlouvy uzavřely. U bufetu je navýšení způsobeno náhradami za spotřebovanou elektrickou energii. V průběhu roku byl plán výnosů z pronájmů tělocvičny upraven o 60.000 Kč nahoru ve prospěch nákladů v hlavní činnosti a to na účtu 558 - náklady z dlouhodobého hmotného majetku. Celkově jsou skutečné výnosy z pronájmu o 67.036 Kč vyšší, než činily výnosy plánované. Toto činí celkem navýšení o 8,73%; v kontextu s plánovanými příjmy ze stravování pak navýšení o 57.036 Kč, což je plnění výnosů na úrovni 107,33% upraveného finančního plánu. Výhledově v dalších letech je předpoklad, že výnosy za pronájmy budou o něco vyšší, protože od února 2015 vyprší limit na pronájmy z titulu rekonstrukce hřiště z dotace z projektu. Celkové náklady na doplňkovou činnost jsou vztaženy pouze k jednotlivým druhům pronájmů a celkem činí 618.343 Kč. Náklady na doplňkovou činnost jsou kombinací buď přímých nákladů, připadajících na konkrétní pronájem a z větší části jsou vyčísleny z nerozdělených souvisejících nákladů z hlavní činnosti za pomocí koeficientů podle celkové pronajímané plochy a její vytíženosti vzhledem ke konkrétnímu nájmu. Největší podíl z těchto celkových nákladů v doplňkové činnosti připadá na tělocvičnou halu - 532.038 Kč, další část na garsoniéry - 44.776 Kč a byt školníka 14.809 Kč; dále náklady na provoz automatů 12.000 Kč (elektřina); ostatní již méně významné položky představují jednotlivé činnosti - náklady na bufet činily 5.355 Kč, na kancelář ČMOS 3.748 Kč nebo na malou tělocvičnu 4.013 Kč.  </t>
  </si>
  <si>
    <t xml:space="preserve">V následujícím období bude z fondu čerpáno především na výše zmíněnou opravu hodin ve všech budovách, dále obnovu vybavení do školní jídelny, a to zejména sklopnou plynovou pánev, myčku na sklo a druhý konvektomat, drtič odpadků, plynový kotel, případně s odborem investic vyřešit vzduchotechniku v Respiriu. </t>
  </si>
  <si>
    <t xml:space="preserve">Účet 511 - HČ snížení nákladů v položce opravy a údržba - přesun na účet 549 - technické zhodnocení </t>
  </si>
  <si>
    <t xml:space="preserve">Účet 549 - HČ navýšení nákladů v položce technické zhodnocení - doplnění 24 ks hasicích přístrojů v budovách školy </t>
  </si>
  <si>
    <t>19.32014</t>
  </si>
  <si>
    <t>Účet 672 - snížení neinvestičního příspěvku na provoz v položce energie - usnesení Rady města prostějova č. 4332 ze dne 29.4.2014</t>
  </si>
  <si>
    <t>Účet 502 - snížení neinvestičního příspěvku na provoz v položce energie - usnesení Rady města prostějova č. 4332 ze dne 29.4.2014</t>
  </si>
  <si>
    <t xml:space="preserve">Účet 502 - HČ snížení nákladů v hlavní činnosti v položce energie - přesunem do nákladů doplňkové činnosti - schváleno 19.5.2014 vedoucím odboru školství, kultury a sportu </t>
  </si>
  <si>
    <t xml:space="preserve">Účet 502 - DČ navýšení nákladů doplňkové činnosti  v položce energie - přesunem z nákladů v hlavní činnosti </t>
  </si>
  <si>
    <t>Účet 551 - navýšení v položce odpisy dlouhodobého majetku - usnesení Rady města Prostějova č. 4457 ze dne 27.5.2014</t>
  </si>
  <si>
    <t xml:space="preserve">Účet 55X - snížení v položce jiné odpisy, rezervy a opravné položky </t>
  </si>
  <si>
    <t>Účet 648 - čerpání fondů - navýšení z důvodu přijetí daru na pedagogickou asistenci k žáku Janu Plenařovi na 1. pololetí školního roku 2014/2015</t>
  </si>
  <si>
    <t>Účet 521 - HČ snížení nákladů v hlavní činnosti v položce mzdové náklady - přesunem do nákladů doplňkové činnosti - úklid tělocvičné haly pro mimoškolní akce - usnesení Rady města Prostějova č. 4457 ze dne 27.5.2014</t>
  </si>
  <si>
    <t>Účet 521 -  DČ navýšení nákladů doplňkové činnosti  v položce mzdové náklady - přesunem z nákladů v hlavní činnosti - úklid tělocvičné haly pro mimoškolní akce - usnesení Rady města Prostějova č. 4457 ze dne 27.5.2014</t>
  </si>
  <si>
    <t xml:space="preserve">Účet 521 -  DČ navýšení nákladů doplňkové činnosti  v položce mzdové náklady - dohody o provedení práce ve školní jídelně </t>
  </si>
  <si>
    <t xml:space="preserve">Účet 602 -  DČ navýšení výnosů doplňkové činnosti  v položce tržby za potraviny </t>
  </si>
  <si>
    <t>Účet 602 -  DČ navýšení výnosů doplňkové činnosti  v položce tržby za potraviny - stravování v doplňkové činnosti</t>
  </si>
  <si>
    <t>Účet 501 - DČ navýšení nákladů doplňkové činnosti - spotřeba materiálu, položka nákup potravin - stravování v doplňkové činnosti</t>
  </si>
  <si>
    <t>Účet 603 -  DČ navýšení výnosů doplňkové činnosti  přesunem z výnosů z hlavní činnosti v položce pronájmy</t>
  </si>
  <si>
    <t>Účet 603 -  HČ snížení z výnosů z hlavní činnosti v položce pronájmy přesunem do výnosů doplňkové činnosti</t>
  </si>
  <si>
    <t>Účet 501 - DČ spotřeba materiálu, položka nákup potravin - stravování v doplňkové činnosti; náklady z hlavní činnosti přesunem do nákladů doplňkové činnosti</t>
  </si>
  <si>
    <t>Účet 501 - HČ spotřeba materiálu, položka nákup potravin - stravování v doplňkové činnosti; náklady z hlavní činnosti přesunem do nákladů doplňkové činnosti</t>
  </si>
  <si>
    <t>Účet 511 - DČ opravy a údržba v doplňkové činnosti; náklady z hlavní činnosti přesunem do nákladů doplňkové činnosti</t>
  </si>
  <si>
    <t>Účet 511 - HČ opravy a údržba v hlavní činnosti; náklady z hlavní činnosti přesunem do nákladů doplňkové činnosti</t>
  </si>
  <si>
    <t>Účet 518 - DČ ostatní služby v doplňkové činnosti; náklady z hlavní činnosti přesunem do nákladů doplňkové činnosti</t>
  </si>
  <si>
    <t>Účet 518 - HČ ostatní služby v hlavní činnosti; náklady z hlavní činnosti přesunem do nákladů doplňkové činnosti</t>
  </si>
  <si>
    <t xml:space="preserve">Účet 502 - HČ spotřeba energie - snížení z důvodu předpokládané úspory energie za 1. pololetí 2014 -  schváleno 16.6.2014 vedoucím odboru školství, kultury a sportu </t>
  </si>
  <si>
    <t>Účet 558 - HČ náklady z dlouhodobého majetku - navýšení z důvodu pořízení 2. etapy skříněk do šaten  -  schváleno 16.6.2014 vedoucím odboru školství, kultury a sportu (1. etapa schválena ve finančním plánu na rok 2014)</t>
  </si>
  <si>
    <t>Účet 648 - HČ čerpání fondů - čerpání FR -navýšení z důvodu pořízení vybavení -  dofinancování 2. etapy skříněk do šaten</t>
  </si>
  <si>
    <t>Účet 558 - HČ náklady z dlouhodobého majetku - navýšení z důvodu pořízení vybavení -  dofinancování 2. etapy skříněk do šaten</t>
  </si>
  <si>
    <t>Účet 603 -  DČ navýšení výnosů doplňkové činnosti za pronájmy ve 2. pololetí 2014 - k posílení nákladů HČ</t>
  </si>
  <si>
    <t>Účet 558 - HČ náklady z dlouhodobého majetku - navýšení z důvodu pořízenívybavení (trouby do šk. kuchyňky, sw VIS do školní jídelny)</t>
  </si>
  <si>
    <t>Účet 501 -   HČ spotřeba materiálu - snížení nákladů ve 2. pololetí 2014 - úspora různého spotřebního materiálu - ve prospěch účtu 558 - pořízení vybavení</t>
  </si>
  <si>
    <t>Účet 501 -   HČ spotřeba materiálu - snížení nákladů ve 2. pololetí 2014 - ve prospěch účtu 558 - pořízení vybavení</t>
  </si>
  <si>
    <t>Účet 558 - HČ náklady z dlouhodobého majetku - navýšení z důvodu pořízení vybavení  - ICT provoz - počítače 1x kancelář zástupkyně ZŠ + 2x  kancelář ŠJ + 2 x monitor kancelář administrativa; server pro siť, switch 2x)</t>
  </si>
  <si>
    <t>Účet 512 - HČ cestovné - navýšení nákladů na cestovné pro žáky místo spotřeby materiálu (sběr)</t>
  </si>
  <si>
    <t xml:space="preserve">Účet 511 - HČ opravy a údržba - snížení nákladů - přesun na účet 549 - technické zhodnocení </t>
  </si>
  <si>
    <t>Účet 549 - HČ ostatní náklady z činnosti - navýšení nákladů v položce technické zhodnocení - doplnění hasicích přístrojů v budovách školy a protipožární úprava v kanceláři školní jídelny</t>
  </si>
  <si>
    <t xml:space="preserve">Účet 506 strana D - HČ aktivace dlouhodobého majetku - pořízení majetku vlastní činností - výroba nábytku školníkem </t>
  </si>
  <si>
    <t xml:space="preserve">Účet 558 strana MD - HČ náklady z dlouhodobého majetku - navýšení nákladů z důvodu pořízení majetku vlastní činností - výroba nábytku školníkem </t>
  </si>
  <si>
    <t xml:space="preserve">Účet 501 strana MD - HČ spotřeba materiálu - navýšení nákladů z důvodu pořízení majetku vlastní činností - výroba nábytku školníkem </t>
  </si>
  <si>
    <t xml:space="preserve">Účet 502 - HČ spotřeba energie - snížení z důvodu předpokládané úspory energie za 2. pololetí 2014 -  schváleno 11.11.2014 vedoucím odboru školství, kultury a sportu </t>
  </si>
  <si>
    <t xml:space="preserve">Účet 558 - HČ náklady z dlouhodobého majetku - navýšení z důvodu pořízení 3. etapy skříněk do šaten  -  schváleno 11.11.2014 vedoucím odboru školství, kultury a sportu </t>
  </si>
  <si>
    <t>Účet 672 - snížení neinvestičního příspěvku na provoz v položce energie - usnesení Rady města prostějova č. 4969 ze dne 18.11.2014</t>
  </si>
  <si>
    <t>Účet 502 - snížení neinvestičního příspěvku na provoz v položce energie - usnesení Rady města prostějova č. 4969 ze dne 18.11.2014</t>
  </si>
  <si>
    <t>Účet 649 - ostatní výnosy z činnosti - navýšení z důvodu přijetí věcného daru  - schváleno RMP 4.3.2014, usnesením č. 4171 a 18.11.2014 usnesením č. 4954</t>
  </si>
  <si>
    <t xml:space="preserve">Účet 501 -   HČ spotřeba materiálu - OEM - navýšení z důvodu přijetí věcných darů (uč. pomůcek a výukového materiálu, KPŠ) </t>
  </si>
  <si>
    <t xml:space="preserve">Účet 558 - HČ náklady z dlouhodobého majetku - navýšení z důvodu přijetí věcných darů (uč. pomůcek a výukového materiálu, KPŠ) </t>
  </si>
  <si>
    <t>Účet 602 -   HČ úroky - snížení z důvodu nízké kapitalizace účtů v bance</t>
  </si>
  <si>
    <t>Účet 649 - ostatní výnosy z činnosti - navýšení z důvodu přijetí náhrady od pojišťovny a náhrady za zničené učebnice</t>
  </si>
  <si>
    <t>Účet 646 - HČ prodej dlouhodobého hmotného majetku - navýšení z důvodu prodeje nepotřebného majetku před likvidací (nabídka Město 18.11.2014)</t>
  </si>
  <si>
    <t>Účet 553 -   HČ prodaný dlouhodobý hmotný majetek  navýšení z důvodu prodeje nepotřebného majetku místo likvidace (nabídka Město 18.11.2014)</t>
  </si>
  <si>
    <t>Účet 644 - HČ výnosy z prodeje materiálu - snížení z důvodu nižšího prodeje čipů - přístupový systém a školní jídelna</t>
  </si>
  <si>
    <t>Účet 544 - HČ prodej materiálu - snížení z důvodu nižšího prodeje čipů - přístupový systém a školní jídelna</t>
  </si>
  <si>
    <t>Účet 648 - HČ čerpání fondů - čerpání FO - navýšení z důvodu čerpání na odměny zaměstnancům školy</t>
  </si>
  <si>
    <t>Účet 521 - HČ mzdy - čerpání FO - navýšení z důvodu čerpání na odměny zaměstnancům školy</t>
  </si>
  <si>
    <t>Účet 648 - HČ čerpání fondů - čerpání FR - snížení z důvodu nečerpání nákladů na cestovné na zahraniční služební cestě - exkurze do Anglie - financována z ONIV</t>
  </si>
  <si>
    <t>Účet 512 - HČ cestovné - čerpání FR - snížení z důvodu nečerpání nákladů na cestovné na zahraniční služební cestě - exkurze do Anglie - financována z ONIV</t>
  </si>
  <si>
    <t xml:space="preserve">Účet 518 - HČ ostatní služby - snížení z důvodu nižších nákladů na telefonní poplatky - použití ve prospěch cestovného a reprezentace </t>
  </si>
  <si>
    <t xml:space="preserve">Účet 512 - HČ cestovné - navýšení z důvodu podpory vzdělávání zaměstnanců </t>
  </si>
  <si>
    <t xml:space="preserve">Účet 513 - HČ náklady na reprezentaci - navýšení - vyšší počet návštěv na RG a ZŠ </t>
  </si>
  <si>
    <t xml:space="preserve">Přímý vliv organizace v hlavní činnosti:                                                                                                                                                       Výnosy: proti plánu celkově nedočerpané výnosy 159.263,01 Kč (zejména stravné + čerpání fondů) 
• V oblasti výnosů po vyloučení výnosů za stravné, za prodej majetku, zásob a čerpání fondů, byly  všechny ostatní finanční ukazatele překročeny nad rámec plánu – celkem o 74.987,99 Kč. Vyloučené zmíněné výnosy jsou buď  kompenzovány nákladovými položkami ve stejné výši, takže nemají dopad na výsledek hospodaření nebo se jedná o čerpání fondů. Z těchto výnosů dále jsou čistým příjmem školy (bez vynaložených nákladů) výnosy ze sběru ve výši 38.866,70 Kč a ostatní výnosy na účtu 649, tj. náhrady za zničené učebnice 6.995,79 Kč a náhrada od pojišťovny 15.616 Kč. Celkem tedy by čistý výnos z hlavní činnosti činil 61.478, 49 Kč.  
Ostatní vlivy na tvorbu hospodářského výsledku:                                                                                                               Nedočerpané ukazatele plánu v nákladových položkách: 310.508,13 Kč ze všech nákladových účtů. Každý nákladový účet vykazuje úsporu proti plánu, u žádného z nákladových účtů nedošlo k jeho překročení. Tento celkový údaj je také ovlivněn plánovanou ztrátou v nákladech hlavní činnosti ve výši 104.000 Kč, takže skutečná úspora nákladů činí 206.508,13 Kč. 
V závazných ukazatelích plánu jsou následující úspory nákladů v celkové výši 48.748,92 Kč: 
• energie - 19.308,92  Kč - ušetřené náklady na energie,
• odpisy –  9.465 Kč – úspora z důvodu převodu majetku zřizovateli v průběhu roku,
• mzdové a ostatní osobní náklady – 19.975 Kč.
Úspory nákladů ve zbývajících nákladových položkách pokrývají nedočerpané výnosy v hlavní činnosti, zejména stravné. Z tohoto důvodu je spořeba materiálu čerpána jen na úrovni 94,92% finančního plánu, protože ve srovnání s plánovaným počtem obědů 171.200 bylo uvařeno jen 163.596 obědů. Přitom přihlášených strávníků k datu 1.1.2014 bylo celkem 972, v roce 2013 bylo přihlášeno 987 strávníků. Ve finančním vyjádření činí rozdíl mezi uvařenými a plánovanými obědy celkem 224.302,31 Kč. Z této situace je možné odvodit, že nenaplnění plánovaných nákladů je důsledkem toho, že přihlášení strávníci z okolních škol si nepřihlásí plný počet obědů, zejména z organizačních důvodů (rozvrh, praktické vyučování mimo mateřskou školu apod.). Ze stejného důvodu nejsou naplněny výnosy z vlastní činnosti - příjmy za stravné (plnění 94,96%).  Nižší čerpání nákladů proti plánu ve výši 77,58% bylo také v oblasti účtu 524 a 525 - náklady na sociální zabezpečení, kde úspora jde na vrub zejména dohodám o provedení práce a dohodám o pracovní činnosti do limitu, takže se z nich neodvádělo. V položce 527,528 zákonné sociální zabezpečení byl plán čerpán ve výši 85,37% především z důvodu ušetřených stravenek v období hlavních prázdnin, a to jednak z důvodu pracovních neschopností správních zaměstnanců a z důvodu zprovoznění školní jídelny již v přípravném týdnu. Na účtu 551 - odpisy dlouhodobého majetku je nižší čerpání 96,14%, protože od dubna jsou nižší o odpisy za nevyužívané basketbalové koše, převedené na Město Prostějov a poté na Sportcentrum DDM a také o odpisy technického zhodnocení, které bylo převedeno na zřizovatele ke 30.11.2014. Proto odpisy vykazují úsporu proti plánu ve výši 9.465 Kč. </t>
  </si>
  <si>
    <t>Dar věcný - mixéry do cvičné kuchyňky; schváleno RMP 4.3.2014, usnes.č. 4171.</t>
  </si>
  <si>
    <t>Dar finanční - neúčelový.</t>
  </si>
  <si>
    <t>Dar věcný - majetek pro výuku od KPŠ - schváleno RMP 18.11.2014, usnes. č. 4954.</t>
  </si>
  <si>
    <t>Dar finanční - účelový - na mzdy ped. asistenta pro žáka J. Plenaře (od 9/2014 - 1/2015); schváleno RMP 27.5.2014, usnes. č. 4459.</t>
  </si>
  <si>
    <t>Dar finanční - účelový - na obědy pro soc. znevýhodněných 14 žáků od ledna 2015 - června 2015; schváleno RMP 18.11.2014, usnes. č. 4953.</t>
  </si>
  <si>
    <t>Účet 521 - navýšení nákladů v hlavní činnosti v položce mzdové náklady -přijetí daru na pedagogickou asistenci k žáku Janu Plenařovi na I. pololetí školního roku 2014/2015 - usnesení Rady města Prostějova č. 4459 ze dne 27.5.2014</t>
  </si>
  <si>
    <t>1. Účastníci KD, vzhledem k provedené analýze ZVH, doporučují ponechat organizaci výsledek hospodaření ve výši 216.693 Kč pro příděl do peněžních fondů organizace dle zákona č. 250/2000 Sb., o rozpočtových pravidlech územních rozpočtů, ve znění pozdějších předpisů a na základě předložených požadavků a potřeb organizace. Do rezervního fondu je navrženo převést částku 166.693 Kč. Do fondu odměn je navrženo převést částku 50.000 Kč.</t>
  </si>
  <si>
    <t xml:space="preserve">2. Účastníci KD, vzhledem k provedené analýze VH, doporučují odvést část ZVH ve výši 47.245,12 Kč na účet zřizovatele v rámci finančního vypořádání roku 2014. </t>
  </si>
  <si>
    <t xml:space="preserve">4. Na kontrolním dnu ředitel školy připomenul již druhou havárii vody od nového roku a problémy s pitnou vodou po zahájení školního roku a upozornil na nutnost řešení přípojky vody ve spolupráci s ORI, protože problém s havárií vody může nastat kdykoli znovu, vzhledem ke stavu potrubí. 
</t>
  </si>
  <si>
    <t>V roce 2015 není plánováno použití fondu odměn.</t>
  </si>
  <si>
    <t>Výsledku hospodaření bylo dosaženo značnou úsporou  v položce energií.</t>
  </si>
  <si>
    <t>Výsledku hospodaření bylo dosaženo ziskem v doplňkové činnosti za dodávku stravy a pronájmů nebytových prostor školy (třídy, tělocvičny, bazén). Tento zisk je zahrnut v kalkulačních cenách.</t>
  </si>
  <si>
    <t>V roce 2015 je plánováno použití investiční fondu se souhlasem zřizovatele na nákup varného kotle do jídelny (280.000 Kč) a stavební opravy nad rámec finančního plánu v jídelně - opravy podhledu a podlahy.</t>
  </si>
  <si>
    <t>Nákup dvou kusů televizorů (použití místo interaktivní tabule).</t>
  </si>
  <si>
    <t>Účelový dar třídě 2. A a 7. A (bude čerpáno v roce 2015).</t>
  </si>
  <si>
    <t>Doprava žáci Antopos.</t>
  </si>
  <si>
    <t>Sníženy výnosy hlavní činnosti pronájmy - převod do DČ</t>
  </si>
  <si>
    <t>Snížení HČ 501/materiál  z důvodů převodů do nákladů DČ pronájmy</t>
  </si>
  <si>
    <t>Snížení HČ 502/energie  z důvodů převodů do nákladů DČ pronájmy</t>
  </si>
  <si>
    <t>Snížení HČ 511/opravy a údržba  z důvodů převodů do nákladů DČ pronájmy</t>
  </si>
  <si>
    <t>Snížení HČ 518/služby  z důvodů převodů do nákladů DČ pronájmy</t>
  </si>
  <si>
    <t>Snížení HČ 521/mzdové náklady  z důvodů převodů do nákladů DČ pronájmy</t>
  </si>
  <si>
    <t>Snížení DČ 501/materiál úspora v položce</t>
  </si>
  <si>
    <t>Snížení položky 502/energie úspora v položce (použito na 551)</t>
  </si>
  <si>
    <t>Snížení položky 524/525 - sociální náklady (použito na položky 521)</t>
  </si>
  <si>
    <t>Snížení položky 502/energie úspora v položce (použito na 549)</t>
  </si>
  <si>
    <t xml:space="preserve">Snížení položky 511/opravy drobné z opravy vlastními prostředky </t>
  </si>
  <si>
    <t>Snížení položky 512/cestovné - úspora v této položce</t>
  </si>
  <si>
    <t>Snížení položky 527,528/ úspora v této položce (ochran. pomůcky)</t>
  </si>
  <si>
    <t>Snížení položky 558/DDHM omezení nákupu - úspora v této položce</t>
  </si>
  <si>
    <t xml:space="preserve">Snížení položky 501/materiál DČ - úspora v této položce (z této položky navýšeny účty 502, 524 a 525, 551, 549) </t>
  </si>
  <si>
    <t>Zvýšení výnosy doplňkové  činnosti pronájmy - převod z HČ</t>
  </si>
  <si>
    <t>Zvýšení DČ 501/materiál  z důvodů převodů z nákladů HČ pronájmy</t>
  </si>
  <si>
    <t>Zvýšení DČ 502/energie  z důvodů převodů z nákladů HČ pronájmy</t>
  </si>
  <si>
    <t>Zvýšení DČ 511/opravy a údržba  z důvodů převodů z nákladů HČ pronájmy</t>
  </si>
  <si>
    <t>Zvýšení DČ 518/služby  z důvodů převodů z nákladů HČ pronájmy</t>
  </si>
  <si>
    <t>Zvýšení DČ 521/mzdové náklady  z důvodů převodů z nákladů HČ pronájmy</t>
  </si>
  <si>
    <t>Zvýšení DČ 558/ nákup gastronádob</t>
  </si>
  <si>
    <t>Zvýšení 672/ příspěvek zřizovatel - havárie potrubí teplá voda</t>
  </si>
  <si>
    <t>Zvýšení 511/ opravy -havárie potrubí teplá voda</t>
  </si>
  <si>
    <t>Zvýšení 672/ příspěvek zřizovatel - havárie oprava topení bazén</t>
  </si>
  <si>
    <t xml:space="preserve">Zvýšení položky 549/ostatní náklady zvýšené náklady  porušení rozp. kázně </t>
  </si>
  <si>
    <t>Navýšení položky 521/mzdové náklady (navýšení tarifů od 1.11.2014)</t>
  </si>
  <si>
    <t>Navýšení položky 549/ porušení rozp. kázně (použito z položky 502)</t>
  </si>
  <si>
    <t>Navýšení položky 501/materiál (použito z pol. 649)</t>
  </si>
  <si>
    <t>Navýšení položky 518/ostatní služby - daňové poradenství, projektová dokumentace</t>
  </si>
  <si>
    <t>Navýšení položky 549/ porušení rozp. kázně (použito z pol. 649)</t>
  </si>
  <si>
    <t>Navýšení položky 502/energie DČ pokryto z účtu 501/materiál</t>
  </si>
  <si>
    <t>Navýšení položky 549/ostatní náklady - pojistné DČ pokryto z účtu 501/materiál</t>
  </si>
  <si>
    <t>Navýšení položky 551/odpisy DHM DČ pokryto z účtu 501/materiál</t>
  </si>
  <si>
    <t>Navýšení položky 551/odpisy DHM (zařazení majetku - pec, unimobuňka)</t>
  </si>
  <si>
    <t>Zvýšení 511/ opravy - havárie oprava topení bazén</t>
  </si>
  <si>
    <t xml:space="preserve">Navýšení položky 649/ostatní výnosy: zaúčtování sběr, šeky (z toho navýšení účtů 501, 518 a 549) </t>
  </si>
  <si>
    <t xml:space="preserve">Zvýšení položky 549/ostatní náklady zvýšené náklady porušení rozp. kázně </t>
  </si>
  <si>
    <t>Navýšení položky 524,525 - ostatní soc. náklady DČ pokryto z účtu 501/materiál</t>
  </si>
  <si>
    <t>5. Organizace nainstaluje do prostor sauny podružné měřiče elektrické energie a vody. Splněno.</t>
  </si>
  <si>
    <t>Po schválení výsledku hospodaření zřizovatelem budou prostředky rezervního fondu 413 použity na odvod zřizovateli - splátkový kalendář porušení rozpočtové kázně.</t>
  </si>
  <si>
    <r>
      <t xml:space="preserve">1. Účastníci KD, vzhledem k provedené analýze ZVH, doporučují ponechat organizaci celý výsledek hospodaření ve výši 410.872,81 Kč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410.872,81 Kč s tím, že bude použita v rámci rezervního fondu na odvod zřizovateli (splátkový kalendář za porušení rozpočtové kázně).  </t>
    </r>
    <r>
      <rPr>
        <b/>
        <sz val="8"/>
        <color indexed="8"/>
        <rFont val="Times New Roman"/>
        <family val="1"/>
        <charset val="238"/>
      </rPr>
      <t>Kontrola užití rezervního fondu bude provedena na KD k výsledkům hospodaření organizace za I. pololetí 2015.</t>
    </r>
  </si>
  <si>
    <t>Snížení položky 513/reprezentace - úspora v položce</t>
  </si>
  <si>
    <t>1. Prostředky určené na správce hřiště ve výši 67.600 Kč nebudou čerpány a budou vráceny při celoročním vyúčtování zřizovateli. Na KD bylo doporučeno ponechat prostředky organizaci a v rámci finančního vypořádání je organizace převede do rezervního fondu (užití rezervního fondu - splátkový kalendář za porušení rozpočtové kázně).</t>
  </si>
  <si>
    <t>V roce 2015 bude FKSP použity v souladu s rozpočtem čerpání tohoto fondu, který byl odsouhlasen spolu s odborovou organizací - tj. příspěvek na stravné, kulturní akce, příspěvek na dětské rekreace a finanční dary - životní a pracovní výročí.</t>
  </si>
  <si>
    <t>Užití fondu dle Zásad pro hospodaření s FKSP.</t>
  </si>
  <si>
    <t>Převod prostředků z účtu 518 na 549 - ohlášení živnosti</t>
  </si>
  <si>
    <t xml:space="preserve">Navýšení rozpočtu na účtech:                                                                                 602/300 - Výnosy z prodeje služeb - akce školy                                                518/390 - Ostatní služby - akce školy                                                                   Účtování akcí školy, které si hradili žáci. Po konzultaci s paní auditorkou se účtuje pouze přes účty 324/0100 a 377/0100.          </t>
  </si>
  <si>
    <t>Převod prostředků ze SÚ 501 na 558 - nákup DDHM</t>
  </si>
  <si>
    <t>Rozdělení finančního plánu na hlavní a doplňkovou činnost: snížení nákladů a výnosů účtové skupiny 60X a 64X</t>
  </si>
  <si>
    <t>Převod prostředků DČ z účtu 501 na 558 - nákup DDHM</t>
  </si>
  <si>
    <t xml:space="preserve">Usnesení RMP č. 4474 - navýšení neivest. přísp. na dovybavení učebny:                                                                                               - 672/300 - Přijaté transfery:                          + 70. 000,00 Kč                              - 501/350 - Spotřeba materiálu - OEHM:      +  66.750,00 Kč                                         - 558/310 - Náklady z DDHM:                      +    3.250,00 Kč                  </t>
  </si>
  <si>
    <t xml:space="preserve">Usnesení RMP č. 4457 - snížení závaz. ukazatele - odpisů </t>
  </si>
  <si>
    <t xml:space="preserve">Přesun mezi účty schválený vedoucím OŠKS:                                                                           - 502 - Spotřeba energie                                                                                           - 518 - Ostatní služby                        </t>
  </si>
  <si>
    <t xml:space="preserve">Přesun mezi účty schválený vedoucím OŠKS:                                                                           - 502 - Spotřeba energie:                -100.000,00 Kč                                                                                 - 518 - Ostatní služby:                    +   5.953,20 Kč                                                                                    - 558 - Náklady z DDHM:               + 89.904,40 Kč                                                       - 501 - Spotřeba materiálu - OEHM: + 4.142,40 Kč                              </t>
  </si>
  <si>
    <t xml:space="preserve">Přesun mezi účty schválený vedoucím OŠKS:                                                                           - 502 - Spotřeba energie                                                                                                                 - 558 - Náklady z DDHM                                                                                                          - 518 - DDNM                </t>
  </si>
  <si>
    <t xml:space="preserve">Přesun mezi účty schválený vedoucím OŠKS:                                                                           - 502 - Spotřeba energie                                                                                           - 501 - Spotřeba materiálu - OEHM                       </t>
  </si>
  <si>
    <t>Navýšení rozpočtu na karty a čipy:                                                                           501/400 - Karty a čipy                                                                                    644/330 - Výnosy za karty a čipy</t>
  </si>
  <si>
    <t xml:space="preserve">Čerpání rezervního fondu - celkem:                                                                          - 648 - Zúčtování fondů                       +  225.504,50 Kč                                                                                                         - 501 - Spotřeba materiálu - OEHM:      +    1.399,00 Kč                                                                                              - 558 - Náklady z DDHM:                    +     5.752,50 Kč                                                                                     - 524 - Zákon. sociál. pojištění:             +    3.609,00 Kč                                                                                                         Čerpání RF se souhlasem zřizovatele:                                                                                                   - 558 - Náklady z DDHM:                    + 200.000,00 Kč                                                                                                          - 551 - Odpisy DHM:                           +   14.744,00 Kč                                                                                                   </t>
  </si>
  <si>
    <t xml:space="preserve">.                                                 .                        23.10.2014                       17.12.2014                                        31.12.2014                                                                                                                                             .                                            18.11.2014                                              2.12.2014                                                  </t>
  </si>
  <si>
    <t>225.504,50</t>
  </si>
  <si>
    <t xml:space="preserve">Čerpání fondu odměn:                                                                                                              - 521 - Mzdové náklady                                                                                                                                     - 648 - Zúčtování fondů                                                                        </t>
  </si>
  <si>
    <t>1.827,00</t>
  </si>
  <si>
    <t xml:space="preserve">Úprava rozpočtu:                                                                                                                   - 602 - Výnosy z prodeje služeb                                                                                                                              - 501 - Spotřeba materiálu                                                             </t>
  </si>
  <si>
    <t>176.700,00</t>
  </si>
  <si>
    <t>Výše prostředků v současné neumožňuje nákup majetku.</t>
  </si>
  <si>
    <t>Fond odměn slouží jako rezerva na event. překročení prostředků na platy.</t>
  </si>
  <si>
    <t>3. Sledovat a upravovat finanční plán tak, aby nedocházelo u některých položek k čerpání nad 100% ke konci účetního období.</t>
  </si>
  <si>
    <t xml:space="preserve">1. Jak bylo uvedeno v opatření z kontrolního dne, z účelově vázaných prostředků rezervního fondu v celkové výši 200.000,00 Kč byly nakoupeny šatní skříňky a po odsouhlasení zřizovatelem byly dokoupeny 3 počítače. Také organizace řešila odpis nedobytné pohledávky ve výši 935 Kč. Na základě stanoviska MMPv byla tato pohledávka odepsána.   </t>
  </si>
  <si>
    <t>Komentář k plánovanému užití fondu v roce 2015</t>
  </si>
  <si>
    <t>Využití finančních prostředků z rezervního fondu je plánováno na modernizaci výpočetní techniky (50 tis. Kč - počítače a monitory), nákup materiálu potřebného pro činnost městské haly (30 tis. Kč stoly a židle na sál a do haly), dofinancování nosné propagační a náborové akce "Burza volného času" (30 tis. Kč - plastový nábytek na stanoviště a altány a přístřešky, apod.), modernizaci kanceláří (15 tis. Kč - regály, skříně a psací stoly), nákup potřebného vybavení pro činnost DDC (40 tis. Kč - zvýšení kapacity = nákup kár, koloběžek a tříkolek pro dětskou kategorii) a další operativní potřeby pro činnost Sportcentra jako DDM a městské haly.</t>
  </si>
  <si>
    <t>Finanční prostředky budou použity na řešení havarijních stavů na budovách SC a část prostředků bude použita na nákup nového služebního vozidla (za dosluhující Ford Escord r.v. 1996).</t>
  </si>
  <si>
    <t>Prostředky z tohoto fondu budou použity na odměny pro pracovníky SC - DDM za plnění mimořádných a zvlášť významných pracovních úkolů.</t>
  </si>
  <si>
    <t>311 - Odběratelé</t>
  </si>
  <si>
    <t>67/2013</t>
  </si>
  <si>
    <t>Navýšení 648 – čerpání RF – schváleno RMP</t>
  </si>
  <si>
    <t>Navýšení 558 – DDHM -  nákup 2ks počítačů – schváleno RMP</t>
  </si>
  <si>
    <t>stavební úpravy šaten – šatna rozhodčích – schváleno RMP</t>
  </si>
  <si>
    <t>Navýšení 521 – Mzdy – mzdy na DDC – schváleno RMP</t>
  </si>
  <si>
    <t>snížení 502 – Energie – schváleno RMP</t>
  </si>
  <si>
    <t>Snížení 602-64x – převedení do doplňkové činnosti</t>
  </si>
  <si>
    <t>Navýšení 602-64x – navýšení výnosů v doplňkové činnost</t>
  </si>
  <si>
    <t>Snížení 501 – Materiál – převedení do doplňkové činnosti</t>
  </si>
  <si>
    <t>Navýšení 501 – materiál – navýšení nákladů v doplňkové činnosti</t>
  </si>
  <si>
    <t>Snížení 511 – opravy a údržby – převedení do doplňkové činnosti</t>
  </si>
  <si>
    <t>Navýšení 511 – opravy a údržba – navýšení nákladů v dopl.čin.</t>
  </si>
  <si>
    <t>snížení neivn.příspěvku 524,525 – schváleno RMP</t>
  </si>
  <si>
    <t>Snížení 551 – Odpisy – schváleno RMP</t>
  </si>
  <si>
    <t>čerpání RF – venkovní žaluzie – schváleno RMP</t>
  </si>
  <si>
    <t>Navýšení 602 – vyšší táborné, čerpání RF</t>
  </si>
  <si>
    <t>čerpání RF - tiskárna, tabule cti - schváleno RMP</t>
  </si>
  <si>
    <t>navýšení 558 - Náklady z DDHM - tiskárna, tabule cti</t>
  </si>
  <si>
    <t>snížení 502 - Energie - úspory - schváleno RMP</t>
  </si>
  <si>
    <t>navýšení 501 - Materiál - vybavení DDC, výpočetní technika</t>
  </si>
  <si>
    <t>snížení 512 - cestovné - školení se konalo v Prostějově</t>
  </si>
  <si>
    <t>navýšení 603 - pronájmy - navýšení vlastní iniciativou</t>
  </si>
  <si>
    <t>navýšení 558 - DDHM</t>
  </si>
  <si>
    <t>navýšení 501 - Materiál - použito na tábory, akce, kroužky</t>
  </si>
  <si>
    <t>Výsledek hospodaření byl vytvořen vyššími výnosy z úplat za akce a zájmové útvary. Dále úsporami na některých účtech, zejména 511 = 28.993 Kč, 512 = 15.201 Kč, 518 = 126.429 Kč, 521 = 61.560 Kč.</t>
  </si>
  <si>
    <t>Organizace obdržela tuto částku od ČS jako příspěvek na organizaci okresních a krajských kol SOČ a olympiád.</t>
  </si>
  <si>
    <t>čerpání invest. fondu – převod zřizovateli – schváleno RMP</t>
  </si>
  <si>
    <t>navýšení neiv. příspěvku – schváleno RMP</t>
  </si>
  <si>
    <t>snížení neivn. příspěvku – schváleno RMP</t>
  </si>
  <si>
    <t>Snížení 549 – ost. nákl. - převedení do doplňkové činnosti</t>
  </si>
  <si>
    <t>Navýšení 549 – ost. nák. - navýšení nákl. v doplňkové činnosti</t>
  </si>
  <si>
    <t>Snížení 521 – Mzdy – snížení neivn. přísp. – schváleno RMP</t>
  </si>
  <si>
    <t>snížení 521 – Mzdy - schváleno RMP</t>
  </si>
  <si>
    <t>Snížení 524,525 – zák. soc. poj. - schváleno RMP</t>
  </si>
  <si>
    <t>Snížení neinv. příspěvku 527,528 – schváleno RMP</t>
  </si>
  <si>
    <t>Snížení 527,528 – jiné soc. poj. - schváleno RMP</t>
  </si>
  <si>
    <t>snížení neinv. příspěvku – 551 - schváleno RMP</t>
  </si>
  <si>
    <t>přijetí účel. SD na Olympiády – RF – schváleno RMP</t>
  </si>
  <si>
    <t>Navýšení 501 – materiál – čerpání účel. SD – schváleno RMP</t>
  </si>
  <si>
    <t>Navýšení 549 – ost. nákl. - tech. zhodnocení</t>
  </si>
  <si>
    <t>Navýšení 558 – DDHM – pořízení DDHM z prostř. tábora</t>
  </si>
  <si>
    <t>navýšení ost. výnosy - více plateb za tábory, zápisné</t>
  </si>
  <si>
    <t>navýšení 524,525 - Zák. soc. a zdr. poj. - převod z DČ</t>
  </si>
  <si>
    <t>navýšení 527,528 - Zák. a jiné soc. nákl. - pro pracovníky z ÚP</t>
  </si>
  <si>
    <t>navýšení 602 - Ost. výnosy - více úplat za tábory, akce, kroužky</t>
  </si>
  <si>
    <t>navýšení 513 - občerstvení pro audit a daň. poradkyni</t>
  </si>
  <si>
    <t xml:space="preserve">navýšení 549 - ost. náklady - více pojištěných účast.akcí </t>
  </si>
  <si>
    <t xml:space="preserve">Veškeré pohledávky po lhůtě splatnosti náleží jednomu dlužníkovi. Dlužníkovi byl sdělen termín do 15.2.2015 pro úhradu vymáhané částky nebo pro dohodu o splátkovém kalendáři. V uvedeném termínu nebyla žádná dohoda uzavřena. Pohledávka bude postoupena k soudnímu řízení. </t>
  </si>
  <si>
    <t>3. Na KD k výsledkům hospodaření organizace za I. pololetí 2015 bude provedena kontrola likvidace pohledávky po lhůtě splatnosti ve výši 137.201 Kč.</t>
  </si>
  <si>
    <t>Výsledek hospodaření byl vytvořen podílem stanoveného zisku v položkách nájmů (kalkulacích) a částečně i přínosem beznákladových pronájmů (pronájmy reklamních ploch).</t>
  </si>
  <si>
    <t>Prostředky z tohoto fondu budou čerpány dle směrnice FKSP ze dne 2. ledna 2015. Budou použity především na příspěvek na stravenky pro pracovníky, nákup vitamínových prostředků (prevence) a na odměny jubilantům.</t>
  </si>
  <si>
    <t>navýšení 521 - Mzdy - převedeno z doplň. činnosti - schváleno RMP</t>
  </si>
  <si>
    <t xml:space="preserve">1. Pohledávka po lhůtě splatnosti ve výši 137.201 Kč přetrvává. Pohledávka bude postoupena k soudnímu řízení. </t>
  </si>
  <si>
    <t>čerpání invest. fondu na stavební úpravy šaten – schváleno RMP</t>
  </si>
  <si>
    <t>Navýšení 549 – tech. zhodnocení – venk. žaluzie – schváleno RMP</t>
  </si>
  <si>
    <t>Snížení 518 – ost. služby – práce vykonali prac. z ÚP</t>
  </si>
  <si>
    <t>Po projednání s ORI - dokompletování klimatizace a vzduchotechniky nebo pořízení potřebné výpočetní techniky (server).</t>
  </si>
  <si>
    <t>Posílení položky mzdové náklady - případné mimořádné odměny.</t>
  </si>
  <si>
    <t>Plánované obnovení zastaralé výpočetní techniky, nákup koberce a vybavení pro dětské oddělení v částce 56.000 Kč - účelově vázáno.</t>
  </si>
  <si>
    <t>311/0200 - odběratelé, 4. upomínky za čtenáři</t>
  </si>
  <si>
    <t>Pohledávky za čtenáři jsou vymáhány všemi dostupnými prostředky (písemně, telefonicky, elektronickou cestou atd.). Dlužné částky jsou o 600 Kč vyšší než za I. pololetí roku 2014. Některé upomínky byly zaplaceny, další vznikly ve II. pololetí 2014.</t>
  </si>
  <si>
    <t>Navýšení úč. 672 (transfery z územ.rozpočtů) - ZM Pv - usnesení č. 14061</t>
  </si>
  <si>
    <t>Navýšení úč. 501 (spotřeba materiálu) - materiál na projekt Zdravé město Pv</t>
  </si>
  <si>
    <t>Navýšení úč. 513 (nákl.na reprezentaci) - občerstvení pro účastníky ZM Pv</t>
  </si>
  <si>
    <t>Navýšení úč. 538 (daně a poplatky) - srážková daň z úroků na běžném účtu</t>
  </si>
  <si>
    <t xml:space="preserve">Snížení úč. 549 (ostatní náklady) - pojištění přívěsného vozíku </t>
  </si>
  <si>
    <t>Snížení úč. 502 (spotřeba energie) - úspora za odběr elektřiny a plynu</t>
  </si>
  <si>
    <t>Navýšení úč. 521 (mzdové náklady) - usnesení Rady města Prostějova č. 4946</t>
  </si>
  <si>
    <t xml:space="preserve">Navýšení úč. 648 (čerpání fondů) - usnesení Rady města Pv č.4945 </t>
  </si>
  <si>
    <t xml:space="preserve">Navýšení úč. 501 (spotřeba materiálu) - nákup drobného materiálu </t>
  </si>
  <si>
    <t xml:space="preserve">Navýšení úč. 558 (náklady z DDHM) - nákup výpočetní techniky </t>
  </si>
  <si>
    <t xml:space="preserve">Navýšení úč. 648 (čerpání fondů) - čerpání fondu odměn </t>
  </si>
  <si>
    <t>Navýšení úč. 521 (mzdové náklady) - posílení z fondu odměn</t>
  </si>
  <si>
    <t>Snížení úč. 518 (služby ostatní) - úspora z důvodu hospodárného nákupu služeb</t>
  </si>
  <si>
    <t xml:space="preserve">Navýšení úč. 558 (náklady z DDHM) - nákup výpočetní techniky + spoluúčast </t>
  </si>
  <si>
    <t>Navýšení úč. 501 (spotř. materiálu) - nákup knihovního fondu - schvál. OŠKS</t>
  </si>
  <si>
    <t>Navýšení úč. 524 (zákonné soc. pojištění) - usnesení Rady města Pv č. 4947</t>
  </si>
  <si>
    <t>Navýšení úč. 524 (zákonné soc. pojištění) - usnesení Rady města Pv č. 4946</t>
  </si>
  <si>
    <t>2. Pohledávky za čtenáři (4. upomínky za půjčovné) jsou oproti I. pololetí 2014 vyšší o 600 Kč. Jsou vymáhány všemi dostupnými prostředky (písemně, telefonicky, elektronickou cestou atd.). Některé upomínky byly zaplaceny, další vznikly ve II. pololetí 2014.</t>
  </si>
  <si>
    <r>
      <t xml:space="preserve">1. Účastníci KD, vzhledem k provedené analýze ZVH, doporučují ponechat organizaci celý výsledek hospodaření ve výši 145.408,09 Kč pro příděl do peněžních fondů organizace dle zákona č. 250/2000 Sb., o rozpočtových pravidlech územních rozpočtů, ve znění pozdějších předpisů a na základě předložených požadavků a potřeb organizace. Do rezervního fondu je navrženo převést částku 120.408,09 Kč s tím, že čátka 56.000 Kč bude účelově vázána na pořízení koberce a vybavení pro dětské oddělení. Do fondu odměn je navrženo převést částku 25.000 Kč. </t>
    </r>
    <r>
      <rPr>
        <b/>
        <sz val="8"/>
        <color indexed="8"/>
        <rFont val="Times New Roman"/>
        <family val="1"/>
        <charset val="238"/>
      </rPr>
      <t>Kontrola užití účelově vázaných prostředků bude provedena na KD k výsledkům hospodaření organizace za I. pololetí 2015.</t>
    </r>
  </si>
  <si>
    <t>3. Na KD k výsledkům hospodaření organizace za I. pololetí 2015 bude provedena kontrola likvidace pohledávek po lhůtě splatnosti ve výši 23.600 Kč.</t>
  </si>
  <si>
    <t>1. V příloze účetní závěrky za I. pololetí 2014 nutno opravit účtování na rezervním a investičním fondu - splněno - opraveno účtování na analytických účtech u rezervního a investičního fondu.</t>
  </si>
  <si>
    <t>Výsledek hospodaření je vyšší z důvodů většího počtu uzavřených komerčních pornájmů.</t>
  </si>
  <si>
    <t>Fond odměn bude použit na případné překročení mzdových prostředků.</t>
  </si>
  <si>
    <t>Je čerpán pouze na příspěvek na stravné zaměstanců.</t>
  </si>
  <si>
    <t>Hlavní činnost</t>
  </si>
  <si>
    <t>518 ostatní služby - přeúčtováno na nový účet 538</t>
  </si>
  <si>
    <t>551 změna odpisového plánu</t>
  </si>
  <si>
    <t>413 čerpání RF - pořízení DDHM</t>
  </si>
  <si>
    <t>413 čerpání RF - pořízení DNHM</t>
  </si>
  <si>
    <t>413 čerpání RF schváleno ve FP na 2014, zapojení do výnosů</t>
  </si>
  <si>
    <t>518 ostatní služby - úspora na službách, pořízení DHM</t>
  </si>
  <si>
    <t xml:space="preserve">512 cestovné - převedená úspora na službách  </t>
  </si>
  <si>
    <t xml:space="preserve">432 snížení plánovaného ZHV </t>
  </si>
  <si>
    <t>502 spotřeba energie  - zúčtování dohadných položek</t>
  </si>
  <si>
    <t>511 opravy a udržování</t>
  </si>
  <si>
    <t xml:space="preserve">603 výnosy z pronájmů </t>
  </si>
  <si>
    <t xml:space="preserve">502 spotřeba materiálu </t>
  </si>
  <si>
    <t xml:space="preserve">502 spotřeba energie </t>
  </si>
  <si>
    <t xml:space="preserve">549 ostatní náklady </t>
  </si>
  <si>
    <t>Organizace nevytváří průběžný zlepšený výsledek hospodaření. Náklady roku 2014 byly hrazeny nejdříve vlastními příjmy a dofinacovány transferem z ÚSC. Tato metodika neumožňuje vytvářet ZVH, ale prokazuje ztrátovou činnost organizace. Nečerpaná část zálohově poskytnutého příspěvku uzavíraného období je zohledněna v příspěvku období následného.</t>
  </si>
  <si>
    <t>200.000 Kč tvoří rezervu pro případné výkyvy tržeb. 290.512 Kč bude zapojeno do finančního plánu 2016.</t>
  </si>
  <si>
    <t>Je připraven k financování investičních akcí v městském diavdle ve spolupráci se zřizovatelem.</t>
  </si>
  <si>
    <t>1. Konzultovat silniční daň. Proběhla konzultace na FÚ - organizaci je doporučeno platit silniční daň.</t>
  </si>
  <si>
    <t>1. Účastníci KD, vzhledem k provedené analýze ZVH, doporučují ponechat organizaci celý výsledek hospodaření ve výši 74.062,37 Kč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74.062,37 Kč.</t>
  </si>
  <si>
    <t xml:space="preserve">3. Ve III.  nebo IV. čtvrtletí organizace požádá o snížení transferu na rok 2015 o částku 342.341 Kč. </t>
  </si>
  <si>
    <t>4. Ve spolupráci s FO MMPv dořeší vyřazení pohledávky z podrozvahy.</t>
  </si>
  <si>
    <t xml:space="preserve">5. Způsob správy (opravy a údržbu) svěřeného majetku části budovy ND bylo organizaci doporučeno konzultovat s odborem správy a údržby majetku města a s ředitelem DS, spol. s. r.o. </t>
  </si>
  <si>
    <t>3. V I. pololetí 2015 bude provedena úprava finančního plánu v položce energií na základě jednání, která proběhnou na kontrolním dnu k výsledkům hospodaření organizace za I. pololetí 2015.</t>
  </si>
  <si>
    <t>6. Sledovat a upravovat finanční plán tak, aby nedocházelo u některých položek k čerpání nad 100% ke konci účetního období.</t>
  </si>
  <si>
    <t>4. Sledovat a upravovat finanční plán tak, aby nedocházelo u některých položek k čerpání nad 100% ke konci účetního období.</t>
  </si>
  <si>
    <t>Výsledek hospodaření vyšší o nárůst výnosů z tržeb v mateřské škole a z prodeje karet do školní jídelny.</t>
  </si>
  <si>
    <t>Výsledek hospodaření dosažen z pronájmů nemovitého majetku.</t>
  </si>
  <si>
    <t>Z rezervního fondu byl posílen investiční fond ve výši 34.959 Kč. Čerpáno 100.000 Kč na nákup šatních skříněk. Přijat účelový peněžní dar 40.000 Kč.</t>
  </si>
  <si>
    <t>Tvořen odpisy. Uložený odvod zřizovatelem, o který byl následně navýšen příspěvek na provoz ve výši 414.959 Kč.</t>
  </si>
  <si>
    <t>Tvorba ze zlepšeného výsledku hospodaření roku 2013. Užití je plánováno na případné překročení mzdových prostředků a na mimořádné odměny.</t>
  </si>
  <si>
    <t>Usnesení č. 4232 - Čerpání rezervního fondu (převedené prostředky EU)</t>
  </si>
  <si>
    <t>Snížení příspěvku na provoz v položce energie</t>
  </si>
  <si>
    <t>Čerpání investičního fondu - uložený odvod</t>
  </si>
  <si>
    <t>Usnesení 4507 - Čerpání investičního fondu - uložený odvod</t>
  </si>
  <si>
    <t>Usnesení 4507 - Navýšení příspěvku na provoz</t>
  </si>
  <si>
    <t>Čerpání rezervního fondu - nákup šatních skříněk</t>
  </si>
  <si>
    <t>Navýšení příspěvku na provoz - kapitola 60</t>
  </si>
  <si>
    <t>Úprava plánu - Navýšení položky opravy - účet 511</t>
  </si>
  <si>
    <t>Úprava plánu - navýšení položky spotřeba materiálu - účet 501</t>
  </si>
  <si>
    <t>Úprava plánu - snížení položky energií - účet 502</t>
  </si>
  <si>
    <t>Úpráva plánu - navýšení položky spotřeba materiálu - účet 501</t>
  </si>
  <si>
    <t>1. Účastníci KD, vzhledem k provedené analýze ZVH, doporučují ponechat organizaci výsledek hospodaření ve výši 196.404,38 Kč pro příděl do peněžních fondů organizace dle zákona č. 250/2000 Sb., o rozpočtových pravidlech územních rozpočtů, ve znění pozdějších předpisů a na základě předložených požadavků a potřeb organizace. Do rezervního fondu je navrženo převést částku 176.404,38 Kč. Do fondu odměn potom částku 20.000 Kč.</t>
  </si>
  <si>
    <t xml:space="preserve">2.Účastníci KD, vzhledem k provedené analýze VH, doporučují odvést část ZVH ve výši 41.534,22 Kč na účet zřizovatele v rámci finančního vypořádání roku 2014. </t>
  </si>
  <si>
    <r>
      <t xml:space="preserve">1. Účastníci KD, vzhledem k provedené analýze ZVH, doporučují ponechat organizaci celý výsledek hospodaření ve výši 587.436,76 Kč pro příděl do peněžních fondů organizace dle zákona č. 250/2000 Sb., o rozpočtových pravidlech územních rozpočtů, ve znění pozdějších předpisů a na základě předložených požadavků a potřeb organizace. Do rezervního fondu je navrženo převést částku 487.436,76 Kč s tím, že částka 325.948,88 Kč bude účelově vázána na pořízení dopravního prostředku. Do fondu odměn je navrženo převést částku 100.000 Kč. </t>
    </r>
    <r>
      <rPr>
        <b/>
        <sz val="8"/>
        <color indexed="8"/>
        <rFont val="Times New Roman"/>
        <family val="1"/>
        <charset val="238"/>
      </rPr>
      <t>Kontrola užití účelově vázaných prostředků bude provedena na KD k výsledkům hospodaření organizace za I. pololetí 2015.</t>
    </r>
  </si>
  <si>
    <t xml:space="preserve">Zlepšený výsledek hospodaření ZŠ a MŠ PV, Palackého tř. 14 za rok 2014 v hlavní a doplňkové činnosti ve výši 397.576,16 Kč se skládá z částky: 
• 362.804,48 Kč; jedná se o účetní operaci, vzniklou doúčtováním nekrytého investičního fondu v souladu s § 66 odst. 8 vyhlášky č. 410/2009 Sb., oproti výnosům organizace účetním zápisem 416/649. Jedná se o opravu účetní chyby zjištěné v rámci auditu organizace společností FIN-PARTNER, audit-daně-poradenství, s.r.o. (tato účetní oprava byla provedena po konzultaci s Ing. Andreou Hošákovou z firmy Daňové poradenství Tomáš Paclík, a.s. a nemá žádný daňový dopad),
• 34.771,68 Kč; jedná se o zlepšený výsledek hospodaření z hlavní a doplňkové činnosti, který je krytý finančními prostředky a bude zdrojem tvorby rezervního fondu. 
</t>
  </si>
  <si>
    <t xml:space="preserve">Účetní ztráta ZŠ PV, ul. E. Valenty 52 vznikla zaúčtování odvodu a penále vyměřeného Finančním úřadem pro Olomoucký kraj v celkové výši 1.603.597 Kč (z toho byl odvod ve výši 853.953 Kč a penále 749.644 Kč). Organizace požádala o prominutí odvodu a penále Generální finanční ředitelství, které k 31.3.2015 v této věci dosud nerozhodlo. 
Proto se výsledek hospodaření běžného účetního období skládá z částky:
• - 1.603.597 Kč; zaúčtovaný výměr FÚ pro Olomoucký kraj,
• 91.358,73 Kč; jedná se o zlepšený výsledek hospodaření organizace. 
</t>
  </si>
  <si>
    <t>Běžný účet</t>
  </si>
  <si>
    <t xml:space="preserve">1. Účastníci KD, vzhledem k provedené analýze ZVH, doporučují ponechání finančních prostředků ze zlepšeného výsledek hospodaření ZŠ PV, ul. E. Valenty 52 vytvořeného v roce 2014 z hlavní a doplňkové činnosti ve vztahu k zřizovateli ve výši 91.358,73 Kč na běžném účtu příspěvkové organizace k případné úhradě předepsaného odvodu a penále za porušení rozpočtové kázně.
</t>
  </si>
  <si>
    <t>2. Na kontrolním dnu k výsledkům hospdaření organizace za I. pololetí 2015 provést kontrolu, v jaké fázi se nachází žádost o prominutí odvodu a penále za porušení rozpočtové kázně.</t>
  </si>
  <si>
    <t xml:space="preserve">Výsledek hospodaření z hlavní činnosti je tvořen jednak úsporou energie v celkové výši 74.525,82 Kč a dále přímým vlivem organizace ve výši 19.517,94 Kč. Organizace využívala slev dodavatelů a výhodných nabídek při jednotlivých nákupech. Bylo využíváno výpomoci rodičovské veřejnosti, zaměstnanců školy a rodinných příslušníků při drobných opravách a službách. KB účtovala organizaci nižší bankovní poplatky - dohoda organizace a KB. Rodičovská veřejnost průběžně poskytovala škole drobnou materiální výpomoc- hygienické potřeby, výtvarný materiál, hračky a jiné drobné dary. Organizace dosáhla ZHV efektivním jednáním a přístupem všech pracovníků ke svěřeným hodnotám, zainteresovaností rodičů.                                                                                                                                                                                                                                   
</t>
  </si>
  <si>
    <t>501 spotřeba mat. - pomůcky, hračky,nádobí</t>
  </si>
  <si>
    <r>
      <t xml:space="preserve">1. Účastníci KD, vzhledem k provedené analýze ZVH, doporučují ponechat organizaci celý výsledek hospodaření ve výši 115.700,74 Kč pro příděl do peněžních fondů organizace dle zákona č. 250/2000 Sb., o rozpočtových pravidlech územních rozpočtů, ve znění pozdějších předpisů a na základě předložených požadavků a potřeb organizace. Do rezervního fondu je navrženo převést částku 105.700,74 Kč s tím, že částka 39.000 Kč bude účelově vázána na vybudování nákladního výtahu na stravu. Do fondu odměn je navrženo převést částku 10.000 Kč. </t>
    </r>
    <r>
      <rPr>
        <b/>
        <sz val="8"/>
        <color indexed="8"/>
        <rFont val="Times New Roman"/>
        <family val="1"/>
        <charset val="238"/>
      </rPr>
      <t>Kontrola užití účelově vázaných prostředků bude provedena na KD k výsledkům hospodaření organizace za I. pololetí 2015.</t>
    </r>
  </si>
  <si>
    <t xml:space="preserve">Nákup konvektomatu v hodnotě cca 444 tis. Investiční fond bude vyčerpán. </t>
  </si>
  <si>
    <t>1. Účelově vázané prostředky ve výši 67.038,27 Kč byly vyčerpány na pořízení zahradních herních prvků, zahradního mobiliáře, opravy a revitalizaci obou školních zahrad a na pořízení nového nábytku do učeben. Z roku 2012 bylo ještě vázáno 8 899,00 Kč na revitalizaci školní zahrady MŠ Raisova. Tyto prostředky byly použity na dětské zahradní prvky a mobiliář.</t>
  </si>
  <si>
    <t>2. Investiční fond je již kryt finančními prostředky (rozdíl ve výši 362.804,48 Kč vzniklý doúčtováním odpisů za zrušenou ZŠ Rejskovu = rozdíl mezi účetními odpisy a skutečně vedenými odpisy v programu majetku), při sestavení závěrky ke konci účetního období byl IF narovnán = splněno.</t>
  </si>
  <si>
    <t>V roce 2015 bude fond použit na případné odměny zaměstnanců.</t>
  </si>
  <si>
    <t xml:space="preserve"> - 502, + 501, +558 - úspora na energiích použita na nákup DDHM - vrtačky, náhradních lamp do dataprojektorů</t>
  </si>
  <si>
    <t xml:space="preserve"> - 518, + 521 DČ, + 524 DČ, + 527 DČ - přesun nákladů z HČ do DČ - rozúčtování prac. poměru uklízečky</t>
  </si>
  <si>
    <t xml:space="preserve"> - 501, + 501 přesun nákladů do DČ</t>
  </si>
  <si>
    <t xml:space="preserve">  - 501 470, + 501 470 - nákl. na drobný mat. pro údržbu převeden z HČ do DČ</t>
  </si>
  <si>
    <t>Přijatý účelový peněžný dar se souhlasem zřizovatele od Nadačního fondu Veolia. Finančí prostředky byly použity na pořízení venkovních hracích prvků.</t>
  </si>
  <si>
    <t>Nejvýznamněji se na tvorbě ZVH v hlavní činnosti podílela položka 502 - spotřeba energií - 29.498,42 Kč, 518 - ostatní služby - 23.993,02 Kč a 501 - spotřeba materiálu - 14.525,23 Kč. Menšími částkami pak 549 - ostatní náklady z činnosti - 1.276 Kč, 521 - mzdové náklady - 2.699 Kč, 511 - opravy a udržování - 883,10 Kč, 512 - cestovné - 902 Kč, 558 - náklady z DDHM a DDNM - 624,50 Kč, 524 - zákonné a jiné sociální pojištění - 127 Kč, 513 - náklady na reprezentaci - 2 Kč. Ve výnosech organizace neplánovaně utržila od žáků za zničené a ztracené učebnice 1.409 Kč, ale na připsaných úrocích nesplnila naplánovanou částku a výnos byl o 914,64 Kč nižší. Za poplatky na částečnou úhradu nákladů v ŠD organizace získala o 50 Kč méně oproti plánu. 2 x byly vráceny finanční prostředky za energie, bylo šetřeno na poplatcích za telefony a internet (hradí sponzor).</t>
  </si>
  <si>
    <t xml:space="preserve">Prostředky převedené do fondu, škola využije na další rozvoj organizace, a to zejména na dočerpání poslední etapy šatnových skříněk, dále na obměnu počítačů a dalšího ICT vybavení. Dále škola plánuje opravu všech školních hodin (zvonění) ve výši cca 150.000 Kč, která by se financovala z fondu investic, posíleného z rezervního fondu na tuto opravu.  Na rezervním fondu tvořeném z ostatních titulů (dary) je na konci roku zůstatek  ve výši 255.269,74 Kč. Tento musí být zčásti čerpán účelově v souladu s poskytnutými dary - tj. na ped. asistenci žáka, na obědy soc. slabých žáků a část na šatní skříňky. Neúčelové dary v příštím roce a následujících letech bude škola čerpat  na běžnou obměnu počítačů a notebooků (potřeba alespoň 100.000 Kč ročně), dále plánujeme pořídit uzamykatelné skříňky, police a učitelské stoly do sboroven a tříd 1. stupně, stejně jako v kabinetech zeměpisu, výtvarné výchovy a v kabinetu IVT, do respiria lavice a pro školní družinu prolézačky na školní dvůr a hřiště. </t>
  </si>
  <si>
    <t>Účet 558 - HČ náklady z dlouhodobého majetku - navýšení z důvodu pořízení vybavení (trouby do šk. kuchyňky, sw VIS do školní jídelny)</t>
  </si>
  <si>
    <r>
      <t>1. Škola ke 30.6.2014 evidovala na majetkových účtech technické zhodnocení  (účet 021 - 1. Sedlová střecha nad pavilonem A, B  -  r. 1996;  pořizovací cena 1.642.962,40 Kč, oprávky do 30.6.2014 ve výši 584.843 Kč, roční odpisy 30.108 Kč a 2. zateplení šaten – r. 1996; pořizovací cena 192.087 Kč, oprávky do 30.6.2014 ve výši 77.938 Kč, roční odpisy 3.216 Kč, které navrhla k převodu zřizova</t>
    </r>
    <r>
      <rPr>
        <sz val="8"/>
        <rFont val="Times New Roman"/>
        <family val="1"/>
        <charset val="238"/>
      </rPr>
      <t>teli. Tato technická zhodnocení budovy byla převedena na zřizovatele ke 30.11.2014. Splněno.</t>
    </r>
  </si>
  <si>
    <t>Finanční prostředky na rezervním fondu jsou účelové vázány na případnou úhradu uloženého odvodu a penále FÚ.</t>
  </si>
  <si>
    <t>ZVH dosáhla organizace vyšším plněním výnosů (101,06%) a rovněž úsporou v nákladových položkách (98,31%). Organizace důsledně dbá na výběr dodavatelů, kteří se podílejí na akcích školy. Srovnává jejich cenové nabídky, a to nejen u větších finančních objemů, ale i u drobných nákupů. V obůasti výnosů se projevil nárůst o 100 žáků.</t>
  </si>
  <si>
    <t>518 úspora na službách (vráceno do RF)</t>
  </si>
  <si>
    <t>ZVH organizace vytvořila díky hospodárnému a účelnému vynakládání finančních prostředků v nákladových položkách (čerpání na 98,58%) a dosaženým vyšším výnosům z činnosti v oblasti knihovnické (plnění na 104,09%).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</si>
</sst>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0.000"/>
    <numFmt numFmtId="165" formatCode="#,##0.00_ ;\-#,##0.00\ "/>
    <numFmt numFmtId="166" formatCode="#,##0.00;[Red]#,##0.00"/>
    <numFmt numFmtId="167" formatCode="dd/mm/yy;@"/>
  </numFmts>
  <fonts count="55" x14ac:knownFonts="1">
    <font>
      <sz val="6"/>
      <name val="Times New Roman"/>
      <family val="1"/>
      <charset val="238"/>
    </font>
    <font>
      <sz val="11"/>
      <color theme="1"/>
      <name val="Calibri"/>
      <family val="2"/>
      <charset val="238"/>
      <scheme val="minor"/>
    </font>
    <font>
      <sz val="10"/>
      <name val="Arial CE"/>
      <charset val="238"/>
    </font>
    <font>
      <sz val="5"/>
      <name val="Times New Roman"/>
      <family val="1"/>
      <charset val="238"/>
    </font>
    <font>
      <b/>
      <sz val="12"/>
      <name val="Times New Roman"/>
      <family val="1"/>
      <charset val="238"/>
    </font>
    <font>
      <sz val="6"/>
      <name val="Times New Roman"/>
      <family val="1"/>
      <charset val="238"/>
    </font>
    <font>
      <b/>
      <sz val="6"/>
      <name val="Times New Roman"/>
      <family val="1"/>
      <charset val="238"/>
    </font>
    <font>
      <b/>
      <sz val="6"/>
      <name val="Times New Roman CE"/>
      <family val="1"/>
      <charset val="238"/>
    </font>
    <font>
      <b/>
      <i/>
      <sz val="6"/>
      <name val="Times New Roman CE"/>
      <family val="1"/>
      <charset val="238"/>
    </font>
    <font>
      <b/>
      <i/>
      <sz val="6"/>
      <name val="Times New Roman"/>
      <family val="1"/>
      <charset val="238"/>
    </font>
    <font>
      <b/>
      <sz val="6"/>
      <name val="Times New Roman CE"/>
      <charset val="238"/>
    </font>
    <font>
      <b/>
      <sz val="5.5"/>
      <name val="Times New Roman CE"/>
      <family val="1"/>
      <charset val="238"/>
    </font>
    <font>
      <b/>
      <sz val="8"/>
      <name val="Times New Roman"/>
      <family val="1"/>
      <charset val="238"/>
    </font>
    <font>
      <sz val="8"/>
      <name val="Times New Roman"/>
      <family val="1"/>
      <charset val="238"/>
    </font>
    <font>
      <b/>
      <u/>
      <sz val="8"/>
      <name val="Times New Roman"/>
      <family val="1"/>
      <charset val="238"/>
    </font>
    <font>
      <b/>
      <sz val="14"/>
      <color indexed="8"/>
      <name val="Times New Roman"/>
      <family val="1"/>
      <charset val="238"/>
    </font>
    <font>
      <sz val="10"/>
      <color indexed="8"/>
      <name val="Times New Roman"/>
      <family val="1"/>
      <charset val="238"/>
    </font>
    <font>
      <b/>
      <sz val="14"/>
      <name val="Times New Roman"/>
      <family val="1"/>
      <charset val="238"/>
    </font>
    <font>
      <b/>
      <sz val="12"/>
      <color indexed="8"/>
      <name val="Times New Roman"/>
      <family val="1"/>
      <charset val="238"/>
    </font>
    <font>
      <sz val="10"/>
      <name val="Times New Roman"/>
      <family val="1"/>
      <charset val="238"/>
    </font>
    <font>
      <b/>
      <sz val="8"/>
      <color indexed="8"/>
      <name val="Times New Roman"/>
      <family val="1"/>
      <charset val="238"/>
    </font>
    <font>
      <sz val="8"/>
      <color indexed="8"/>
      <name val="Times New Roman"/>
      <family val="1"/>
      <charset val="238"/>
    </font>
    <font>
      <b/>
      <sz val="6"/>
      <color indexed="8"/>
      <name val="Times New Roman"/>
      <family val="1"/>
      <charset val="238"/>
    </font>
    <font>
      <sz val="8"/>
      <color indexed="10"/>
      <name val="Times New Roman"/>
      <family val="1"/>
      <charset val="238"/>
    </font>
    <font>
      <sz val="6"/>
      <color indexed="8"/>
      <name val="Times New Roman"/>
      <family val="1"/>
      <charset val="238"/>
    </font>
    <font>
      <sz val="6"/>
      <color indexed="10"/>
      <name val="Times New Roman"/>
      <family val="1"/>
      <charset val="238"/>
    </font>
    <font>
      <b/>
      <sz val="7"/>
      <color indexed="8"/>
      <name val="Times New Roman"/>
      <family val="1"/>
      <charset val="238"/>
    </font>
    <font>
      <b/>
      <u/>
      <sz val="8"/>
      <color indexed="8"/>
      <name val="Times New Roman"/>
      <family val="1"/>
      <charset val="238"/>
    </font>
    <font>
      <sz val="7"/>
      <color indexed="8"/>
      <name val="Times New Roman"/>
      <family val="1"/>
      <charset val="238"/>
    </font>
    <font>
      <i/>
      <sz val="6"/>
      <name val="Times New Roman"/>
      <family val="1"/>
      <charset val="238"/>
    </font>
    <font>
      <sz val="10"/>
      <color indexed="10"/>
      <name val="Times New Roman"/>
      <family val="1"/>
      <charset val="238"/>
    </font>
    <font>
      <sz val="7"/>
      <name val="Times New Roman"/>
      <family val="1"/>
      <charset val="238"/>
    </font>
    <font>
      <sz val="9"/>
      <name val="Times New Roman"/>
      <family val="1"/>
      <charset val="238"/>
    </font>
    <font>
      <u/>
      <sz val="8"/>
      <color indexed="10"/>
      <name val="Times New Roman"/>
      <family val="1"/>
      <charset val="238"/>
    </font>
    <font>
      <sz val="9"/>
      <color indexed="8"/>
      <name val="Times New Roman"/>
      <family val="1"/>
      <charset val="238"/>
    </font>
    <font>
      <b/>
      <sz val="14"/>
      <color theme="1"/>
      <name val="Times New Roman"/>
      <family val="1"/>
      <charset val="238"/>
    </font>
    <font>
      <sz val="10"/>
      <color theme="1"/>
      <name val="Times New Roman"/>
      <family val="1"/>
      <charset val="238"/>
    </font>
    <font>
      <b/>
      <sz val="14"/>
      <color rgb="FF000000"/>
      <name val="Times New Roman"/>
      <family val="1"/>
      <charset val="238"/>
    </font>
    <font>
      <sz val="10"/>
      <color rgb="FF000000"/>
      <name val="Times New Roman"/>
      <family val="1"/>
      <charset val="238"/>
    </font>
    <font>
      <b/>
      <sz val="8"/>
      <color theme="1"/>
      <name val="Times New Roman"/>
      <family val="1"/>
      <charset val="238"/>
    </font>
    <font>
      <sz val="8"/>
      <color theme="1"/>
      <name val="Times New Roman"/>
      <family val="1"/>
      <charset val="238"/>
    </font>
    <font>
      <b/>
      <sz val="6"/>
      <color theme="1"/>
      <name val="Times New Roman"/>
      <family val="1"/>
      <charset val="238"/>
    </font>
    <font>
      <sz val="6"/>
      <color theme="1"/>
      <name val="Times New Roman"/>
      <family val="1"/>
      <charset val="238"/>
    </font>
    <font>
      <sz val="8"/>
      <color rgb="FFFF0000"/>
      <name val="Times New Roman"/>
      <family val="1"/>
      <charset val="238"/>
    </font>
    <font>
      <b/>
      <sz val="10"/>
      <color rgb="FFFF0000"/>
      <name val="Times New Roman"/>
      <family val="1"/>
      <charset val="238"/>
    </font>
    <font>
      <sz val="11"/>
      <name val="Calibri"/>
      <family val="2"/>
      <charset val="238"/>
      <scheme val="minor"/>
    </font>
    <font>
      <sz val="6"/>
      <color rgb="FFFF0000"/>
      <name val="Times New Roman"/>
      <family val="1"/>
      <charset val="238"/>
    </font>
    <font>
      <b/>
      <sz val="7"/>
      <color theme="1"/>
      <name val="Times New Roman"/>
      <family val="1"/>
      <charset val="238"/>
    </font>
    <font>
      <sz val="9"/>
      <color rgb="FFFF0000"/>
      <name val="Times New Roman"/>
      <family val="1"/>
      <charset val="238"/>
    </font>
    <font>
      <sz val="11"/>
      <color theme="1"/>
      <name val="Calibri"/>
      <family val="2"/>
      <charset val="238"/>
      <scheme val="minor"/>
    </font>
    <font>
      <sz val="8"/>
      <color theme="1"/>
      <name val="Calibri"/>
      <family val="2"/>
      <charset val="238"/>
      <scheme val="minor"/>
    </font>
    <font>
      <sz val="7"/>
      <color rgb="FFFF0000"/>
      <name val="Times New Roman"/>
      <family val="1"/>
      <charset val="238"/>
    </font>
    <font>
      <sz val="9"/>
      <color theme="1"/>
      <name val="Times New Roman"/>
      <family val="1"/>
      <charset val="238"/>
    </font>
    <font>
      <b/>
      <sz val="9"/>
      <color rgb="FFFF0000"/>
      <name val="Times New Roman"/>
      <family val="1"/>
      <charset val="238"/>
    </font>
    <font>
      <sz val="7"/>
      <color theme="1"/>
      <name val="Times New Roman"/>
      <family val="1"/>
      <charset val="238"/>
    </font>
  </fonts>
  <fills count="16">
    <fill>
      <patternFill patternType="none"/>
    </fill>
    <fill>
      <patternFill patternType="gray125"/>
    </fill>
    <fill>
      <patternFill patternType="solid">
        <fgColor indexed="13"/>
        <bgColor indexed="64"/>
      </patternFill>
    </fill>
    <fill>
      <patternFill patternType="solid">
        <fgColor indexed="23"/>
        <bgColor indexed="64"/>
      </patternFill>
    </fill>
    <fill>
      <patternFill patternType="solid">
        <fgColor rgb="FFFFFF00"/>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theme="6" tint="0.79998168889431442"/>
        <bgColor indexed="64"/>
      </patternFill>
    </fill>
    <fill>
      <patternFill patternType="solid">
        <fgColor indexed="9"/>
        <bgColor indexed="64"/>
      </patternFill>
    </fill>
    <fill>
      <patternFill patternType="solid">
        <fgColor indexed="50"/>
        <bgColor indexed="64"/>
      </patternFill>
    </fill>
    <fill>
      <patternFill patternType="solid">
        <fgColor theme="0" tint="-4.9989318521683403E-2"/>
        <bgColor indexed="64"/>
      </patternFill>
    </fill>
    <fill>
      <patternFill patternType="solid">
        <fgColor indexed="8"/>
        <bgColor indexed="64"/>
      </patternFill>
    </fill>
  </fills>
  <borders count="82">
    <border>
      <left/>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auto="1"/>
      </right>
      <top/>
      <bottom/>
      <diagonal/>
    </border>
    <border>
      <left/>
      <right style="hair">
        <color auto="1"/>
      </right>
      <top/>
      <bottom style="thin">
        <color indexed="64"/>
      </bottom>
      <diagonal/>
    </border>
  </borders>
  <cellStyleXfs count="6">
    <xf numFmtId="4" fontId="0" fillId="0" borderId="0">
      <alignment vertical="top"/>
    </xf>
    <xf numFmtId="43" fontId="2" fillId="0" borderId="0" applyFont="0" applyFill="0" applyBorder="0" applyAlignment="0" applyProtection="0"/>
    <xf numFmtId="4" fontId="5" fillId="0" borderId="0">
      <alignment vertical="top"/>
    </xf>
    <xf numFmtId="0" fontId="49" fillId="0" borderId="0"/>
    <xf numFmtId="3" fontId="3" fillId="0" borderId="0"/>
    <xf numFmtId="0" fontId="1" fillId="0" borderId="0"/>
  </cellStyleXfs>
  <cellXfs count="1241">
    <xf numFmtId="4" fontId="0" fillId="0" borderId="0" xfId="0">
      <alignment vertical="top"/>
    </xf>
    <xf numFmtId="3" fontId="4" fillId="0" borderId="0" xfId="4" applyFont="1" applyFill="1" applyBorder="1"/>
    <xf numFmtId="4" fontId="0" fillId="0" borderId="0" xfId="0" applyAlignment="1">
      <alignment horizontal="center" vertical="top"/>
    </xf>
    <xf numFmtId="4" fontId="4" fillId="0" borderId="0" xfId="0" applyFont="1" applyAlignment="1">
      <alignment horizontal="center" vertical="top"/>
    </xf>
    <xf numFmtId="4" fontId="5" fillId="0" borderId="0" xfId="0" applyFont="1">
      <alignment vertical="top"/>
    </xf>
    <xf numFmtId="4" fontId="5" fillId="0" borderId="0" xfId="0" applyFont="1" applyAlignment="1">
      <alignment horizontal="center" vertical="top"/>
    </xf>
    <xf numFmtId="3" fontId="6" fillId="0" borderId="0" xfId="4" applyFont="1" applyFill="1" applyBorder="1"/>
    <xf numFmtId="3" fontId="6" fillId="0" borderId="0" xfId="4" applyFont="1" applyFill="1" applyBorder="1" applyAlignment="1">
      <alignment horizontal="center"/>
    </xf>
    <xf numFmtId="49" fontId="6" fillId="0" borderId="0" xfId="4" applyNumberFormat="1" applyFont="1" applyFill="1" applyBorder="1" applyAlignment="1">
      <alignment horizontal="center"/>
    </xf>
    <xf numFmtId="4" fontId="6" fillId="0" borderId="1" xfId="4" applyNumberFormat="1" applyFont="1" applyFill="1" applyBorder="1"/>
    <xf numFmtId="4" fontId="6" fillId="0" borderId="2" xfId="4" applyNumberFormat="1" applyFont="1" applyFill="1" applyBorder="1"/>
    <xf numFmtId="4" fontId="6" fillId="0" borderId="3" xfId="4" applyNumberFormat="1" applyFont="1" applyFill="1" applyBorder="1"/>
    <xf numFmtId="3" fontId="6" fillId="0" borderId="0" xfId="4" applyFont="1" applyFill="1" applyBorder="1" applyAlignment="1"/>
    <xf numFmtId="4" fontId="9" fillId="0" borderId="2" xfId="4" applyNumberFormat="1" applyFont="1" applyFill="1" applyBorder="1"/>
    <xf numFmtId="3" fontId="9" fillId="0" borderId="0" xfId="4" applyFont="1" applyFill="1" applyBorder="1"/>
    <xf numFmtId="4" fontId="9" fillId="0" borderId="3" xfId="4" applyNumberFormat="1" applyFont="1" applyFill="1" applyBorder="1"/>
    <xf numFmtId="4" fontId="9" fillId="0" borderId="0" xfId="4" applyNumberFormat="1" applyFont="1" applyFill="1" applyBorder="1"/>
    <xf numFmtId="4" fontId="9" fillId="0" borderId="4" xfId="4" applyNumberFormat="1" applyFont="1" applyFill="1" applyBorder="1"/>
    <xf numFmtId="49" fontId="6" fillId="4" borderId="5" xfId="4" applyNumberFormat="1" applyFont="1" applyFill="1" applyBorder="1" applyAlignment="1">
      <alignment horizontal="center"/>
    </xf>
    <xf numFmtId="49" fontId="6" fillId="4" borderId="6" xfId="4" applyNumberFormat="1" applyFont="1" applyFill="1" applyBorder="1" applyAlignment="1">
      <alignment horizontal="center"/>
    </xf>
    <xf numFmtId="49" fontId="6" fillId="5" borderId="5" xfId="4" applyNumberFormat="1" applyFont="1" applyFill="1" applyBorder="1" applyAlignment="1">
      <alignment horizontal="center"/>
    </xf>
    <xf numFmtId="4" fontId="6" fillId="5" borderId="1" xfId="4" applyNumberFormat="1" applyFont="1" applyFill="1" applyBorder="1"/>
    <xf numFmtId="49" fontId="7" fillId="5" borderId="7" xfId="4" applyNumberFormat="1" applyFont="1" applyFill="1" applyBorder="1" applyAlignment="1">
      <alignment horizontal="center"/>
    </xf>
    <xf numFmtId="49" fontId="7" fillId="5" borderId="5" xfId="4" applyNumberFormat="1" applyFont="1" applyFill="1" applyBorder="1" applyAlignment="1">
      <alignment horizontal="center"/>
    </xf>
    <xf numFmtId="3" fontId="7" fillId="5" borderId="8" xfId="4" applyFont="1" applyFill="1" applyBorder="1" applyAlignment="1">
      <alignment horizontal="left"/>
    </xf>
    <xf numFmtId="3" fontId="7" fillId="5" borderId="9" xfId="4" applyFont="1" applyFill="1" applyBorder="1" applyAlignment="1">
      <alignment horizontal="left"/>
    </xf>
    <xf numFmtId="4" fontId="9" fillId="0" borderId="1" xfId="4" applyNumberFormat="1" applyFont="1" applyFill="1" applyBorder="1"/>
    <xf numFmtId="4" fontId="6" fillId="0" borderId="0" xfId="0" applyFont="1">
      <alignment vertical="top"/>
    </xf>
    <xf numFmtId="4" fontId="6" fillId="5" borderId="5" xfId="4" applyNumberFormat="1" applyFont="1" applyFill="1" applyBorder="1"/>
    <xf numFmtId="4" fontId="9" fillId="5" borderId="1" xfId="4" applyNumberFormat="1" applyFont="1" applyFill="1" applyBorder="1"/>
    <xf numFmtId="4" fontId="6" fillId="5" borderId="10" xfId="4" applyNumberFormat="1" applyFont="1" applyFill="1" applyBorder="1"/>
    <xf numFmtId="4" fontId="6" fillId="0" borderId="4" xfId="4" applyNumberFormat="1" applyFont="1" applyFill="1" applyBorder="1"/>
    <xf numFmtId="4" fontId="8" fillId="0" borderId="11" xfId="4" applyNumberFormat="1" applyFont="1" applyBorder="1" applyAlignment="1">
      <alignment horizontal="center"/>
    </xf>
    <xf numFmtId="3" fontId="7" fillId="5" borderId="12" xfId="4" applyFont="1" applyFill="1" applyBorder="1" applyAlignment="1">
      <alignment horizontal="center"/>
    </xf>
    <xf numFmtId="3" fontId="7" fillId="0" borderId="13" xfId="4" applyFont="1" applyBorder="1" applyAlignment="1">
      <alignment horizontal="center"/>
    </xf>
    <xf numFmtId="3" fontId="10" fillId="0" borderId="11" xfId="4" applyFont="1" applyBorder="1" applyAlignment="1">
      <alignment horizontal="center"/>
    </xf>
    <xf numFmtId="3" fontId="10" fillId="0" borderId="14" xfId="4" applyFont="1" applyBorder="1" applyAlignment="1">
      <alignment horizontal="center"/>
    </xf>
    <xf numFmtId="3" fontId="7" fillId="0" borderId="13" xfId="4" applyFont="1" applyFill="1" applyBorder="1" applyAlignment="1">
      <alignment horizontal="center"/>
    </xf>
    <xf numFmtId="3" fontId="7" fillId="0" borderId="11" xfId="4" applyFont="1" applyBorder="1" applyAlignment="1">
      <alignment horizontal="center"/>
    </xf>
    <xf numFmtId="3" fontId="7" fillId="0" borderId="11" xfId="4" applyFont="1" applyFill="1" applyBorder="1" applyAlignment="1">
      <alignment horizontal="center"/>
    </xf>
    <xf numFmtId="3" fontId="7" fillId="0" borderId="14" xfId="4" applyFont="1" applyBorder="1" applyAlignment="1">
      <alignment horizontal="center"/>
    </xf>
    <xf numFmtId="3" fontId="7" fillId="0" borderId="12" xfId="4" applyFont="1" applyFill="1" applyBorder="1" applyAlignment="1">
      <alignment horizontal="center"/>
    </xf>
    <xf numFmtId="3" fontId="8" fillId="0" borderId="13" xfId="4" applyFont="1" applyBorder="1" applyAlignment="1">
      <alignment horizontal="center"/>
    </xf>
    <xf numFmtId="3" fontId="8" fillId="0" borderId="14" xfId="4" applyFont="1" applyBorder="1" applyAlignment="1">
      <alignment horizontal="center"/>
    </xf>
    <xf numFmtId="3" fontId="11" fillId="0" borderId="15" xfId="4" applyFont="1" applyBorder="1" applyAlignment="1">
      <alignment horizontal="left"/>
    </xf>
    <xf numFmtId="3" fontId="10" fillId="0" borderId="16" xfId="4" applyFont="1" applyBorder="1" applyAlignment="1">
      <alignment horizontal="left"/>
    </xf>
    <xf numFmtId="3" fontId="7" fillId="0" borderId="17" xfId="4" applyFont="1" applyBorder="1" applyAlignment="1">
      <alignment horizontal="left"/>
    </xf>
    <xf numFmtId="3" fontId="7" fillId="0" borderId="18" xfId="4" applyFont="1" applyBorder="1" applyAlignment="1">
      <alignment horizontal="left"/>
    </xf>
    <xf numFmtId="3" fontId="7" fillId="0" borderId="17" xfId="4" applyFont="1" applyFill="1" applyBorder="1" applyAlignment="1">
      <alignment horizontal="left"/>
    </xf>
    <xf numFmtId="3" fontId="7" fillId="0" borderId="18" xfId="4" applyFont="1" applyFill="1" applyBorder="1" applyAlignment="1">
      <alignment horizontal="left"/>
    </xf>
    <xf numFmtId="3" fontId="11" fillId="0" borderId="16" xfId="4" applyFont="1" applyBorder="1" applyAlignment="1">
      <alignment horizontal="left"/>
    </xf>
    <xf numFmtId="3" fontId="6" fillId="5" borderId="12" xfId="4" applyFont="1" applyFill="1" applyBorder="1" applyAlignment="1">
      <alignment horizontal="center"/>
    </xf>
    <xf numFmtId="3" fontId="6" fillId="5" borderId="5" xfId="4" applyFont="1" applyFill="1" applyBorder="1"/>
    <xf numFmtId="164" fontId="6" fillId="5" borderId="19" xfId="4" applyNumberFormat="1" applyFont="1" applyFill="1" applyBorder="1"/>
    <xf numFmtId="164" fontId="6" fillId="5" borderId="1" xfId="4" applyNumberFormat="1" applyFont="1" applyFill="1" applyBorder="1"/>
    <xf numFmtId="49" fontId="7" fillId="5" borderId="20" xfId="4" applyNumberFormat="1" applyFont="1" applyFill="1" applyBorder="1" applyAlignment="1">
      <alignment horizontal="center"/>
    </xf>
    <xf numFmtId="49" fontId="7" fillId="5" borderId="21" xfId="4" applyNumberFormat="1" applyFont="1" applyFill="1" applyBorder="1" applyAlignment="1">
      <alignment horizontal="center"/>
    </xf>
    <xf numFmtId="49" fontId="7" fillId="5" borderId="22" xfId="4" applyNumberFormat="1" applyFont="1" applyFill="1" applyBorder="1" applyAlignment="1">
      <alignment horizontal="center"/>
    </xf>
    <xf numFmtId="49" fontId="7" fillId="5" borderId="23" xfId="4" applyNumberFormat="1" applyFont="1" applyFill="1" applyBorder="1" applyAlignment="1">
      <alignment horizontal="center"/>
    </xf>
    <xf numFmtId="49" fontId="7" fillId="5" borderId="24" xfId="4" applyNumberFormat="1" applyFont="1" applyFill="1" applyBorder="1" applyAlignment="1">
      <alignment horizontal="center"/>
    </xf>
    <xf numFmtId="3" fontId="7" fillId="0" borderId="19" xfId="4" applyFont="1" applyFill="1" applyBorder="1" applyAlignment="1">
      <alignment horizontal="left"/>
    </xf>
    <xf numFmtId="3" fontId="7" fillId="0" borderId="10" xfId="4" applyFont="1" applyFill="1" applyBorder="1" applyAlignment="1">
      <alignment horizontal="left"/>
    </xf>
    <xf numFmtId="49" fontId="8" fillId="5" borderId="23" xfId="4" applyNumberFormat="1" applyFont="1" applyFill="1" applyBorder="1" applyAlignment="1">
      <alignment horizontal="center"/>
    </xf>
    <xf numFmtId="4" fontId="8" fillId="5" borderId="21" xfId="4" applyNumberFormat="1" applyFont="1" applyFill="1" applyBorder="1" applyAlignment="1">
      <alignment horizontal="center"/>
    </xf>
    <xf numFmtId="49" fontId="8" fillId="5" borderId="24" xfId="4" applyNumberFormat="1" applyFont="1" applyFill="1" applyBorder="1" applyAlignment="1">
      <alignment horizontal="center"/>
    </xf>
    <xf numFmtId="4" fontId="35" fillId="0" borderId="0" xfId="0" applyFont="1" applyAlignment="1"/>
    <xf numFmtId="4" fontId="36" fillId="0" borderId="0" xfId="0" applyFont="1" applyAlignment="1"/>
    <xf numFmtId="3" fontId="7" fillId="5" borderId="5" xfId="4" applyNumberFormat="1" applyFont="1" applyFill="1" applyBorder="1"/>
    <xf numFmtId="3" fontId="7" fillId="5" borderId="12" xfId="4" applyNumberFormat="1" applyFont="1" applyFill="1" applyBorder="1"/>
    <xf numFmtId="3" fontId="7" fillId="5" borderId="5" xfId="4" applyNumberFormat="1" applyFont="1" applyFill="1" applyBorder="1" applyAlignment="1">
      <alignment horizontal="right"/>
    </xf>
    <xf numFmtId="3" fontId="6" fillId="0" borderId="25" xfId="4" applyNumberFormat="1" applyFont="1" applyBorder="1" applyAlignment="1">
      <alignment horizontal="right"/>
    </xf>
    <xf numFmtId="3" fontId="6" fillId="0" borderId="2" xfId="4" applyNumberFormat="1" applyFont="1" applyBorder="1" applyAlignment="1">
      <alignment horizontal="right"/>
    </xf>
    <xf numFmtId="3" fontId="6" fillId="0" borderId="26" xfId="4" applyNumberFormat="1" applyFont="1" applyBorder="1" applyAlignment="1">
      <alignment horizontal="right"/>
    </xf>
    <xf numFmtId="3" fontId="7" fillId="0" borderId="25" xfId="4" applyNumberFormat="1" applyFont="1" applyBorder="1"/>
    <xf numFmtId="3" fontId="6" fillId="0" borderId="2" xfId="4" applyNumberFormat="1" applyFont="1" applyBorder="1"/>
    <xf numFmtId="3" fontId="6" fillId="0" borderId="26" xfId="4" applyNumberFormat="1" applyFont="1" applyBorder="1"/>
    <xf numFmtId="3" fontId="6" fillId="0" borderId="25" xfId="4" applyNumberFormat="1" applyFont="1" applyBorder="1"/>
    <xf numFmtId="3" fontId="6" fillId="0" borderId="17" xfId="4" applyNumberFormat="1" applyFont="1" applyBorder="1" applyAlignment="1">
      <alignment horizontal="right"/>
    </xf>
    <xf numFmtId="3" fontId="6" fillId="0" borderId="3" xfId="4" applyNumberFormat="1" applyFont="1" applyBorder="1" applyAlignment="1">
      <alignment horizontal="right"/>
    </xf>
    <xf numFmtId="3" fontId="6" fillId="0" borderId="27" xfId="4" applyNumberFormat="1" applyFont="1" applyBorder="1" applyAlignment="1">
      <alignment horizontal="right"/>
    </xf>
    <xf numFmtId="3" fontId="10" fillId="0" borderId="17" xfId="4" applyNumberFormat="1" applyFont="1" applyBorder="1" applyAlignment="1">
      <alignment horizontal="right"/>
    </xf>
    <xf numFmtId="3" fontId="6" fillId="0" borderId="18" xfId="4" applyNumberFormat="1" applyFont="1" applyBorder="1" applyAlignment="1">
      <alignment horizontal="right"/>
    </xf>
    <xf numFmtId="3" fontId="6" fillId="0" borderId="15" xfId="4" applyNumberFormat="1" applyFont="1" applyBorder="1" applyAlignment="1">
      <alignment horizontal="right"/>
    </xf>
    <xf numFmtId="3" fontId="6" fillId="0" borderId="4" xfId="4" applyNumberFormat="1" applyFont="1" applyBorder="1" applyAlignment="1">
      <alignment horizontal="right"/>
    </xf>
    <xf numFmtId="3" fontId="6" fillId="0" borderId="28" xfId="4" applyNumberFormat="1" applyFont="1" applyBorder="1" applyAlignment="1">
      <alignment horizontal="right"/>
    </xf>
    <xf numFmtId="3" fontId="10" fillId="0" borderId="15" xfId="4" applyNumberFormat="1" applyFont="1" applyBorder="1" applyAlignment="1">
      <alignment horizontal="right"/>
    </xf>
    <xf numFmtId="3" fontId="6" fillId="0" borderId="16" xfId="4" applyNumberFormat="1" applyFont="1" applyBorder="1" applyAlignment="1">
      <alignment horizontal="right"/>
    </xf>
    <xf numFmtId="3" fontId="6" fillId="5" borderId="5" xfId="4" applyNumberFormat="1" applyFont="1" applyFill="1" applyBorder="1" applyAlignment="1">
      <alignment horizontal="right"/>
    </xf>
    <xf numFmtId="3" fontId="6" fillId="5" borderId="12" xfId="4" applyNumberFormat="1" applyFont="1" applyFill="1" applyBorder="1" applyAlignment="1">
      <alignment horizontal="right"/>
    </xf>
    <xf numFmtId="3" fontId="7" fillId="0" borderId="25" xfId="4" applyNumberFormat="1" applyFont="1" applyBorder="1" applyAlignment="1">
      <alignment horizontal="right"/>
    </xf>
    <xf numFmtId="3" fontId="6" fillId="0" borderId="2" xfId="4" applyNumberFormat="1" applyFont="1" applyFill="1" applyBorder="1"/>
    <xf numFmtId="3" fontId="6" fillId="0" borderId="26" xfId="4" applyNumberFormat="1" applyFont="1" applyFill="1" applyBorder="1" applyAlignment="1">
      <alignment horizontal="right"/>
    </xf>
    <xf numFmtId="3" fontId="6" fillId="0" borderId="25" xfId="4" applyNumberFormat="1" applyFont="1" applyFill="1" applyBorder="1"/>
    <xf numFmtId="3" fontId="6" fillId="0" borderId="26" xfId="4" applyNumberFormat="1" applyFont="1" applyFill="1" applyBorder="1"/>
    <xf numFmtId="3" fontId="6" fillId="0" borderId="29" xfId="4" applyNumberFormat="1" applyFont="1" applyFill="1" applyBorder="1" applyAlignment="1">
      <alignment horizontal="right"/>
    </xf>
    <xf numFmtId="3" fontId="7" fillId="0" borderId="17" xfId="4" applyNumberFormat="1" applyFont="1" applyBorder="1" applyAlignment="1">
      <alignment horizontal="right"/>
    </xf>
    <xf numFmtId="3" fontId="7" fillId="0" borderId="17" xfId="4" applyNumberFormat="1" applyFont="1" applyBorder="1" applyAlignment="1"/>
    <xf numFmtId="3" fontId="6" fillId="0" borderId="3" xfId="4" applyNumberFormat="1" applyFont="1" applyBorder="1" applyAlignment="1"/>
    <xf numFmtId="3" fontId="6" fillId="0" borderId="3" xfId="4" applyNumberFormat="1" applyFont="1" applyFill="1" applyBorder="1"/>
    <xf numFmtId="3" fontId="6" fillId="0" borderId="27" xfId="4" applyNumberFormat="1" applyFont="1" applyFill="1" applyBorder="1" applyAlignment="1">
      <alignment horizontal="right"/>
    </xf>
    <xf numFmtId="3" fontId="6" fillId="0" borderId="17" xfId="4" applyNumberFormat="1" applyFont="1" applyFill="1" applyBorder="1"/>
    <xf numFmtId="3" fontId="6" fillId="0" borderId="27" xfId="4" applyNumberFormat="1" applyFont="1" applyFill="1" applyBorder="1"/>
    <xf numFmtId="3" fontId="6" fillId="0" borderId="17" xfId="4" applyNumberFormat="1" applyFont="1" applyFill="1" applyBorder="1" applyAlignment="1">
      <alignment horizontal="right"/>
    </xf>
    <xf numFmtId="3" fontId="6" fillId="0" borderId="3" xfId="4" applyNumberFormat="1" applyFont="1" applyFill="1" applyBorder="1" applyAlignment="1">
      <alignment horizontal="right"/>
    </xf>
    <xf numFmtId="3" fontId="6" fillId="0" borderId="18" xfId="4" applyNumberFormat="1" applyFont="1" applyFill="1" applyBorder="1" applyAlignment="1">
      <alignment horizontal="right"/>
    </xf>
    <xf numFmtId="3" fontId="9" fillId="0" borderId="3" xfId="4" applyNumberFormat="1" applyFont="1" applyFill="1" applyBorder="1" applyAlignment="1">
      <alignment horizontal="center"/>
    </xf>
    <xf numFmtId="3" fontId="7" fillId="0" borderId="15" xfId="4" applyNumberFormat="1" applyFont="1" applyBorder="1" applyAlignment="1">
      <alignment horizontal="right"/>
    </xf>
    <xf numFmtId="3" fontId="6" fillId="0" borderId="4" xfId="0" applyNumberFormat="1" applyFont="1" applyBorder="1" applyAlignment="1">
      <alignment horizontal="right" vertical="top"/>
    </xf>
    <xf numFmtId="3" fontId="6" fillId="0" borderId="28" xfId="0" applyNumberFormat="1" applyFont="1" applyBorder="1" applyAlignment="1">
      <alignment horizontal="right" vertical="top"/>
    </xf>
    <xf numFmtId="3" fontId="6" fillId="0" borderId="15" xfId="0" applyNumberFormat="1" applyFont="1" applyBorder="1" applyAlignment="1">
      <alignment horizontal="right" vertical="top"/>
    </xf>
    <xf numFmtId="3" fontId="6" fillId="0" borderId="4" xfId="0" applyNumberFormat="1" applyFont="1" applyBorder="1">
      <alignment vertical="top"/>
    </xf>
    <xf numFmtId="3" fontId="6" fillId="0" borderId="16" xfId="0" applyNumberFormat="1" applyFont="1" applyBorder="1" applyAlignment="1">
      <alignment horizontal="right" vertical="top"/>
    </xf>
    <xf numFmtId="3" fontId="7" fillId="0" borderId="19" xfId="4" applyNumberFormat="1" applyFont="1" applyFill="1" applyBorder="1"/>
    <xf numFmtId="3" fontId="6" fillId="0" borderId="1" xfId="0" applyNumberFormat="1" applyFont="1" applyBorder="1">
      <alignment vertical="top"/>
    </xf>
    <xf numFmtId="3" fontId="6" fillId="0" borderId="30" xfId="0" applyNumberFormat="1" applyFont="1" applyBorder="1">
      <alignment vertical="top"/>
    </xf>
    <xf numFmtId="3" fontId="6" fillId="0" borderId="19" xfId="0" applyNumberFormat="1" applyFont="1" applyBorder="1">
      <alignment vertical="top"/>
    </xf>
    <xf numFmtId="3" fontId="6" fillId="0" borderId="10" xfId="0" applyNumberFormat="1" applyFont="1" applyBorder="1">
      <alignment vertical="top"/>
    </xf>
    <xf numFmtId="3" fontId="6" fillId="5" borderId="19" xfId="4" applyFont="1" applyFill="1" applyBorder="1"/>
    <xf numFmtId="3" fontId="6" fillId="5" borderId="1" xfId="4" applyFont="1" applyFill="1" applyBorder="1"/>
    <xf numFmtId="3" fontId="6" fillId="0" borderId="17" xfId="4" applyNumberFormat="1" applyFont="1" applyBorder="1" applyAlignment="1"/>
    <xf numFmtId="3" fontId="9" fillId="0" borderId="17" xfId="4" applyNumberFormat="1" applyFont="1" applyFill="1" applyBorder="1" applyAlignment="1">
      <alignment horizontal="center"/>
    </xf>
    <xf numFmtId="3" fontId="6" fillId="0" borderId="15" xfId="0" applyNumberFormat="1" applyFont="1" applyBorder="1">
      <alignment vertical="top"/>
    </xf>
    <xf numFmtId="3" fontId="6" fillId="0" borderId="29" xfId="4" applyNumberFormat="1" applyFont="1" applyBorder="1"/>
    <xf numFmtId="3" fontId="6" fillId="0" borderId="18" xfId="4" applyNumberFormat="1" applyFont="1" applyBorder="1" applyAlignment="1"/>
    <xf numFmtId="3" fontId="6" fillId="0" borderId="18" xfId="4" applyNumberFormat="1" applyFont="1" applyFill="1" applyBorder="1"/>
    <xf numFmtId="3" fontId="9" fillId="0" borderId="18" xfId="4" applyNumberFormat="1" applyFont="1" applyFill="1" applyBorder="1" applyAlignment="1">
      <alignment horizontal="center"/>
    </xf>
    <xf numFmtId="3" fontId="6" fillId="0" borderId="16" xfId="0" applyNumberFormat="1" applyFont="1" applyBorder="1">
      <alignment vertical="top"/>
    </xf>
    <xf numFmtId="4" fontId="15" fillId="0" borderId="0" xfId="0" applyFont="1" applyAlignment="1"/>
    <xf numFmtId="4" fontId="16" fillId="0" borderId="0" xfId="0" applyFont="1" applyAlignment="1"/>
    <xf numFmtId="4" fontId="17" fillId="0" borderId="0" xfId="0" applyFont="1" applyAlignment="1"/>
    <xf numFmtId="3" fontId="6" fillId="0" borderId="19" xfId="4" applyNumberFormat="1" applyFont="1" applyBorder="1" applyAlignment="1">
      <alignment horizontal="right"/>
    </xf>
    <xf numFmtId="3" fontId="6" fillId="0" borderId="1" xfId="4" applyNumberFormat="1" applyFont="1" applyBorder="1" applyAlignment="1">
      <alignment horizontal="right"/>
    </xf>
    <xf numFmtId="3" fontId="6" fillId="0" borderId="30" xfId="4" applyNumberFormat="1" applyFont="1" applyBorder="1" applyAlignment="1">
      <alignment horizontal="right"/>
    </xf>
    <xf numFmtId="4" fontId="36" fillId="0" borderId="0" xfId="0" applyFont="1" applyBorder="1" applyAlignment="1"/>
    <xf numFmtId="4" fontId="35" fillId="0" borderId="0" xfId="0" applyFont="1" applyBorder="1" applyAlignment="1"/>
    <xf numFmtId="4" fontId="13" fillId="0" borderId="0" xfId="0" applyFont="1" applyAlignment="1"/>
    <xf numFmtId="4" fontId="0" fillId="0" borderId="0" xfId="0" applyFont="1">
      <alignment vertical="top"/>
    </xf>
    <xf numFmtId="4" fontId="0" fillId="0" borderId="0" xfId="0" applyFont="1" applyAlignment="1">
      <alignment horizontal="center" vertical="top"/>
    </xf>
    <xf numFmtId="4" fontId="0" fillId="0" borderId="0" xfId="0" applyFont="1" applyFill="1">
      <alignment vertical="top"/>
    </xf>
    <xf numFmtId="3" fontId="7" fillId="0" borderId="17" xfId="4" applyNumberFormat="1" applyFont="1" applyFill="1" applyBorder="1" applyAlignment="1">
      <alignment horizontal="right"/>
    </xf>
    <xf numFmtId="3" fontId="9" fillId="0" borderId="15" xfId="0" applyNumberFormat="1" applyFont="1" applyBorder="1">
      <alignment vertical="top"/>
    </xf>
    <xf numFmtId="3" fontId="9" fillId="0" borderId="4" xfId="0" applyNumberFormat="1" applyFont="1" applyBorder="1">
      <alignment vertical="top"/>
    </xf>
    <xf numFmtId="3" fontId="6" fillId="0" borderId="17" xfId="4" applyNumberFormat="1" applyFont="1" applyFill="1" applyBorder="1" applyAlignment="1">
      <alignment horizontal="center"/>
    </xf>
    <xf numFmtId="3" fontId="6" fillId="0" borderId="3" xfId="4" applyNumberFormat="1" applyFont="1" applyFill="1" applyBorder="1" applyAlignment="1">
      <alignment horizontal="center"/>
    </xf>
    <xf numFmtId="3" fontId="9" fillId="0" borderId="31" xfId="0" applyNumberFormat="1" applyFont="1" applyBorder="1">
      <alignment vertical="top"/>
    </xf>
    <xf numFmtId="3" fontId="9" fillId="0" borderId="32" xfId="0" applyNumberFormat="1" applyFont="1" applyBorder="1">
      <alignment vertical="top"/>
    </xf>
    <xf numFmtId="3" fontId="9" fillId="0" borderId="33" xfId="0" applyNumberFormat="1" applyFont="1" applyBorder="1">
      <alignment vertical="top"/>
    </xf>
    <xf numFmtId="3" fontId="9" fillId="0" borderId="17" xfId="0" applyNumberFormat="1" applyFont="1" applyBorder="1">
      <alignment vertical="top"/>
    </xf>
    <xf numFmtId="3" fontId="9" fillId="0" borderId="3" xfId="0" applyNumberFormat="1" applyFont="1" applyBorder="1">
      <alignment vertical="top"/>
    </xf>
    <xf numFmtId="3" fontId="9" fillId="0" borderId="18" xfId="0" applyNumberFormat="1" applyFont="1" applyBorder="1">
      <alignment vertical="top"/>
    </xf>
    <xf numFmtId="3" fontId="9" fillId="0" borderId="16" xfId="0" applyNumberFormat="1" applyFont="1" applyBorder="1">
      <alignment vertical="top"/>
    </xf>
    <xf numFmtId="4" fontId="6" fillId="5" borderId="2" xfId="4" applyNumberFormat="1" applyFont="1" applyFill="1" applyBorder="1"/>
    <xf numFmtId="4" fontId="6" fillId="5" borderId="4" xfId="4" applyNumberFormat="1" applyFont="1" applyFill="1" applyBorder="1"/>
    <xf numFmtId="4" fontId="6" fillId="5" borderId="3" xfId="4" applyNumberFormat="1" applyFont="1" applyFill="1" applyBorder="1"/>
    <xf numFmtId="3" fontId="6" fillId="0" borderId="34" xfId="4" applyNumberFormat="1" applyFont="1" applyBorder="1" applyAlignment="1">
      <alignment horizontal="right"/>
    </xf>
    <xf numFmtId="3" fontId="6" fillId="0" borderId="35" xfId="4" applyNumberFormat="1" applyFont="1" applyBorder="1" applyAlignment="1">
      <alignment horizontal="right"/>
    </xf>
    <xf numFmtId="4" fontId="6" fillId="0" borderId="35" xfId="4" applyNumberFormat="1" applyFont="1" applyFill="1" applyBorder="1"/>
    <xf numFmtId="3" fontId="6" fillId="0" borderId="36" xfId="4" applyNumberFormat="1" applyFont="1" applyBorder="1" applyAlignment="1">
      <alignment horizontal="right"/>
    </xf>
    <xf numFmtId="3" fontId="6" fillId="0" borderId="31" xfId="4" applyNumberFormat="1" applyFont="1" applyBorder="1" applyAlignment="1">
      <alignment horizontal="right"/>
    </xf>
    <xf numFmtId="3" fontId="6" fillId="0" borderId="32" xfId="4" applyNumberFormat="1" applyFont="1" applyBorder="1" applyAlignment="1">
      <alignment horizontal="right"/>
    </xf>
    <xf numFmtId="4" fontId="6" fillId="0" borderId="32" xfId="4" applyNumberFormat="1" applyFont="1" applyFill="1" applyBorder="1"/>
    <xf numFmtId="3" fontId="6" fillId="0" borderId="37" xfId="4" applyNumberFormat="1" applyFont="1" applyBorder="1" applyAlignment="1">
      <alignment horizontal="right"/>
    </xf>
    <xf numFmtId="4" fontId="6" fillId="0" borderId="38" xfId="4" applyNumberFormat="1" applyFont="1" applyFill="1" applyBorder="1"/>
    <xf numFmtId="3" fontId="7" fillId="0" borderId="39" xfId="4" applyNumberFormat="1" applyFont="1" applyFill="1" applyBorder="1"/>
    <xf numFmtId="3" fontId="6" fillId="0" borderId="40" xfId="4" applyNumberFormat="1" applyFont="1" applyBorder="1" applyAlignment="1">
      <alignment horizontal="right"/>
    </xf>
    <xf numFmtId="3" fontId="6" fillId="0" borderId="38" xfId="4" applyNumberFormat="1" applyFont="1" applyBorder="1" applyAlignment="1">
      <alignment horizontal="right"/>
    </xf>
    <xf numFmtId="3" fontId="6" fillId="0" borderId="41" xfId="4" applyNumberFormat="1" applyFont="1" applyBorder="1" applyAlignment="1">
      <alignment horizontal="right"/>
    </xf>
    <xf numFmtId="4" fontId="9" fillId="0" borderId="32" xfId="4" applyNumberFormat="1" applyFont="1" applyFill="1" applyBorder="1"/>
    <xf numFmtId="3" fontId="6" fillId="0" borderId="19" xfId="0" applyNumberFormat="1" applyFont="1" applyBorder="1" applyAlignment="1">
      <alignment horizontal="right" vertical="top"/>
    </xf>
    <xf numFmtId="3" fontId="6" fillId="0" borderId="1" xfId="0" applyNumberFormat="1" applyFont="1" applyBorder="1" applyAlignment="1">
      <alignment horizontal="right" vertical="top"/>
    </xf>
    <xf numFmtId="4" fontId="6" fillId="0" borderId="1" xfId="4" applyNumberFormat="1" applyFont="1" applyFill="1" applyBorder="1" applyAlignment="1">
      <alignment horizontal="right"/>
    </xf>
    <xf numFmtId="3" fontId="6" fillId="0" borderId="10" xfId="0" applyNumberFormat="1" applyFont="1" applyBorder="1" applyAlignment="1">
      <alignment horizontal="right" vertical="top"/>
    </xf>
    <xf numFmtId="4" fontId="6" fillId="5" borderId="5" xfId="4" applyNumberFormat="1" applyFont="1" applyFill="1" applyBorder="1" applyAlignment="1">
      <alignment horizontal="right"/>
    </xf>
    <xf numFmtId="4" fontId="6" fillId="5" borderId="1" xfId="4" applyNumberFormat="1" applyFont="1" applyFill="1" applyBorder="1" applyAlignment="1">
      <alignment horizontal="right"/>
    </xf>
    <xf numFmtId="4" fontId="19" fillId="0" borderId="0" xfId="0" applyFont="1" applyAlignment="1"/>
    <xf numFmtId="4" fontId="20" fillId="0" borderId="0" xfId="0" applyFont="1" applyAlignment="1"/>
    <xf numFmtId="4" fontId="21" fillId="0" borderId="0" xfId="0" applyFont="1" applyAlignment="1"/>
    <xf numFmtId="4" fontId="22" fillId="0" borderId="0" xfId="0" applyFont="1" applyAlignment="1">
      <alignment horizontal="center"/>
    </xf>
    <xf numFmtId="4" fontId="20" fillId="2" borderId="32" xfId="0" applyNumberFormat="1" applyFont="1" applyFill="1" applyBorder="1" applyAlignment="1">
      <alignment vertical="center"/>
    </xf>
    <xf numFmtId="4" fontId="20" fillId="2" borderId="3" xfId="0" applyNumberFormat="1" applyFont="1" applyFill="1" applyBorder="1" applyAlignment="1">
      <alignment vertical="center"/>
    </xf>
    <xf numFmtId="4" fontId="21" fillId="0" borderId="0" xfId="0" applyNumberFormat="1" applyFont="1" applyAlignment="1"/>
    <xf numFmtId="4" fontId="24" fillId="0" borderId="0" xfId="0" applyFont="1" applyAlignment="1"/>
    <xf numFmtId="4" fontId="20" fillId="2" borderId="2" xfId="0" applyFont="1" applyFill="1" applyBorder="1" applyAlignment="1">
      <alignment vertical="center"/>
    </xf>
    <xf numFmtId="4" fontId="20" fillId="0" borderId="35" xfId="0" applyFont="1" applyBorder="1" applyAlignment="1">
      <alignment vertical="center"/>
    </xf>
    <xf numFmtId="4" fontId="20" fillId="0" borderId="3" xfId="0" applyFont="1" applyBorder="1" applyAlignment="1">
      <alignment vertical="center"/>
    </xf>
    <xf numFmtId="4" fontId="20" fillId="0" borderId="3" xfId="0" applyNumberFormat="1" applyFont="1" applyFill="1" applyBorder="1" applyAlignment="1">
      <alignment horizontal="right" vertical="center"/>
    </xf>
    <xf numFmtId="4" fontId="21" fillId="0" borderId="27" xfId="0" applyFont="1" applyBorder="1" applyAlignment="1">
      <alignment horizontal="left" vertical="center" wrapText="1"/>
    </xf>
    <xf numFmtId="4" fontId="20" fillId="0" borderId="32" xfId="0" applyFont="1" applyBorder="1" applyAlignment="1">
      <alignment vertical="center"/>
    </xf>
    <xf numFmtId="4" fontId="22" fillId="0" borderId="0" xfId="0" applyFont="1" applyFill="1" applyAlignment="1">
      <alignment horizontal="center"/>
    </xf>
    <xf numFmtId="4" fontId="21" fillId="0" borderId="32" xfId="0" applyNumberFormat="1" applyFont="1" applyBorder="1" applyAlignment="1">
      <alignment vertical="center"/>
    </xf>
    <xf numFmtId="4" fontId="21" fillId="0" borderId="3" xfId="0" applyNumberFormat="1" applyFont="1" applyBorder="1" applyAlignment="1">
      <alignment vertical="center"/>
    </xf>
    <xf numFmtId="4" fontId="21" fillId="0" borderId="35" xfId="0" applyNumberFormat="1" applyFont="1" applyBorder="1" applyAlignment="1">
      <alignment vertical="center"/>
    </xf>
    <xf numFmtId="4" fontId="20" fillId="2" borderId="5" xfId="0" applyFont="1" applyFill="1" applyBorder="1" applyAlignment="1">
      <alignment vertical="center"/>
    </xf>
    <xf numFmtId="4" fontId="20" fillId="2" borderId="5" xfId="0" applyNumberFormat="1" applyFont="1" applyFill="1" applyBorder="1" applyAlignment="1">
      <alignment vertical="center"/>
    </xf>
    <xf numFmtId="4" fontId="23" fillId="0" borderId="32" xfId="0" applyFont="1" applyBorder="1" applyAlignment="1">
      <alignment vertical="center"/>
    </xf>
    <xf numFmtId="0" fontId="21" fillId="0" borderId="2" xfId="0" applyNumberFormat="1" applyFont="1" applyBorder="1" applyAlignment="1">
      <alignment vertical="center"/>
    </xf>
    <xf numFmtId="4" fontId="21" fillId="0" borderId="38" xfId="0" applyNumberFormat="1" applyFont="1" applyBorder="1" applyAlignment="1">
      <alignment vertical="center"/>
    </xf>
    <xf numFmtId="4" fontId="20" fillId="0" borderId="0" xfId="0" applyFont="1" applyAlignment="1">
      <alignment horizontal="center"/>
    </xf>
    <xf numFmtId="4" fontId="21" fillId="0" borderId="44" xfId="0" applyFont="1" applyBorder="1" applyAlignment="1">
      <alignment horizontal="left" vertical="center" wrapText="1"/>
    </xf>
    <xf numFmtId="14" fontId="21" fillId="0" borderId="3" xfId="0" applyNumberFormat="1" applyFont="1" applyBorder="1" applyAlignment="1">
      <alignment horizontal="center" vertical="center" wrapText="1"/>
    </xf>
    <xf numFmtId="4" fontId="21" fillId="0" borderId="3" xfId="0" applyNumberFormat="1" applyFont="1" applyBorder="1" applyAlignment="1">
      <alignment vertical="center" wrapText="1"/>
    </xf>
    <xf numFmtId="4" fontId="21" fillId="0" borderId="3" xfId="0" applyNumberFormat="1" applyFont="1" applyBorder="1" applyAlignment="1">
      <alignment horizontal="right" vertical="center" wrapText="1"/>
    </xf>
    <xf numFmtId="4" fontId="37" fillId="0" borderId="0" xfId="0" applyFont="1" applyAlignment="1"/>
    <xf numFmtId="4" fontId="38" fillId="0" borderId="0" xfId="0" applyFont="1" applyAlignment="1"/>
    <xf numFmtId="4" fontId="21" fillId="0" borderId="45" xfId="0" applyFont="1" applyBorder="1" applyAlignment="1">
      <alignment horizontal="left" vertical="center" wrapText="1"/>
    </xf>
    <xf numFmtId="4" fontId="20" fillId="0" borderId="2" xfId="0" applyNumberFormat="1" applyFont="1" applyBorder="1" applyAlignment="1">
      <alignment vertical="center"/>
    </xf>
    <xf numFmtId="4" fontId="21" fillId="0" borderId="0" xfId="0" applyFont="1" applyFill="1" applyAlignment="1"/>
    <xf numFmtId="3" fontId="29" fillId="0" borderId="31" xfId="0" applyNumberFormat="1" applyFont="1" applyBorder="1">
      <alignment vertical="top"/>
    </xf>
    <xf numFmtId="3" fontId="29" fillId="0" borderId="32" xfId="0" applyNumberFormat="1" applyFont="1" applyBorder="1">
      <alignment vertical="top"/>
    </xf>
    <xf numFmtId="3" fontId="29" fillId="0" borderId="33" xfId="0" applyNumberFormat="1" applyFont="1" applyBorder="1">
      <alignment vertical="top"/>
    </xf>
    <xf numFmtId="3" fontId="29" fillId="0" borderId="15" xfId="0" applyNumberFormat="1" applyFont="1" applyBorder="1">
      <alignment vertical="top"/>
    </xf>
    <xf numFmtId="3" fontId="29" fillId="0" borderId="4" xfId="0" applyNumberFormat="1" applyFont="1" applyBorder="1">
      <alignment vertical="top"/>
    </xf>
    <xf numFmtId="3" fontId="29" fillId="0" borderId="16" xfId="0" applyNumberFormat="1" applyFont="1" applyBorder="1">
      <alignment vertical="top"/>
    </xf>
    <xf numFmtId="3" fontId="29" fillId="0" borderId="17" xfId="0" applyNumberFormat="1" applyFont="1" applyBorder="1">
      <alignment vertical="top"/>
    </xf>
    <xf numFmtId="3" fontId="29" fillId="0" borderId="3" xfId="0" applyNumberFormat="1" applyFont="1" applyBorder="1">
      <alignment vertical="top"/>
    </xf>
    <xf numFmtId="3" fontId="29" fillId="0" borderId="18" xfId="0" applyNumberFormat="1" applyFont="1" applyBorder="1">
      <alignment vertical="top"/>
    </xf>
    <xf numFmtId="4" fontId="21" fillId="0" borderId="0" xfId="0" applyFont="1" applyBorder="1" applyAlignment="1"/>
    <xf numFmtId="4" fontId="39" fillId="0" borderId="0" xfId="0" applyFont="1" applyAlignment="1"/>
    <xf numFmtId="4" fontId="40" fillId="0" borderId="0" xfId="0" applyFont="1" applyAlignment="1"/>
    <xf numFmtId="4" fontId="41" fillId="0" borderId="0" xfId="0" applyFont="1" applyAlignment="1">
      <alignment horizontal="center"/>
    </xf>
    <xf numFmtId="4" fontId="40" fillId="0" borderId="0" xfId="0" applyNumberFormat="1" applyFont="1" applyAlignment="1"/>
    <xf numFmtId="4" fontId="42" fillId="0" borderId="0" xfId="0" applyFont="1" applyAlignment="1"/>
    <xf numFmtId="4" fontId="39" fillId="4" borderId="2" xfId="0" applyFont="1" applyFill="1" applyBorder="1" applyAlignment="1">
      <alignment vertical="center"/>
    </xf>
    <xf numFmtId="4" fontId="39" fillId="0" borderId="2" xfId="0" applyNumberFormat="1" applyFont="1" applyBorder="1" applyAlignment="1">
      <alignment vertical="center"/>
    </xf>
    <xf numFmtId="4" fontId="41" fillId="0" borderId="0" xfId="0" applyFont="1" applyFill="1" applyAlignment="1">
      <alignment horizontal="center"/>
    </xf>
    <xf numFmtId="4" fontId="39" fillId="4" borderId="5" xfId="0" applyFont="1" applyFill="1" applyBorder="1" applyAlignment="1">
      <alignment vertical="center"/>
    </xf>
    <xf numFmtId="4" fontId="39" fillId="4" borderId="5" xfId="0" applyNumberFormat="1" applyFont="1" applyFill="1" applyBorder="1" applyAlignment="1">
      <alignment vertical="center"/>
    </xf>
    <xf numFmtId="0" fontId="40" fillId="0" borderId="2" xfId="0" applyNumberFormat="1" applyFont="1" applyBorder="1" applyAlignment="1">
      <alignment vertical="center"/>
    </xf>
    <xf numFmtId="4" fontId="40" fillId="0" borderId="38" xfId="0" applyNumberFormat="1" applyFont="1" applyBorder="1" applyAlignment="1">
      <alignment vertical="center"/>
    </xf>
    <xf numFmtId="4" fontId="39" fillId="0" borderId="0" xfId="0" applyFont="1" applyAlignment="1">
      <alignment horizontal="center"/>
    </xf>
    <xf numFmtId="4" fontId="40" fillId="0" borderId="3" xfId="0" applyNumberFormat="1" applyFont="1" applyBorder="1" applyAlignment="1">
      <alignment vertical="center" wrapText="1"/>
    </xf>
    <xf numFmtId="4" fontId="40" fillId="0" borderId="0" xfId="0" applyFont="1" applyBorder="1" applyAlignment="1"/>
    <xf numFmtId="4" fontId="21" fillId="0" borderId="0" xfId="0" applyNumberFormat="1" applyFont="1" applyFill="1" applyAlignment="1"/>
    <xf numFmtId="1" fontId="29" fillId="0" borderId="17" xfId="0" applyNumberFormat="1" applyFont="1" applyBorder="1">
      <alignment vertical="top"/>
    </xf>
    <xf numFmtId="1" fontId="29" fillId="0" borderId="3" xfId="0" applyNumberFormat="1" applyFont="1" applyBorder="1">
      <alignment vertical="top"/>
    </xf>
    <xf numFmtId="4" fontId="21" fillId="0" borderId="32" xfId="0" applyNumberFormat="1" applyFont="1" applyBorder="1" applyAlignment="1">
      <alignment vertical="center" wrapText="1"/>
    </xf>
    <xf numFmtId="14" fontId="21" fillId="0" borderId="32" xfId="0" applyNumberFormat="1" applyFont="1" applyBorder="1" applyAlignment="1">
      <alignment horizontal="center" vertical="center" wrapText="1"/>
    </xf>
    <xf numFmtId="4" fontId="20" fillId="0" borderId="0" xfId="0" applyFont="1" applyFill="1" applyAlignment="1">
      <alignment horizontal="left"/>
    </xf>
    <xf numFmtId="4" fontId="13" fillId="0" borderId="32" xfId="0" applyFont="1" applyBorder="1" applyAlignment="1">
      <alignment vertical="center"/>
    </xf>
    <xf numFmtId="4" fontId="43" fillId="0" borderId="32" xfId="0" applyFont="1" applyBorder="1" applyAlignment="1">
      <alignment vertical="center"/>
    </xf>
    <xf numFmtId="4" fontId="44" fillId="0" borderId="0" xfId="0" applyFont="1" applyAlignment="1"/>
    <xf numFmtId="14" fontId="40" fillId="0" borderId="32" xfId="0" applyNumberFormat="1" applyFont="1" applyBorder="1" applyAlignment="1">
      <alignment horizontal="center" vertical="center" wrapText="1"/>
    </xf>
    <xf numFmtId="14" fontId="40" fillId="0" borderId="0" xfId="0" applyNumberFormat="1" applyFont="1" applyAlignment="1">
      <alignment horizontal="center"/>
    </xf>
    <xf numFmtId="4" fontId="40" fillId="0" borderId="32" xfId="0" applyNumberFormat="1" applyFont="1" applyBorder="1" applyAlignment="1">
      <alignment horizontal="right" vertical="center" wrapText="1"/>
    </xf>
    <xf numFmtId="4" fontId="40" fillId="0" borderId="0" xfId="0" applyNumberFormat="1" applyFont="1" applyBorder="1" applyAlignment="1">
      <alignment horizontal="right" vertical="center" wrapText="1"/>
    </xf>
    <xf numFmtId="4" fontId="39" fillId="4" borderId="32" xfId="0" applyNumberFormat="1" applyFont="1" applyFill="1" applyBorder="1" applyAlignment="1">
      <alignment vertical="center"/>
    </xf>
    <xf numFmtId="14" fontId="13" fillId="0" borderId="32"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4" fontId="13" fillId="0" borderId="3" xfId="0" applyNumberFormat="1" applyFont="1" applyBorder="1" applyAlignment="1">
      <alignment vertical="center" wrapText="1"/>
    </xf>
    <xf numFmtId="14" fontId="21" fillId="0" borderId="2" xfId="0" applyNumberFormat="1" applyFont="1" applyBorder="1" applyAlignment="1">
      <alignment horizontal="center" vertical="center" wrapText="1"/>
    </xf>
    <xf numFmtId="4" fontId="21" fillId="0" borderId="2" xfId="0" applyNumberFormat="1" applyFont="1" applyBorder="1" applyAlignment="1">
      <alignment vertical="center" wrapText="1"/>
    </xf>
    <xf numFmtId="4" fontId="40" fillId="0" borderId="3" xfId="0" applyFont="1" applyBorder="1" applyAlignment="1"/>
    <xf numFmtId="3" fontId="5" fillId="0" borderId="31" xfId="0" applyNumberFormat="1" applyFont="1" applyBorder="1">
      <alignment vertical="top"/>
    </xf>
    <xf numFmtId="3" fontId="5" fillId="0" borderId="32" xfId="0" applyNumberFormat="1" applyFont="1" applyBorder="1">
      <alignment vertical="top"/>
    </xf>
    <xf numFmtId="3" fontId="5" fillId="0" borderId="33" xfId="0" applyNumberFormat="1" applyFont="1" applyBorder="1">
      <alignment vertical="top"/>
    </xf>
    <xf numFmtId="3" fontId="5" fillId="0" borderId="17" xfId="0" applyNumberFormat="1" applyFont="1" applyBorder="1">
      <alignment vertical="top"/>
    </xf>
    <xf numFmtId="3" fontId="5" fillId="0" borderId="3" xfId="0" applyNumberFormat="1" applyFont="1" applyBorder="1">
      <alignment vertical="top"/>
    </xf>
    <xf numFmtId="3" fontId="5" fillId="0" borderId="18" xfId="0" applyNumberFormat="1" applyFont="1" applyBorder="1">
      <alignment vertical="top"/>
    </xf>
    <xf numFmtId="3" fontId="5" fillId="0" borderId="15" xfId="0" applyNumberFormat="1" applyFont="1" applyBorder="1">
      <alignment vertical="top"/>
    </xf>
    <xf numFmtId="3" fontId="5" fillId="0" borderId="4" xfId="0" applyNumberFormat="1" applyFont="1" applyBorder="1">
      <alignment vertical="top"/>
    </xf>
    <xf numFmtId="3" fontId="5" fillId="0" borderId="16" xfId="0" applyNumberFormat="1" applyFont="1" applyBorder="1">
      <alignment vertical="top"/>
    </xf>
    <xf numFmtId="4" fontId="39" fillId="4" borderId="3" xfId="0" applyNumberFormat="1" applyFont="1" applyFill="1" applyBorder="1" applyAlignment="1">
      <alignment vertical="center"/>
    </xf>
    <xf numFmtId="4" fontId="39" fillId="0" borderId="35" xfId="0" applyFont="1" applyBorder="1" applyAlignment="1">
      <alignment vertical="center"/>
    </xf>
    <xf numFmtId="4" fontId="39" fillId="0" borderId="3" xfId="0" applyFont="1" applyBorder="1" applyAlignment="1">
      <alignment vertical="center"/>
    </xf>
    <xf numFmtId="4" fontId="39" fillId="0" borderId="3" xfId="0" applyNumberFormat="1" applyFont="1" applyFill="1" applyBorder="1" applyAlignment="1">
      <alignment horizontal="right" vertical="center"/>
    </xf>
    <xf numFmtId="4" fontId="39" fillId="0" borderId="32" xfId="0" applyFont="1" applyBorder="1" applyAlignment="1">
      <alignment vertical="center"/>
    </xf>
    <xf numFmtId="4" fontId="40" fillId="0" borderId="32" xfId="0" applyNumberFormat="1" applyFont="1" applyBorder="1" applyAlignment="1">
      <alignment vertical="center"/>
    </xf>
    <xf numFmtId="4" fontId="40" fillId="0" borderId="3" xfId="0" applyNumberFormat="1" applyFont="1" applyBorder="1" applyAlignment="1">
      <alignment vertical="center"/>
    </xf>
    <xf numFmtId="4" fontId="40" fillId="0" borderId="35" xfId="0" applyNumberFormat="1" applyFont="1" applyBorder="1" applyAlignment="1">
      <alignment vertical="center"/>
    </xf>
    <xf numFmtId="14" fontId="40" fillId="0" borderId="3" xfId="0" applyNumberFormat="1" applyFont="1" applyBorder="1" applyAlignment="1">
      <alignment horizontal="center" vertical="center" wrapText="1"/>
    </xf>
    <xf numFmtId="4" fontId="40" fillId="0" borderId="3" xfId="0" applyNumberFormat="1" applyFont="1" applyBorder="1" applyAlignment="1">
      <alignment horizontal="right" vertical="center" wrapText="1"/>
    </xf>
    <xf numFmtId="3" fontId="6" fillId="0" borderId="25" xfId="4" applyNumberFormat="1" applyFont="1" applyFill="1" applyBorder="1" applyAlignment="1">
      <alignment horizontal="right"/>
    </xf>
    <xf numFmtId="3" fontId="6" fillId="0" borderId="2" xfId="4" applyNumberFormat="1" applyFont="1" applyFill="1" applyBorder="1" applyAlignment="1">
      <alignment horizontal="right"/>
    </xf>
    <xf numFmtId="4" fontId="6" fillId="0" borderId="2" xfId="4" applyNumberFormat="1" applyFont="1" applyFill="1" applyBorder="1" applyAlignment="1">
      <alignment horizontal="right"/>
    </xf>
    <xf numFmtId="4" fontId="6" fillId="0" borderId="3" xfId="4" applyNumberFormat="1" applyFont="1" applyFill="1" applyBorder="1" applyAlignment="1">
      <alignment horizontal="right"/>
    </xf>
    <xf numFmtId="3" fontId="9" fillId="0" borderId="17" xfId="4" applyNumberFormat="1" applyFont="1" applyFill="1" applyBorder="1" applyAlignment="1">
      <alignment horizontal="right"/>
    </xf>
    <xf numFmtId="3" fontId="9" fillId="0" borderId="3" xfId="4" applyNumberFormat="1" applyFont="1" applyFill="1" applyBorder="1" applyAlignment="1">
      <alignment horizontal="right"/>
    </xf>
    <xf numFmtId="3" fontId="9" fillId="0" borderId="18" xfId="4" applyNumberFormat="1" applyFont="1" applyFill="1" applyBorder="1" applyAlignment="1">
      <alignment horizontal="right"/>
    </xf>
    <xf numFmtId="4" fontId="6" fillId="0" borderId="4" xfId="4" applyNumberFormat="1" applyFont="1" applyFill="1" applyBorder="1" applyAlignment="1">
      <alignment horizontal="right"/>
    </xf>
    <xf numFmtId="166" fontId="6" fillId="0" borderId="3" xfId="4" applyNumberFormat="1" applyFont="1" applyFill="1" applyBorder="1"/>
    <xf numFmtId="3" fontId="6" fillId="0" borderId="19" xfId="4" applyNumberFormat="1" applyFont="1" applyFill="1" applyBorder="1" applyAlignment="1">
      <alignment horizontal="right"/>
    </xf>
    <xf numFmtId="3" fontId="6" fillId="0" borderId="1" xfId="4" applyNumberFormat="1" applyFont="1" applyFill="1" applyBorder="1" applyAlignment="1">
      <alignment horizontal="right"/>
    </xf>
    <xf numFmtId="3" fontId="6" fillId="0" borderId="30" xfId="4" applyNumberFormat="1" applyFont="1" applyFill="1" applyBorder="1" applyAlignment="1">
      <alignment horizontal="right"/>
    </xf>
    <xf numFmtId="3" fontId="6" fillId="0" borderId="1" xfId="0" applyNumberFormat="1" applyFont="1" applyFill="1" applyBorder="1">
      <alignment vertical="top"/>
    </xf>
    <xf numFmtId="3" fontId="6" fillId="0" borderId="30" xfId="0" applyNumberFormat="1" applyFont="1" applyFill="1" applyBorder="1">
      <alignment vertical="top"/>
    </xf>
    <xf numFmtId="3" fontId="6" fillId="0" borderId="19" xfId="0" applyNumberFormat="1" applyFont="1" applyFill="1" applyBorder="1">
      <alignment vertical="top"/>
    </xf>
    <xf numFmtId="3" fontId="6" fillId="0" borderId="53" xfId="4" applyNumberFormat="1" applyFont="1" applyFill="1" applyBorder="1" applyAlignment="1">
      <alignment horizontal="right"/>
    </xf>
    <xf numFmtId="3" fontId="6" fillId="0" borderId="53" xfId="0" applyNumberFormat="1" applyFont="1" applyFill="1" applyBorder="1">
      <alignment vertical="top"/>
    </xf>
    <xf numFmtId="3" fontId="6" fillId="0" borderId="54" xfId="0" applyNumberFormat="1" applyFont="1" applyFill="1" applyBorder="1">
      <alignment vertical="top"/>
    </xf>
    <xf numFmtId="4" fontId="6" fillId="0" borderId="38" xfId="4" applyNumberFormat="1" applyFont="1" applyFill="1" applyBorder="1" applyAlignment="1">
      <alignment horizontal="right"/>
    </xf>
    <xf numFmtId="3" fontId="6" fillId="8" borderId="2" xfId="4" applyNumberFormat="1" applyFont="1" applyFill="1" applyBorder="1" applyAlignment="1">
      <alignment horizontal="right"/>
    </xf>
    <xf numFmtId="4" fontId="6" fillId="8" borderId="2" xfId="4" applyNumberFormat="1" applyFont="1" applyFill="1" applyBorder="1"/>
    <xf numFmtId="3" fontId="6" fillId="8" borderId="26" xfId="4" applyNumberFormat="1" applyFont="1" applyFill="1" applyBorder="1" applyAlignment="1">
      <alignment horizontal="right"/>
    </xf>
    <xf numFmtId="3" fontId="7" fillId="8" borderId="25" xfId="4" applyNumberFormat="1" applyFont="1" applyFill="1" applyBorder="1"/>
    <xf numFmtId="3" fontId="6" fillId="8" borderId="2" xfId="4" applyNumberFormat="1" applyFont="1" applyFill="1" applyBorder="1"/>
    <xf numFmtId="3" fontId="6" fillId="8" borderId="3" xfId="4" applyNumberFormat="1" applyFont="1" applyFill="1" applyBorder="1" applyAlignment="1">
      <alignment horizontal="right"/>
    </xf>
    <xf numFmtId="4" fontId="6" fillId="8" borderId="3" xfId="4" applyNumberFormat="1" applyFont="1" applyFill="1" applyBorder="1"/>
    <xf numFmtId="3" fontId="6" fillId="8" borderId="27" xfId="4" applyNumberFormat="1" applyFont="1" applyFill="1" applyBorder="1" applyAlignment="1">
      <alignment horizontal="right"/>
    </xf>
    <xf numFmtId="3" fontId="10" fillId="8" borderId="17" xfId="4" applyNumberFormat="1" applyFont="1" applyFill="1" applyBorder="1" applyAlignment="1">
      <alignment horizontal="right"/>
    </xf>
    <xf numFmtId="3" fontId="6" fillId="8" borderId="4" xfId="4" applyNumberFormat="1" applyFont="1" applyFill="1" applyBorder="1" applyAlignment="1">
      <alignment horizontal="right"/>
    </xf>
    <xf numFmtId="4" fontId="6" fillId="8" borderId="4" xfId="4" applyNumberFormat="1" applyFont="1" applyFill="1" applyBorder="1"/>
    <xf numFmtId="3" fontId="6" fillId="8" borderId="28" xfId="4" applyNumberFormat="1" applyFont="1" applyFill="1" applyBorder="1" applyAlignment="1">
      <alignment horizontal="right"/>
    </xf>
    <xf numFmtId="3" fontId="10" fillId="8" borderId="15" xfId="4" applyNumberFormat="1" applyFont="1" applyFill="1" applyBorder="1" applyAlignment="1">
      <alignment horizontal="right"/>
    </xf>
    <xf numFmtId="3" fontId="7" fillId="8" borderId="25" xfId="4" applyNumberFormat="1" applyFont="1" applyFill="1" applyBorder="1" applyAlignment="1">
      <alignment horizontal="right"/>
    </xf>
    <xf numFmtId="3" fontId="6" fillId="8" borderId="25" xfId="4" applyNumberFormat="1" applyFont="1" applyFill="1" applyBorder="1"/>
    <xf numFmtId="3" fontId="7" fillId="8" borderId="17" xfId="4" applyNumberFormat="1" applyFont="1" applyFill="1" applyBorder="1" applyAlignment="1">
      <alignment horizontal="right"/>
    </xf>
    <xf numFmtId="3" fontId="6" fillId="8" borderId="17" xfId="4" applyNumberFormat="1" applyFont="1" applyFill="1" applyBorder="1" applyAlignment="1">
      <alignment horizontal="right"/>
    </xf>
    <xf numFmtId="3" fontId="7" fillId="8" borderId="17" xfId="4" applyNumberFormat="1" applyFont="1" applyFill="1" applyBorder="1" applyAlignment="1"/>
    <xf numFmtId="3" fontId="6" fillId="8" borderId="17" xfId="4" applyNumberFormat="1" applyFont="1" applyFill="1" applyBorder="1" applyAlignment="1"/>
    <xf numFmtId="3" fontId="6" fillId="8" borderId="3" xfId="4" applyNumberFormat="1" applyFont="1" applyFill="1" applyBorder="1" applyAlignment="1"/>
    <xf numFmtId="3" fontId="6" fillId="8" borderId="3" xfId="4" applyNumberFormat="1" applyFont="1" applyFill="1" applyBorder="1"/>
    <xf numFmtId="3" fontId="6" fillId="8" borderId="17" xfId="4" applyNumberFormat="1" applyFont="1" applyFill="1" applyBorder="1"/>
    <xf numFmtId="4" fontId="9" fillId="8" borderId="3" xfId="4" applyNumberFormat="1" applyFont="1" applyFill="1" applyBorder="1"/>
    <xf numFmtId="4" fontId="9" fillId="8" borderId="4" xfId="4" applyNumberFormat="1" applyFont="1" applyFill="1" applyBorder="1"/>
    <xf numFmtId="3" fontId="7" fillId="8" borderId="15" xfId="4" applyNumberFormat="1" applyFont="1" applyFill="1" applyBorder="1" applyAlignment="1">
      <alignment horizontal="right"/>
    </xf>
    <xf numFmtId="3" fontId="6" fillId="8" borderId="4" xfId="0" applyNumberFormat="1" applyFont="1" applyFill="1" applyBorder="1" applyAlignment="1">
      <alignment horizontal="right" vertical="top"/>
    </xf>
    <xf numFmtId="3" fontId="6" fillId="8" borderId="28" xfId="0" applyNumberFormat="1" applyFont="1" applyFill="1" applyBorder="1" applyAlignment="1">
      <alignment horizontal="right" vertical="top"/>
    </xf>
    <xf numFmtId="3" fontId="6" fillId="8" borderId="15" xfId="0" applyNumberFormat="1" applyFont="1" applyFill="1" applyBorder="1" applyAlignment="1">
      <alignment horizontal="right" vertical="top"/>
    </xf>
    <xf numFmtId="3" fontId="6" fillId="8" borderId="1" xfId="4" applyNumberFormat="1" applyFont="1" applyFill="1" applyBorder="1" applyAlignment="1">
      <alignment horizontal="right"/>
    </xf>
    <xf numFmtId="3" fontId="7" fillId="0" borderId="15" xfId="4" applyFont="1" applyBorder="1" applyAlignment="1">
      <alignment horizontal="left"/>
    </xf>
    <xf numFmtId="3" fontId="7" fillId="0" borderId="16" xfId="4" applyFont="1" applyBorder="1" applyAlignment="1">
      <alignment horizontal="left"/>
    </xf>
    <xf numFmtId="4" fontId="6" fillId="0" borderId="3" xfId="4" applyNumberFormat="1" applyFont="1" applyFill="1" applyBorder="1" applyAlignment="1"/>
    <xf numFmtId="3" fontId="6" fillId="0" borderId="18" xfId="4" applyNumberFormat="1" applyFont="1" applyFill="1" applyBorder="1" applyAlignment="1"/>
    <xf numFmtId="3" fontId="9" fillId="0" borderId="18" xfId="4" applyNumberFormat="1" applyFont="1" applyFill="1" applyBorder="1" applyAlignment="1"/>
    <xf numFmtId="3" fontId="9" fillId="8" borderId="17" xfId="4" applyNumberFormat="1" applyFont="1" applyFill="1" applyBorder="1" applyAlignment="1"/>
    <xf numFmtId="3" fontId="9" fillId="8" borderId="3" xfId="4" applyNumberFormat="1" applyFont="1" applyFill="1" applyBorder="1" applyAlignment="1"/>
    <xf numFmtId="3" fontId="6" fillId="8" borderId="15" xfId="0" applyNumberFormat="1" applyFont="1" applyFill="1" applyBorder="1" applyAlignment="1">
      <alignment vertical="top"/>
    </xf>
    <xf numFmtId="3" fontId="6" fillId="8" borderId="4" xfId="0" applyNumberFormat="1" applyFont="1" applyFill="1" applyBorder="1" applyAlignment="1">
      <alignment vertical="top"/>
    </xf>
    <xf numFmtId="4" fontId="6" fillId="0" borderId="4" xfId="4" applyNumberFormat="1" applyFont="1" applyFill="1" applyBorder="1" applyAlignment="1"/>
    <xf numFmtId="3" fontId="6" fillId="0" borderId="16" xfId="0" applyNumberFormat="1" applyFont="1" applyBorder="1" applyAlignment="1">
      <alignment vertical="top"/>
    </xf>
    <xf numFmtId="3" fontId="7" fillId="5" borderId="5" xfId="4" applyNumberFormat="1" applyFont="1" applyFill="1" applyBorder="1" applyAlignment="1"/>
    <xf numFmtId="4" fontId="6" fillId="5" borderId="1" xfId="4" applyNumberFormat="1" applyFont="1" applyFill="1" applyBorder="1" applyAlignment="1"/>
    <xf numFmtId="3" fontId="6" fillId="0" borderId="19" xfId="0" applyNumberFormat="1" applyFont="1" applyBorder="1" applyAlignment="1">
      <alignment vertical="top"/>
    </xf>
    <xf numFmtId="3" fontId="6" fillId="0" borderId="1" xfId="0" applyNumberFormat="1" applyFont="1" applyBorder="1" applyAlignment="1">
      <alignment vertical="top"/>
    </xf>
    <xf numFmtId="4" fontId="6" fillId="0" borderId="1" xfId="4" applyNumberFormat="1" applyFont="1" applyFill="1" applyBorder="1" applyAlignment="1"/>
    <xf numFmtId="3" fontId="6" fillId="0" borderId="10" xfId="0" applyNumberFormat="1" applyFont="1" applyBorder="1" applyAlignment="1">
      <alignment vertical="top"/>
    </xf>
    <xf numFmtId="3" fontId="7" fillId="0" borderId="17" xfId="4" applyNumberFormat="1" applyFont="1" applyFill="1" applyBorder="1" applyAlignment="1"/>
    <xf numFmtId="3" fontId="6" fillId="0" borderId="17" xfId="4" applyNumberFormat="1" applyFont="1" applyFill="1" applyBorder="1" applyAlignment="1"/>
    <xf numFmtId="3" fontId="6" fillId="0" borderId="3" xfId="4" applyNumberFormat="1" applyFont="1" applyFill="1" applyBorder="1" applyAlignment="1"/>
    <xf numFmtId="4" fontId="6" fillId="0" borderId="30" xfId="4" applyNumberFormat="1" applyFont="1" applyBorder="1" applyAlignment="1">
      <alignment horizontal="right"/>
    </xf>
    <xf numFmtId="4" fontId="7" fillId="5" borderId="12" xfId="4" applyNumberFormat="1" applyFont="1" applyFill="1" applyBorder="1"/>
    <xf numFmtId="4" fontId="22" fillId="5" borderId="5" xfId="0" applyFont="1" applyFill="1" applyBorder="1" applyAlignment="1">
      <alignment horizontal="center"/>
    </xf>
    <xf numFmtId="4" fontId="22" fillId="5" borderId="5" xfId="0" applyNumberFormat="1" applyFont="1" applyFill="1" applyBorder="1" applyAlignment="1">
      <alignment horizontal="center"/>
    </xf>
    <xf numFmtId="4" fontId="41" fillId="5" borderId="5" xfId="0" applyNumberFormat="1" applyFont="1" applyFill="1" applyBorder="1" applyAlignment="1">
      <alignment horizontal="center"/>
    </xf>
    <xf numFmtId="4" fontId="41" fillId="5" borderId="5" xfId="0" applyFont="1" applyFill="1" applyBorder="1" applyAlignment="1">
      <alignment horizontal="center"/>
    </xf>
    <xf numFmtId="4" fontId="13" fillId="0" borderId="27" xfId="0" applyFont="1" applyBorder="1" applyAlignment="1">
      <alignment horizontal="left" vertical="top" wrapText="1"/>
    </xf>
    <xf numFmtId="4" fontId="13" fillId="0" borderId="44" xfId="0" applyFont="1" applyBorder="1" applyAlignment="1">
      <alignment horizontal="left" vertical="top" wrapText="1"/>
    </xf>
    <xf numFmtId="3" fontId="7" fillId="0" borderId="34" xfId="4" applyNumberFormat="1" applyFont="1" applyBorder="1" applyAlignment="1">
      <alignment horizontal="right"/>
    </xf>
    <xf numFmtId="3" fontId="6" fillId="0" borderId="35" xfId="0" applyNumberFormat="1" applyFont="1" applyBorder="1" applyAlignment="1">
      <alignment horizontal="right" vertical="top"/>
    </xf>
    <xf numFmtId="3" fontId="6" fillId="0" borderId="36" xfId="0" applyNumberFormat="1" applyFont="1" applyBorder="1" applyAlignment="1">
      <alignment horizontal="right" vertical="top"/>
    </xf>
    <xf numFmtId="3" fontId="6" fillId="0" borderId="34" xfId="0" applyNumberFormat="1" applyFont="1" applyBorder="1" applyAlignment="1">
      <alignment horizontal="right" vertical="top"/>
    </xf>
    <xf numFmtId="3" fontId="6" fillId="0" borderId="34" xfId="0" applyNumberFormat="1" applyFont="1" applyBorder="1">
      <alignment vertical="top"/>
    </xf>
    <xf numFmtId="3" fontId="6" fillId="0" borderId="35" xfId="0" applyNumberFormat="1" applyFont="1" applyBorder="1">
      <alignment vertical="top"/>
    </xf>
    <xf numFmtId="3" fontId="6" fillId="0" borderId="55" xfId="0" applyNumberFormat="1" applyFont="1" applyBorder="1">
      <alignment vertical="top"/>
    </xf>
    <xf numFmtId="49" fontId="7" fillId="5" borderId="56" xfId="4" applyNumberFormat="1" applyFont="1" applyFill="1" applyBorder="1" applyAlignment="1">
      <alignment horizontal="center"/>
    </xf>
    <xf numFmtId="3" fontId="10" fillId="0" borderId="34" xfId="4" applyNumberFormat="1" applyFont="1" applyBorder="1" applyAlignment="1">
      <alignment horizontal="right"/>
    </xf>
    <xf numFmtId="3" fontId="6" fillId="0" borderId="55" xfId="4" applyNumberFormat="1" applyFont="1" applyBorder="1" applyAlignment="1">
      <alignment horizontal="right"/>
    </xf>
    <xf numFmtId="49" fontId="6" fillId="2" borderId="48" xfId="4" applyNumberFormat="1" applyFont="1" applyFill="1" applyBorder="1" applyAlignment="1">
      <alignment horizontal="center"/>
    </xf>
    <xf numFmtId="49" fontId="6" fillId="2" borderId="0" xfId="4" applyNumberFormat="1" applyFont="1" applyFill="1" applyBorder="1" applyAlignment="1">
      <alignment horizontal="center"/>
    </xf>
    <xf numFmtId="3" fontId="7" fillId="0" borderId="40" xfId="4" applyNumberFormat="1" applyFont="1" applyFill="1" applyBorder="1"/>
    <xf numFmtId="3" fontId="6" fillId="0" borderId="38" xfId="0" applyNumberFormat="1" applyFont="1" applyBorder="1">
      <alignment vertical="top"/>
    </xf>
    <xf numFmtId="3" fontId="6" fillId="0" borderId="41" xfId="0" applyNumberFormat="1" applyFont="1" applyBorder="1">
      <alignment vertical="top"/>
    </xf>
    <xf numFmtId="3" fontId="6" fillId="0" borderId="40" xfId="0" applyNumberFormat="1" applyFont="1" applyBorder="1">
      <alignment vertical="top"/>
    </xf>
    <xf numFmtId="3" fontId="6" fillId="0" borderId="57" xfId="0" applyNumberFormat="1" applyFont="1" applyBorder="1">
      <alignment vertical="top"/>
    </xf>
    <xf numFmtId="3" fontId="7" fillId="0" borderId="31" xfId="4" applyNumberFormat="1" applyFont="1" applyBorder="1" applyAlignment="1">
      <alignment horizontal="right"/>
    </xf>
    <xf numFmtId="3" fontId="6" fillId="0" borderId="32" xfId="4" applyNumberFormat="1" applyFont="1" applyFill="1" applyBorder="1"/>
    <xf numFmtId="3" fontId="6" fillId="0" borderId="37" xfId="4" applyNumberFormat="1" applyFont="1" applyFill="1" applyBorder="1" applyAlignment="1">
      <alignment horizontal="right"/>
    </xf>
    <xf numFmtId="3" fontId="6" fillId="0" borderId="31" xfId="4" applyNumberFormat="1" applyFont="1" applyFill="1" applyBorder="1"/>
    <xf numFmtId="4" fontId="6" fillId="0" borderId="58" xfId="4" applyNumberFormat="1" applyFont="1" applyFill="1" applyBorder="1"/>
    <xf numFmtId="3" fontId="6" fillId="0" borderId="37" xfId="4" applyNumberFormat="1" applyFont="1" applyFill="1" applyBorder="1"/>
    <xf numFmtId="3" fontId="6" fillId="0" borderId="33" xfId="4" applyNumberFormat="1" applyFont="1" applyFill="1" applyBorder="1" applyAlignment="1">
      <alignment horizontal="right"/>
    </xf>
    <xf numFmtId="3" fontId="7" fillId="0" borderId="31" xfId="4" applyNumberFormat="1" applyFont="1" applyBorder="1"/>
    <xf numFmtId="3" fontId="6" fillId="0" borderId="32" xfId="4" applyNumberFormat="1" applyFont="1" applyBorder="1"/>
    <xf numFmtId="3" fontId="6" fillId="0" borderId="37" xfId="4" applyNumberFormat="1" applyFont="1" applyBorder="1"/>
    <xf numFmtId="3" fontId="6" fillId="0" borderId="31" xfId="4" applyNumberFormat="1" applyFont="1" applyBorder="1"/>
    <xf numFmtId="3" fontId="6" fillId="0" borderId="33" xfId="4" applyNumberFormat="1" applyFont="1" applyBorder="1"/>
    <xf numFmtId="4" fontId="9" fillId="5" borderId="5" xfId="4" applyNumberFormat="1" applyFont="1" applyFill="1" applyBorder="1"/>
    <xf numFmtId="164" fontId="6" fillId="5" borderId="5" xfId="4" applyNumberFormat="1" applyFont="1" applyFill="1" applyBorder="1"/>
    <xf numFmtId="3" fontId="6" fillId="0" borderId="39" xfId="4" applyNumberFormat="1" applyFont="1" applyBorder="1" applyAlignment="1">
      <alignment horizontal="right"/>
    </xf>
    <xf numFmtId="3" fontId="6" fillId="0" borderId="58" xfId="4" applyNumberFormat="1" applyFont="1" applyBorder="1" applyAlignment="1">
      <alignment horizontal="right"/>
    </xf>
    <xf numFmtId="4" fontId="9" fillId="0" borderId="58" xfId="4" applyNumberFormat="1" applyFont="1" applyFill="1" applyBorder="1"/>
    <xf numFmtId="3" fontId="6" fillId="0" borderId="59" xfId="4" applyNumberFormat="1" applyFont="1" applyBorder="1" applyAlignment="1">
      <alignment horizontal="right"/>
    </xf>
    <xf numFmtId="3" fontId="6" fillId="0" borderId="58" xfId="0" applyNumberFormat="1" applyFont="1" applyBorder="1">
      <alignment vertical="top"/>
    </xf>
    <xf numFmtId="3" fontId="6" fillId="0" borderId="59" xfId="0" applyNumberFormat="1" applyFont="1" applyBorder="1">
      <alignment vertical="top"/>
    </xf>
    <xf numFmtId="3" fontId="6" fillId="0" borderId="39" xfId="0" applyNumberFormat="1" applyFont="1" applyBorder="1">
      <alignment vertical="top"/>
    </xf>
    <xf numFmtId="3" fontId="6" fillId="0" borderId="60" xfId="0" applyNumberFormat="1" applyFont="1" applyBorder="1">
      <alignment vertical="top"/>
    </xf>
    <xf numFmtId="3" fontId="6" fillId="0" borderId="29" xfId="4" applyNumberFormat="1" applyFont="1" applyBorder="1" applyAlignment="1">
      <alignment horizontal="right"/>
    </xf>
    <xf numFmtId="4" fontId="6" fillId="5" borderId="5" xfId="4" applyNumberFormat="1" applyFont="1" applyFill="1" applyBorder="1" applyAlignment="1"/>
    <xf numFmtId="3" fontId="6" fillId="0" borderId="25" xfId="4" applyNumberFormat="1" applyFont="1" applyBorder="1" applyAlignment="1"/>
    <xf numFmtId="3" fontId="6" fillId="0" borderId="2" xfId="4" applyNumberFormat="1" applyFont="1" applyBorder="1" applyAlignment="1"/>
    <xf numFmtId="4" fontId="6" fillId="0" borderId="2" xfId="4" applyNumberFormat="1" applyFont="1" applyFill="1" applyBorder="1" applyAlignment="1"/>
    <xf numFmtId="3" fontId="6" fillId="0" borderId="29" xfId="4" applyNumberFormat="1" applyFont="1" applyBorder="1" applyAlignment="1"/>
    <xf numFmtId="3" fontId="6" fillId="0" borderId="15" xfId="4" applyNumberFormat="1" applyFont="1" applyBorder="1" applyAlignment="1"/>
    <xf numFmtId="3" fontId="6" fillId="0" borderId="4" xfId="4" applyNumberFormat="1" applyFont="1" applyBorder="1" applyAlignment="1"/>
    <xf numFmtId="3" fontId="6" fillId="0" borderId="16" xfId="4" applyNumberFormat="1" applyFont="1" applyBorder="1" applyAlignment="1"/>
    <xf numFmtId="3" fontId="6" fillId="5" borderId="5" xfId="4" applyNumberFormat="1" applyFont="1" applyFill="1" applyBorder="1" applyAlignment="1"/>
    <xf numFmtId="3" fontId="6" fillId="0" borderId="25" xfId="4" applyNumberFormat="1" applyFont="1" applyFill="1" applyBorder="1" applyAlignment="1"/>
    <xf numFmtId="3" fontId="6" fillId="0" borderId="2" xfId="4" applyNumberFormat="1" applyFont="1" applyFill="1" applyBorder="1" applyAlignment="1"/>
    <xf numFmtId="3" fontId="6" fillId="0" borderId="29" xfId="4" applyNumberFormat="1" applyFont="1" applyFill="1" applyBorder="1" applyAlignment="1"/>
    <xf numFmtId="3" fontId="9" fillId="0" borderId="17" xfId="4" applyNumberFormat="1" applyFont="1" applyFill="1" applyBorder="1" applyAlignment="1"/>
    <xf numFmtId="3" fontId="9" fillId="0" borderId="3" xfId="4" applyNumberFormat="1" applyFont="1" applyFill="1" applyBorder="1" applyAlignment="1"/>
    <xf numFmtId="3" fontId="6" fillId="0" borderId="15" xfId="0" applyNumberFormat="1" applyFont="1" applyBorder="1" applyAlignment="1">
      <alignment vertical="top"/>
    </xf>
    <xf numFmtId="3" fontId="6" fillId="0" borderId="4" xfId="0" applyNumberFormat="1" applyFont="1" applyBorder="1" applyAlignment="1">
      <alignment vertical="top"/>
    </xf>
    <xf numFmtId="4" fontId="22" fillId="5" borderId="5" xfId="0" applyFont="1" applyFill="1" applyBorder="1" applyAlignment="1">
      <alignment horizontal="center"/>
    </xf>
    <xf numFmtId="4" fontId="22" fillId="5" borderId="5" xfId="0" applyNumberFormat="1" applyFont="1" applyFill="1" applyBorder="1" applyAlignment="1">
      <alignment horizontal="center"/>
    </xf>
    <xf numFmtId="4" fontId="13" fillId="0" borderId="3" xfId="0" applyFont="1" applyBorder="1" applyAlignment="1">
      <alignment horizontal="left" vertical="center" wrapText="1"/>
    </xf>
    <xf numFmtId="4" fontId="20" fillId="2" borderId="5" xfId="0" applyFont="1" applyFill="1" applyBorder="1" applyAlignment="1">
      <alignment horizontal="left" vertical="center"/>
    </xf>
    <xf numFmtId="4" fontId="22" fillId="0" borderId="61" xfId="0" applyFont="1" applyFill="1" applyBorder="1" applyAlignment="1"/>
    <xf numFmtId="4" fontId="22" fillId="0" borderId="0" xfId="0" applyFont="1" applyFill="1" applyBorder="1" applyAlignment="1"/>
    <xf numFmtId="4" fontId="20" fillId="3" borderId="2" xfId="0" applyFont="1" applyFill="1" applyBorder="1" applyAlignment="1">
      <alignment vertical="center"/>
    </xf>
    <xf numFmtId="4" fontId="23" fillId="0" borderId="41" xfId="0" applyFont="1" applyFill="1" applyBorder="1" applyAlignment="1"/>
    <xf numFmtId="4" fontId="23" fillId="0" borderId="0" xfId="0" applyFont="1" applyFill="1" applyBorder="1" applyAlignment="1"/>
    <xf numFmtId="4" fontId="21" fillId="0" borderId="41" xfId="0" applyNumberFormat="1" applyFont="1" applyFill="1" applyBorder="1" applyAlignment="1">
      <alignment horizontal="left"/>
    </xf>
    <xf numFmtId="4" fontId="21" fillId="0" borderId="0" xfId="0" applyNumberFormat="1" applyFont="1" applyFill="1" applyBorder="1" applyAlignment="1">
      <alignment horizontal="left"/>
    </xf>
    <xf numFmtId="4" fontId="20" fillId="0" borderId="35" xfId="0" applyNumberFormat="1" applyFont="1" applyBorder="1" applyAlignment="1">
      <alignment vertical="center"/>
    </xf>
    <xf numFmtId="4" fontId="23" fillId="0" borderId="41" xfId="0" applyFont="1" applyFill="1" applyBorder="1" applyAlignment="1">
      <alignment vertical="center" wrapText="1"/>
    </xf>
    <xf numFmtId="4" fontId="23" fillId="0" borderId="0" xfId="0" applyFont="1" applyFill="1" applyBorder="1" applyAlignment="1">
      <alignment vertical="center" wrapText="1"/>
    </xf>
    <xf numFmtId="4" fontId="20" fillId="3" borderId="5" xfId="0" applyFont="1" applyFill="1" applyBorder="1" applyAlignment="1">
      <alignment vertical="center"/>
    </xf>
    <xf numFmtId="4" fontId="23" fillId="0" borderId="0" xfId="0" applyFont="1" applyFill="1" applyBorder="1" applyAlignment="1">
      <alignment horizontal="left" vertical="center" wrapText="1"/>
    </xf>
    <xf numFmtId="4" fontId="20" fillId="0" borderId="0" xfId="0" applyFont="1" applyFill="1" applyBorder="1" applyAlignment="1">
      <alignment vertical="center"/>
    </xf>
    <xf numFmtId="4" fontId="21" fillId="0" borderId="0" xfId="0" applyFont="1" applyFill="1" applyBorder="1" applyAlignment="1"/>
    <xf numFmtId="4" fontId="21" fillId="0" borderId="0" xfId="0" applyFont="1" applyAlignment="1">
      <alignment horizontal="right"/>
    </xf>
    <xf numFmtId="4" fontId="21" fillId="0" borderId="0" xfId="0" applyNumberFormat="1" applyFont="1" applyBorder="1" applyAlignment="1">
      <alignment horizontal="center" vertical="center" wrapText="1"/>
    </xf>
    <xf numFmtId="4" fontId="20" fillId="4" borderId="5" xfId="0" applyNumberFormat="1" applyFont="1" applyFill="1" applyBorder="1" applyAlignment="1">
      <alignment vertical="center"/>
    </xf>
    <xf numFmtId="4" fontId="21" fillId="0" borderId="3" xfId="0" applyFont="1" applyBorder="1" applyAlignment="1">
      <alignment horizontal="right"/>
    </xf>
    <xf numFmtId="14" fontId="21" fillId="0" borderId="2" xfId="0" applyNumberFormat="1" applyFont="1" applyBorder="1" applyAlignment="1">
      <alignment horizontal="right"/>
    </xf>
    <xf numFmtId="14" fontId="21" fillId="0" borderId="3" xfId="0" applyNumberFormat="1" applyFont="1" applyBorder="1" applyAlignment="1">
      <alignment horizontal="right"/>
    </xf>
    <xf numFmtId="4" fontId="21" fillId="0" borderId="3" xfId="0" applyNumberFormat="1" applyFont="1" applyBorder="1" applyAlignment="1">
      <alignment horizontal="right"/>
    </xf>
    <xf numFmtId="4" fontId="21" fillId="0" borderId="2" xfId="1" applyNumberFormat="1" applyFont="1" applyBorder="1" applyAlignment="1">
      <alignment horizontal="right"/>
    </xf>
    <xf numFmtId="4" fontId="21" fillId="0" borderId="3" xfId="1" applyNumberFormat="1" applyFont="1" applyBorder="1" applyAlignment="1">
      <alignment horizontal="right"/>
    </xf>
    <xf numFmtId="4" fontId="21" fillId="0" borderId="3" xfId="0" applyFont="1" applyBorder="1" applyAlignment="1">
      <alignment vertical="top" wrapText="1"/>
    </xf>
    <xf numFmtId="2" fontId="21" fillId="0" borderId="0" xfId="0" applyNumberFormat="1" applyFont="1" applyBorder="1" applyAlignment="1">
      <alignment horizontal="center"/>
    </xf>
    <xf numFmtId="14" fontId="40" fillId="0" borderId="0" xfId="0" applyNumberFormat="1" applyFont="1" applyAlignment="1"/>
    <xf numFmtId="14" fontId="41" fillId="5" borderId="5" xfId="0" applyNumberFormat="1" applyFont="1" applyFill="1" applyBorder="1" applyAlignment="1">
      <alignment horizontal="center"/>
    </xf>
    <xf numFmtId="14" fontId="40" fillId="0" borderId="0" xfId="0" applyNumberFormat="1" applyFont="1" applyBorder="1" applyAlignment="1"/>
    <xf numFmtId="14" fontId="41" fillId="0" borderId="61" xfId="0" applyNumberFormat="1" applyFont="1" applyFill="1" applyBorder="1" applyAlignment="1"/>
    <xf numFmtId="4" fontId="41" fillId="0" borderId="0" xfId="0" applyFont="1" applyFill="1" applyBorder="1" applyAlignment="1"/>
    <xf numFmtId="4" fontId="39" fillId="7" borderId="2" xfId="0" applyFont="1" applyFill="1" applyBorder="1" applyAlignment="1">
      <alignment vertical="center"/>
    </xf>
    <xf numFmtId="14" fontId="43" fillId="0" borderId="41" xfId="0" applyNumberFormat="1" applyFont="1" applyFill="1" applyBorder="1" applyAlignment="1"/>
    <xf numFmtId="4" fontId="43" fillId="0" borderId="0" xfId="0" applyFont="1" applyFill="1" applyBorder="1" applyAlignment="1"/>
    <xf numFmtId="14" fontId="40" fillId="0" borderId="41" xfId="0" applyNumberFormat="1" applyFont="1" applyFill="1" applyBorder="1" applyAlignment="1">
      <alignment horizontal="left"/>
    </xf>
    <xf numFmtId="4" fontId="40" fillId="0" borderId="0" xfId="0" applyNumberFormat="1" applyFont="1" applyFill="1" applyBorder="1" applyAlignment="1">
      <alignment horizontal="left"/>
    </xf>
    <xf numFmtId="14" fontId="43" fillId="0" borderId="41" xfId="0" applyNumberFormat="1" applyFont="1" applyFill="1" applyBorder="1" applyAlignment="1">
      <alignment vertical="center" wrapText="1"/>
    </xf>
    <xf numFmtId="4" fontId="43" fillId="0" borderId="0" xfId="0" applyFont="1" applyFill="1" applyBorder="1" applyAlignment="1">
      <alignment vertical="center" wrapText="1"/>
    </xf>
    <xf numFmtId="4" fontId="39" fillId="4" borderId="5" xfId="0" applyFont="1" applyFill="1" applyBorder="1" applyAlignment="1">
      <alignment horizontal="left" vertical="center"/>
    </xf>
    <xf numFmtId="4" fontId="39" fillId="7" borderId="5" xfId="0" applyFont="1" applyFill="1" applyBorder="1" applyAlignment="1">
      <alignment vertical="center"/>
    </xf>
    <xf numFmtId="14" fontId="43" fillId="0" borderId="0" xfId="0" applyNumberFormat="1" applyFont="1" applyFill="1" applyBorder="1" applyAlignment="1">
      <alignment horizontal="left" vertical="center" wrapText="1"/>
    </xf>
    <xf numFmtId="4" fontId="43" fillId="0" borderId="0" xfId="0" applyFont="1" applyFill="1" applyBorder="1" applyAlignment="1">
      <alignment horizontal="left" vertical="center" wrapText="1"/>
    </xf>
    <xf numFmtId="4" fontId="39" fillId="0" borderId="0" xfId="0" applyFont="1" applyFill="1" applyBorder="1" applyAlignment="1">
      <alignment vertical="center"/>
    </xf>
    <xf numFmtId="4" fontId="40" fillId="0" borderId="0" xfId="0" applyFont="1" applyFill="1" applyAlignment="1"/>
    <xf numFmtId="14" fontId="40" fillId="0" borderId="0" xfId="0" applyNumberFormat="1" applyFont="1" applyFill="1" applyAlignment="1"/>
    <xf numFmtId="14" fontId="40" fillId="0" borderId="0" xfId="0" applyNumberFormat="1" applyFont="1" applyFill="1" applyBorder="1" applyAlignment="1"/>
    <xf numFmtId="4" fontId="40" fillId="0" borderId="0" xfId="0" applyFont="1" applyFill="1" applyBorder="1" applyAlignment="1"/>
    <xf numFmtId="14" fontId="40" fillId="0" borderId="2" xfId="0" applyNumberFormat="1" applyFont="1" applyBorder="1" applyAlignment="1">
      <alignment vertical="center"/>
    </xf>
    <xf numFmtId="14" fontId="40" fillId="0" borderId="32" xfId="0" applyNumberFormat="1" applyFont="1" applyBorder="1" applyAlignment="1">
      <alignment horizontal="right" vertical="center" wrapText="1"/>
    </xf>
    <xf numFmtId="165" fontId="39" fillId="4" borderId="5" xfId="0" applyNumberFormat="1" applyFont="1" applyFill="1" applyBorder="1" applyAlignment="1">
      <alignment vertical="center"/>
    </xf>
    <xf numFmtId="165" fontId="39" fillId="4" borderId="32" xfId="0" applyNumberFormat="1" applyFont="1" applyFill="1" applyBorder="1" applyAlignment="1">
      <alignment vertical="center"/>
    </xf>
    <xf numFmtId="165" fontId="39" fillId="4" borderId="3" xfId="0" applyNumberFormat="1" applyFont="1" applyFill="1" applyBorder="1" applyAlignment="1">
      <alignment vertical="center"/>
    </xf>
    <xf numFmtId="165" fontId="39" fillId="0" borderId="2" xfId="0" applyNumberFormat="1" applyFont="1" applyBorder="1" applyAlignment="1">
      <alignment vertical="center"/>
    </xf>
    <xf numFmtId="165" fontId="39" fillId="0" borderId="3" xfId="0" applyNumberFormat="1" applyFont="1" applyFill="1" applyBorder="1" applyAlignment="1">
      <alignment horizontal="right" vertical="center"/>
    </xf>
    <xf numFmtId="165" fontId="39" fillId="0" borderId="35" xfId="0" applyNumberFormat="1" applyFont="1" applyBorder="1" applyAlignment="1">
      <alignment vertical="center"/>
    </xf>
    <xf numFmtId="4" fontId="40" fillId="0" borderId="35" xfId="0" applyNumberFormat="1" applyFont="1" applyBorder="1" applyAlignment="1">
      <alignment horizontal="right" vertical="center" wrapText="1"/>
    </xf>
    <xf numFmtId="4" fontId="40" fillId="0" borderId="32" xfId="0" applyNumberFormat="1" applyFont="1" applyBorder="1" applyAlignment="1">
      <alignment vertical="center" wrapText="1"/>
    </xf>
    <xf numFmtId="4" fontId="39" fillId="4" borderId="5" xfId="0" applyNumberFormat="1" applyFont="1" applyFill="1" applyBorder="1" applyAlignment="1">
      <alignment horizontal="right" vertical="center"/>
    </xf>
    <xf numFmtId="14" fontId="40" fillId="0" borderId="0" xfId="0" applyNumberFormat="1" applyFont="1" applyBorder="1" applyAlignment="1">
      <alignment horizontal="right" vertical="center" wrapText="1"/>
    </xf>
    <xf numFmtId="14" fontId="40" fillId="0" borderId="3" xfId="0" applyNumberFormat="1" applyFont="1" applyBorder="1" applyAlignment="1">
      <alignment horizontal="right" vertical="center" wrapText="1"/>
    </xf>
    <xf numFmtId="49" fontId="21" fillId="0" borderId="32" xfId="0" applyNumberFormat="1" applyFont="1" applyBorder="1" applyAlignment="1">
      <alignment horizontal="center" vertical="center" wrapText="1"/>
    </xf>
    <xf numFmtId="4" fontId="21" fillId="0" borderId="2" xfId="0" applyNumberFormat="1" applyFont="1" applyBorder="1" applyAlignment="1">
      <alignment vertical="center"/>
    </xf>
    <xf numFmtId="4" fontId="21" fillId="0" borderId="4" xfId="0" applyNumberFormat="1" applyFont="1" applyBorder="1" applyAlignment="1">
      <alignment vertical="center"/>
    </xf>
    <xf numFmtId="49" fontId="21" fillId="0" borderId="3" xfId="0" applyNumberFormat="1" applyFont="1" applyBorder="1" applyAlignment="1">
      <alignment horizontal="center" vertical="center" wrapText="1"/>
    </xf>
    <xf numFmtId="4" fontId="41" fillId="0" borderId="61" xfId="0" applyFont="1" applyFill="1" applyBorder="1" applyAlignment="1"/>
    <xf numFmtId="4" fontId="43" fillId="0" borderId="41" xfId="0" applyFont="1" applyFill="1" applyBorder="1" applyAlignment="1"/>
    <xf numFmtId="4" fontId="40" fillId="0" borderId="41" xfId="0" applyNumberFormat="1" applyFont="1" applyFill="1" applyBorder="1" applyAlignment="1">
      <alignment horizontal="left"/>
    </xf>
    <xf numFmtId="4" fontId="39" fillId="0" borderId="35" xfId="0" applyNumberFormat="1" applyFont="1" applyBorder="1" applyAlignment="1">
      <alignment vertical="center"/>
    </xf>
    <xf numFmtId="49" fontId="13" fillId="0" borderId="41" xfId="0" applyNumberFormat="1" applyFont="1" applyFill="1" applyBorder="1" applyAlignment="1">
      <alignment vertical="center"/>
    </xf>
    <xf numFmtId="4" fontId="13" fillId="0" borderId="0" xfId="0" applyFont="1" applyFill="1" applyBorder="1" applyAlignment="1">
      <alignment horizontal="left" vertical="center" wrapText="1"/>
    </xf>
    <xf numFmtId="4" fontId="40" fillId="0" borderId="0" xfId="0" applyNumberFormat="1" applyFont="1" applyFill="1" applyAlignment="1"/>
    <xf numFmtId="4" fontId="40" fillId="0" borderId="2" xfId="0" applyNumberFormat="1" applyFont="1" applyBorder="1" applyAlignment="1">
      <alignment vertical="center"/>
    </xf>
    <xf numFmtId="4" fontId="40" fillId="0" borderId="4" xfId="0" applyNumberFormat="1" applyFont="1" applyBorder="1" applyAlignment="1">
      <alignment vertical="center"/>
    </xf>
    <xf numFmtId="43" fontId="13" fillId="0" borderId="27" xfId="1" applyFont="1" applyBorder="1" applyAlignment="1">
      <alignment horizontal="left" vertical="top" wrapText="1"/>
    </xf>
    <xf numFmtId="43" fontId="13" fillId="0" borderId="44" xfId="1" applyFont="1" applyBorder="1" applyAlignment="1">
      <alignment horizontal="left" vertical="top" wrapText="1"/>
    </xf>
    <xf numFmtId="4" fontId="13" fillId="0" borderId="27" xfId="0" applyFont="1" applyBorder="1" applyAlignment="1">
      <alignment horizontal="left" vertical="top"/>
    </xf>
    <xf numFmtId="4" fontId="13" fillId="0" borderId="44" xfId="0" applyFont="1" applyBorder="1" applyAlignment="1">
      <alignment horizontal="left" vertical="top"/>
    </xf>
    <xf numFmtId="4" fontId="0" fillId="0" borderId="44" xfId="0" applyBorder="1" applyAlignment="1">
      <alignment horizontal="left" vertical="top" wrapText="1"/>
    </xf>
    <xf numFmtId="4" fontId="45" fillId="0" borderId="44" xfId="0" applyFont="1" applyBorder="1" applyAlignment="1">
      <alignment horizontal="left" vertical="top" wrapText="1"/>
    </xf>
    <xf numFmtId="4" fontId="33" fillId="0" borderId="41" xfId="0" applyNumberFormat="1" applyFont="1" applyFill="1" applyBorder="1" applyAlignment="1">
      <alignment horizontal="left"/>
    </xf>
    <xf numFmtId="4" fontId="33" fillId="0" borderId="0" xfId="0" applyNumberFormat="1" applyFont="1" applyFill="1" applyBorder="1" applyAlignment="1">
      <alignment horizontal="left"/>
    </xf>
    <xf numFmtId="0" fontId="21" fillId="0" borderId="0" xfId="0" applyNumberFormat="1" applyFont="1" applyAlignment="1"/>
    <xf numFmtId="14" fontId="21" fillId="0" borderId="0" xfId="0" applyNumberFormat="1" applyFont="1" applyAlignment="1">
      <alignment horizontal="center"/>
    </xf>
    <xf numFmtId="4" fontId="21" fillId="0" borderId="4" xfId="0" applyNumberFormat="1" applyFont="1" applyBorder="1" applyAlignment="1">
      <alignment horizontal="right" vertical="center"/>
    </xf>
    <xf numFmtId="4" fontId="20" fillId="0" borderId="0" xfId="0" applyFont="1" applyFill="1" applyAlignment="1">
      <alignment horizontal="center"/>
    </xf>
    <xf numFmtId="4" fontId="27" fillId="0" borderId="2" xfId="0" applyFont="1" applyFill="1" applyBorder="1" applyAlignment="1">
      <alignment horizontal="left"/>
    </xf>
    <xf numFmtId="4" fontId="22" fillId="0" borderId="2" xfId="0" applyFont="1" applyFill="1" applyBorder="1" applyAlignment="1">
      <alignment horizontal="center"/>
    </xf>
    <xf numFmtId="4" fontId="22" fillId="0" borderId="2" xfId="0" applyNumberFormat="1" applyFont="1" applyFill="1" applyBorder="1" applyAlignment="1">
      <alignment horizontal="center"/>
    </xf>
    <xf numFmtId="4" fontId="14" fillId="0" borderId="3" xfId="0" applyFont="1" applyBorder="1" applyAlignment="1">
      <alignment horizontal="left" vertical="center" wrapText="1"/>
    </xf>
    <xf numFmtId="4" fontId="12" fillId="0" borderId="0" xfId="0" applyFont="1" applyFill="1" applyAlignment="1">
      <alignment horizontal="left"/>
    </xf>
    <xf numFmtId="0" fontId="21" fillId="0" borderId="0" xfId="3" applyFont="1"/>
    <xf numFmtId="4" fontId="21" fillId="0" borderId="0" xfId="3" applyNumberFormat="1" applyFont="1" applyAlignment="1"/>
    <xf numFmtId="4" fontId="21" fillId="0" borderId="0" xfId="3" applyNumberFormat="1" applyFont="1"/>
    <xf numFmtId="0" fontId="20" fillId="0" borderId="32" xfId="3" applyFont="1" applyBorder="1" applyAlignment="1">
      <alignment vertical="center"/>
    </xf>
    <xf numFmtId="4" fontId="21" fillId="0" borderId="32" xfId="3" applyNumberFormat="1" applyFont="1" applyBorder="1" applyAlignment="1">
      <alignment vertical="center"/>
    </xf>
    <xf numFmtId="0" fontId="20" fillId="0" borderId="3" xfId="3" applyFont="1" applyBorder="1" applyAlignment="1">
      <alignment vertical="center"/>
    </xf>
    <xf numFmtId="4" fontId="21" fillId="0" borderId="3" xfId="3" applyNumberFormat="1" applyFont="1" applyBorder="1" applyAlignment="1">
      <alignment vertical="center"/>
    </xf>
    <xf numFmtId="0" fontId="20" fillId="0" borderId="35" xfId="3" applyFont="1" applyBorder="1" applyAlignment="1">
      <alignment vertical="center"/>
    </xf>
    <xf numFmtId="4" fontId="21" fillId="0" borderId="35" xfId="3" applyNumberFormat="1" applyFont="1" applyBorder="1" applyAlignment="1">
      <alignment vertical="center"/>
    </xf>
    <xf numFmtId="0" fontId="20" fillId="2" borderId="2" xfId="3" applyFont="1" applyFill="1" applyBorder="1" applyAlignment="1">
      <alignment vertical="center"/>
    </xf>
    <xf numFmtId="4" fontId="20" fillId="0" borderId="2" xfId="3" applyNumberFormat="1" applyFont="1" applyBorder="1" applyAlignment="1">
      <alignment vertical="center"/>
    </xf>
    <xf numFmtId="4" fontId="20" fillId="0" borderId="3" xfId="3" applyNumberFormat="1" applyFont="1" applyFill="1" applyBorder="1" applyAlignment="1">
      <alignment horizontal="right" vertical="center"/>
    </xf>
    <xf numFmtId="0" fontId="21" fillId="0" borderId="2" xfId="3" applyNumberFormat="1" applyFont="1" applyBorder="1" applyAlignment="1">
      <alignment vertical="center"/>
    </xf>
    <xf numFmtId="0" fontId="20" fillId="2" borderId="5" xfId="3" applyFont="1" applyFill="1" applyBorder="1" applyAlignment="1">
      <alignment vertical="center"/>
    </xf>
    <xf numFmtId="4" fontId="20" fillId="2" borderId="5" xfId="3" applyNumberFormat="1" applyFont="1" applyFill="1" applyBorder="1" applyAlignment="1">
      <alignment vertical="center"/>
    </xf>
    <xf numFmtId="4" fontId="21" fillId="0" borderId="38" xfId="3" applyNumberFormat="1" applyFont="1" applyBorder="1" applyAlignment="1">
      <alignment vertical="center"/>
    </xf>
    <xf numFmtId="0" fontId="23" fillId="0" borderId="32" xfId="3" applyFont="1" applyBorder="1" applyAlignment="1">
      <alignment vertical="center"/>
    </xf>
    <xf numFmtId="0" fontId="20" fillId="3" borderId="2" xfId="3" applyFont="1" applyFill="1" applyBorder="1" applyAlignment="1">
      <alignment vertical="center"/>
    </xf>
    <xf numFmtId="0" fontId="21" fillId="0" borderId="0" xfId="3" applyFont="1" applyFill="1"/>
    <xf numFmtId="4" fontId="21" fillId="0" borderId="0" xfId="3" applyNumberFormat="1" applyFont="1" applyFill="1" applyAlignment="1"/>
    <xf numFmtId="0" fontId="20" fillId="0" borderId="0" xfId="3" applyFont="1" applyFill="1" applyBorder="1" applyAlignment="1">
      <alignment vertical="center"/>
    </xf>
    <xf numFmtId="4" fontId="20" fillId="0" borderId="35" xfId="3" applyNumberFormat="1" applyFont="1" applyBorder="1" applyAlignment="1">
      <alignment vertical="center"/>
    </xf>
    <xf numFmtId="0" fontId="20" fillId="2" borderId="5" xfId="3" applyFont="1" applyFill="1" applyBorder="1" applyAlignment="1">
      <alignment horizontal="left" vertical="center"/>
    </xf>
    <xf numFmtId="0" fontId="20" fillId="3" borderId="5" xfId="3" applyFont="1" applyFill="1" applyBorder="1" applyAlignment="1">
      <alignment vertical="center"/>
    </xf>
    <xf numFmtId="4" fontId="21" fillId="0" borderId="41" xfId="3" applyNumberFormat="1" applyFont="1" applyFill="1" applyBorder="1" applyAlignment="1">
      <alignment horizontal="left"/>
    </xf>
    <xf numFmtId="4" fontId="21" fillId="0" borderId="0" xfId="3" applyNumberFormat="1" applyFont="1" applyFill="1" applyBorder="1" applyAlignment="1">
      <alignment horizontal="left"/>
    </xf>
    <xf numFmtId="0" fontId="23" fillId="0" borderId="0" xfId="3" applyFont="1" applyFill="1" applyBorder="1" applyAlignment="1">
      <alignment horizontal="left" vertical="center" wrapText="1"/>
    </xf>
    <xf numFmtId="0" fontId="21" fillId="0" borderId="0" xfId="3" applyFont="1" applyBorder="1"/>
    <xf numFmtId="0" fontId="21" fillId="0" borderId="0" xfId="3" applyFont="1" applyFill="1" applyBorder="1"/>
    <xf numFmtId="0" fontId="22" fillId="0" borderId="61" xfId="3" applyFont="1" applyFill="1" applyBorder="1" applyAlignment="1"/>
    <xf numFmtId="0" fontId="22" fillId="0" borderId="0" xfId="3" applyFont="1" applyFill="1" applyBorder="1" applyAlignment="1"/>
    <xf numFmtId="0" fontId="23" fillId="0" borderId="41" xfId="3" applyFont="1" applyFill="1" applyBorder="1" applyAlignment="1"/>
    <xf numFmtId="0" fontId="23" fillId="0" borderId="0" xfId="3" applyFont="1" applyFill="1" applyBorder="1" applyAlignment="1"/>
    <xf numFmtId="0" fontId="23" fillId="0" borderId="41" xfId="3" applyFont="1" applyFill="1" applyBorder="1" applyAlignment="1">
      <alignment vertical="center" wrapText="1"/>
    </xf>
    <xf numFmtId="0" fontId="23" fillId="0" borderId="0" xfId="3" applyFont="1" applyFill="1" applyBorder="1" applyAlignment="1">
      <alignment vertical="center" wrapText="1"/>
    </xf>
    <xf numFmtId="4" fontId="34" fillId="0" borderId="32" xfId="3" applyNumberFormat="1" applyFont="1" applyBorder="1" applyAlignment="1">
      <alignment horizontal="right" vertical="center" wrapText="1"/>
    </xf>
    <xf numFmtId="4" fontId="34" fillId="0" borderId="3" xfId="3" applyNumberFormat="1" applyFont="1" applyBorder="1" applyAlignment="1">
      <alignment horizontal="right" vertical="center" wrapText="1"/>
    </xf>
    <xf numFmtId="4" fontId="34" fillId="0" borderId="35" xfId="3" applyNumberFormat="1" applyFont="1" applyBorder="1" applyAlignment="1">
      <alignment horizontal="right" vertical="center" wrapText="1"/>
    </xf>
    <xf numFmtId="4" fontId="20" fillId="4" borderId="5" xfId="3" applyNumberFormat="1" applyFont="1" applyFill="1" applyBorder="1" applyAlignment="1">
      <alignment vertical="center"/>
    </xf>
    <xf numFmtId="4" fontId="21" fillId="0" borderId="0" xfId="3" applyNumberFormat="1" applyFont="1" applyFill="1"/>
    <xf numFmtId="0" fontId="22" fillId="5" borderId="5" xfId="3" applyFont="1" applyFill="1" applyBorder="1" applyAlignment="1">
      <alignment horizontal="center"/>
    </xf>
    <xf numFmtId="4" fontId="22" fillId="5" borderId="5" xfId="3" applyNumberFormat="1" applyFont="1" applyFill="1" applyBorder="1" applyAlignment="1">
      <alignment horizontal="center"/>
    </xf>
    <xf numFmtId="14" fontId="21" fillId="0" borderId="32" xfId="3" applyNumberFormat="1" applyFont="1" applyBorder="1" applyAlignment="1">
      <alignment horizontal="center" vertical="center" wrapText="1"/>
    </xf>
    <xf numFmtId="4" fontId="21" fillId="0" borderId="33" xfId="3" applyNumberFormat="1" applyFont="1" applyBorder="1" applyAlignment="1">
      <alignment vertical="center" wrapText="1"/>
    </xf>
    <xf numFmtId="14" fontId="21" fillId="0" borderId="38" xfId="3" applyNumberFormat="1" applyFont="1" applyBorder="1" applyAlignment="1">
      <alignment horizontal="center" vertical="center" wrapText="1"/>
    </xf>
    <xf numFmtId="4" fontId="21" fillId="0" borderId="57" xfId="3" applyNumberFormat="1" applyFont="1" applyBorder="1" applyAlignment="1">
      <alignment vertical="center" wrapText="1"/>
    </xf>
    <xf numFmtId="14" fontId="21" fillId="0" borderId="4" xfId="3" applyNumberFormat="1" applyFont="1" applyBorder="1" applyAlignment="1">
      <alignment horizontal="center" vertical="center" wrapText="1"/>
    </xf>
    <xf numFmtId="4" fontId="21" fillId="0" borderId="16" xfId="3" applyNumberFormat="1" applyFont="1" applyBorder="1" applyAlignment="1">
      <alignment vertical="center" wrapText="1"/>
    </xf>
    <xf numFmtId="4" fontId="41" fillId="5" borderId="5" xfId="0" applyFont="1" applyFill="1" applyBorder="1" applyAlignment="1">
      <alignment horizontal="center"/>
    </xf>
    <xf numFmtId="4" fontId="39" fillId="4" borderId="5" xfId="0" applyFont="1" applyFill="1" applyBorder="1" applyAlignment="1">
      <alignment horizontal="left" vertical="center"/>
    </xf>
    <xf numFmtId="4" fontId="41" fillId="5" borderId="5" xfId="0" applyNumberFormat="1" applyFont="1" applyFill="1" applyBorder="1" applyAlignment="1">
      <alignment horizontal="center"/>
    </xf>
    <xf numFmtId="4" fontId="22" fillId="5" borderId="5" xfId="0" applyFont="1" applyFill="1" applyBorder="1" applyAlignment="1">
      <alignment horizontal="center"/>
    </xf>
    <xf numFmtId="4" fontId="20" fillId="2" borderId="5" xfId="0" applyFont="1" applyFill="1" applyBorder="1" applyAlignment="1">
      <alignment horizontal="left" vertical="center"/>
    </xf>
    <xf numFmtId="4" fontId="22" fillId="5" borderId="5" xfId="0" applyNumberFormat="1" applyFont="1" applyFill="1" applyBorder="1" applyAlignment="1">
      <alignment horizontal="center"/>
    </xf>
    <xf numFmtId="4" fontId="41" fillId="5" borderId="5" xfId="0" applyNumberFormat="1" applyFont="1" applyFill="1" applyBorder="1" applyAlignment="1">
      <alignment horizontal="center"/>
    </xf>
    <xf numFmtId="4" fontId="41" fillId="5" borderId="5" xfId="0" applyFont="1" applyFill="1" applyBorder="1" applyAlignment="1">
      <alignment horizontal="center"/>
    </xf>
    <xf numFmtId="4" fontId="39" fillId="4" borderId="5" xfId="0" applyFont="1" applyFill="1" applyBorder="1" applyAlignment="1">
      <alignment horizontal="left" vertical="center"/>
    </xf>
    <xf numFmtId="4" fontId="40" fillId="0" borderId="0" xfId="0" applyFont="1" applyBorder="1" applyAlignment="1">
      <alignment horizontal="left" vertical="center" wrapText="1"/>
    </xf>
    <xf numFmtId="4" fontId="43" fillId="0" borderId="41" xfId="0" applyFont="1" applyFill="1" applyBorder="1" applyAlignment="1">
      <alignment vertical="center" wrapText="1"/>
    </xf>
    <xf numFmtId="4" fontId="39" fillId="0" borderId="5" xfId="0" applyNumberFormat="1" applyFont="1" applyBorder="1" applyAlignment="1">
      <alignment vertical="center"/>
    </xf>
    <xf numFmtId="4" fontId="40" fillId="0" borderId="35" xfId="0" applyFont="1" applyBorder="1" applyAlignment="1">
      <alignment vertical="center"/>
    </xf>
    <xf numFmtId="0" fontId="40" fillId="0" borderId="35" xfId="0" applyNumberFormat="1" applyFont="1" applyBorder="1" applyAlignment="1">
      <alignment vertical="center"/>
    </xf>
    <xf numFmtId="167" fontId="40" fillId="0" borderId="32" xfId="0" applyNumberFormat="1" applyFont="1" applyBorder="1" applyAlignment="1">
      <alignment horizontal="center" vertical="center" wrapText="1"/>
    </xf>
    <xf numFmtId="4" fontId="43" fillId="0" borderId="41" xfId="0" applyFont="1" applyFill="1" applyBorder="1" applyAlignment="1">
      <alignment wrapText="1"/>
    </xf>
    <xf numFmtId="4" fontId="43" fillId="0" borderId="0" xfId="0" applyFont="1" applyFill="1" applyBorder="1" applyAlignment="1">
      <alignment wrapText="1"/>
    </xf>
    <xf numFmtId="0" fontId="40" fillId="0" borderId="0" xfId="5" applyFont="1"/>
    <xf numFmtId="0" fontId="39" fillId="0" borderId="0" xfId="5" applyFont="1" applyAlignment="1">
      <alignment horizontal="center"/>
    </xf>
    <xf numFmtId="4" fontId="40" fillId="0" borderId="0" xfId="5" applyNumberFormat="1" applyFont="1" applyAlignment="1"/>
    <xf numFmtId="4" fontId="40" fillId="0" borderId="0" xfId="5" applyNumberFormat="1" applyFont="1"/>
    <xf numFmtId="4" fontId="41" fillId="5" borderId="5" xfId="5" applyNumberFormat="1" applyFont="1" applyFill="1" applyBorder="1" applyAlignment="1">
      <alignment horizontal="center"/>
    </xf>
    <xf numFmtId="0" fontId="41" fillId="5" borderId="5" xfId="5" applyFont="1" applyFill="1" applyBorder="1" applyAlignment="1">
      <alignment horizontal="center"/>
    </xf>
    <xf numFmtId="4" fontId="40" fillId="0" borderId="32" xfId="5" applyNumberFormat="1" applyFont="1" applyBorder="1" applyAlignment="1">
      <alignment vertical="center"/>
    </xf>
    <xf numFmtId="0" fontId="39" fillId="0" borderId="3" xfId="5" applyFont="1" applyBorder="1" applyAlignment="1">
      <alignment vertical="center"/>
    </xf>
    <xf numFmtId="0" fontId="39" fillId="0" borderId="35" xfId="5" applyFont="1" applyBorder="1" applyAlignment="1">
      <alignment vertical="center"/>
    </xf>
    <xf numFmtId="4" fontId="39" fillId="4" borderId="32" xfId="5" applyNumberFormat="1" applyFont="1" applyFill="1" applyBorder="1" applyAlignment="1">
      <alignment vertical="center"/>
    </xf>
    <xf numFmtId="4" fontId="39" fillId="4" borderId="3" xfId="5" applyNumberFormat="1" applyFont="1" applyFill="1" applyBorder="1" applyAlignment="1">
      <alignment vertical="center"/>
    </xf>
    <xf numFmtId="0" fontId="39" fillId="4" borderId="2" xfId="5" applyFont="1" applyFill="1" applyBorder="1" applyAlignment="1">
      <alignment vertical="center"/>
    </xf>
    <xf numFmtId="4" fontId="39" fillId="0" borderId="2" xfId="5" applyNumberFormat="1" applyFont="1" applyBorder="1" applyAlignment="1">
      <alignment vertical="center"/>
    </xf>
    <xf numFmtId="4" fontId="39" fillId="0" borderId="3" xfId="5" applyNumberFormat="1" applyFont="1" applyFill="1" applyBorder="1" applyAlignment="1">
      <alignment horizontal="right" vertical="center"/>
    </xf>
    <xf numFmtId="0" fontId="40" fillId="0" borderId="2" xfId="5" applyNumberFormat="1" applyFont="1" applyBorder="1" applyAlignment="1">
      <alignment vertical="center"/>
    </xf>
    <xf numFmtId="0" fontId="39" fillId="4" borderId="5" xfId="5" applyFont="1" applyFill="1" applyBorder="1" applyAlignment="1">
      <alignment vertical="center"/>
    </xf>
    <xf numFmtId="4" fontId="39" fillId="4" borderId="5" xfId="5" applyNumberFormat="1" applyFont="1" applyFill="1" applyBorder="1" applyAlignment="1">
      <alignment vertical="center"/>
    </xf>
    <xf numFmtId="4" fontId="40" fillId="0" borderId="38" xfId="5" applyNumberFormat="1" applyFont="1" applyBorder="1" applyAlignment="1">
      <alignment vertical="center"/>
    </xf>
    <xf numFmtId="4" fontId="40" fillId="0" borderId="32" xfId="5" applyNumberFormat="1" applyFont="1" applyBorder="1" applyAlignment="1">
      <alignment vertical="center" wrapText="1"/>
    </xf>
    <xf numFmtId="4" fontId="40" fillId="0" borderId="3" xfId="5" applyNumberFormat="1" applyFont="1" applyBorder="1" applyAlignment="1">
      <alignment vertical="center" wrapText="1"/>
    </xf>
    <xf numFmtId="0" fontId="43" fillId="0" borderId="32" xfId="5" applyFont="1" applyBorder="1" applyAlignment="1">
      <alignment vertical="center"/>
    </xf>
    <xf numFmtId="0" fontId="39" fillId="7" borderId="2" xfId="5" applyFont="1" applyFill="1" applyBorder="1" applyAlignment="1">
      <alignment vertical="center"/>
    </xf>
    <xf numFmtId="0" fontId="40" fillId="0" borderId="0" xfId="5" applyFont="1" applyFill="1"/>
    <xf numFmtId="4" fontId="40" fillId="0" borderId="0" xfId="5" applyNumberFormat="1" applyFont="1" applyFill="1" applyAlignment="1"/>
    <xf numFmtId="0" fontId="39" fillId="0" borderId="0" xfId="5" applyFont="1" applyFill="1" applyBorder="1" applyAlignment="1">
      <alignment vertical="center"/>
    </xf>
    <xf numFmtId="4" fontId="39" fillId="0" borderId="35" xfId="5" applyNumberFormat="1" applyFont="1" applyBorder="1" applyAlignment="1">
      <alignment vertical="center"/>
    </xf>
    <xf numFmtId="0" fontId="39" fillId="4" borderId="5" xfId="5" applyFont="1" applyFill="1" applyBorder="1" applyAlignment="1">
      <alignment horizontal="left" vertical="center"/>
    </xf>
    <xf numFmtId="0" fontId="39" fillId="7" borderId="5" xfId="5" applyFont="1" applyFill="1" applyBorder="1" applyAlignment="1">
      <alignment vertical="center"/>
    </xf>
    <xf numFmtId="4" fontId="40" fillId="0" borderId="41" xfId="5" applyNumberFormat="1" applyFont="1" applyFill="1" applyBorder="1" applyAlignment="1">
      <alignment horizontal="left"/>
    </xf>
    <xf numFmtId="4" fontId="40" fillId="0" borderId="0" xfId="5" applyNumberFormat="1" applyFont="1" applyFill="1" applyBorder="1" applyAlignment="1">
      <alignment horizontal="left"/>
    </xf>
    <xf numFmtId="0" fontId="43" fillId="0" borderId="0" xfId="5" applyFont="1" applyFill="1" applyBorder="1" applyAlignment="1">
      <alignment horizontal="left" vertical="center" wrapText="1"/>
    </xf>
    <xf numFmtId="0" fontId="40" fillId="0" borderId="0" xfId="5" applyFont="1" applyBorder="1"/>
    <xf numFmtId="0" fontId="40" fillId="0" borderId="0" xfId="5" applyFont="1" applyFill="1" applyBorder="1"/>
    <xf numFmtId="0" fontId="41" fillId="0" borderId="61" xfId="5" applyFont="1" applyFill="1" applyBorder="1" applyAlignment="1"/>
    <xf numFmtId="0" fontId="41" fillId="0" borderId="0" xfId="5" applyFont="1" applyFill="1" applyBorder="1" applyAlignment="1"/>
    <xf numFmtId="0" fontId="43" fillId="0" borderId="41" xfId="5" applyFont="1" applyFill="1" applyBorder="1" applyAlignment="1"/>
    <xf numFmtId="0" fontId="43" fillId="0" borderId="0" xfId="5" applyFont="1" applyFill="1" applyBorder="1" applyAlignment="1"/>
    <xf numFmtId="0" fontId="43" fillId="0" borderId="41" xfId="5" applyFont="1" applyFill="1" applyBorder="1" applyAlignment="1">
      <alignment vertical="center" wrapText="1"/>
    </xf>
    <xf numFmtId="0" fontId="43" fillId="0" borderId="0" xfId="5" applyFont="1" applyFill="1" applyBorder="1" applyAlignment="1">
      <alignment vertical="center" wrapText="1"/>
    </xf>
    <xf numFmtId="49" fontId="40" fillId="0" borderId="32" xfId="5" applyNumberFormat="1" applyFont="1" applyBorder="1" applyAlignment="1">
      <alignment horizontal="center" vertical="center" wrapText="1"/>
    </xf>
    <xf numFmtId="0" fontId="40" fillId="0" borderId="0" xfId="5" applyFont="1" applyBorder="1" applyAlignment="1">
      <alignment horizontal="left" vertical="center" wrapText="1"/>
    </xf>
    <xf numFmtId="49" fontId="40" fillId="0" borderId="3" xfId="5" applyNumberFormat="1" applyFont="1" applyBorder="1" applyAlignment="1">
      <alignment horizontal="center" vertical="center" wrapText="1"/>
    </xf>
    <xf numFmtId="4" fontId="40" fillId="0" borderId="32" xfId="0" applyFont="1" applyBorder="1" applyAlignment="1">
      <alignment vertical="center"/>
    </xf>
    <xf numFmtId="49" fontId="21" fillId="0" borderId="2"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4" fontId="21" fillId="0" borderId="2" xfId="0" applyNumberFormat="1" applyFont="1" applyFill="1" applyBorder="1" applyAlignment="1">
      <alignment horizontal="right" vertical="center" wrapText="1"/>
    </xf>
    <xf numFmtId="49" fontId="21" fillId="0" borderId="3" xfId="0" applyNumberFormat="1" applyFont="1" applyFill="1" applyBorder="1" applyAlignment="1">
      <alignment horizontal="center" vertical="center" wrapText="1"/>
    </xf>
    <xf numFmtId="14" fontId="21" fillId="0" borderId="3" xfId="0" applyNumberFormat="1" applyFont="1" applyFill="1" applyBorder="1" applyAlignment="1">
      <alignment horizontal="center" vertical="center" wrapText="1"/>
    </xf>
    <xf numFmtId="4" fontId="21" fillId="0" borderId="3" xfId="0" applyNumberFormat="1" applyFont="1" applyFill="1" applyBorder="1" applyAlignment="1">
      <alignment horizontal="right" vertical="center" wrapText="1"/>
    </xf>
    <xf numFmtId="14" fontId="28" fillId="0" borderId="3" xfId="0" applyNumberFormat="1" applyFont="1" applyBorder="1" applyAlignment="1">
      <alignment horizontal="center" vertical="center" wrapText="1"/>
    </xf>
    <xf numFmtId="4" fontId="22" fillId="5" borderId="5" xfId="0" applyFont="1" applyFill="1" applyBorder="1" applyAlignment="1">
      <alignment horizontal="center"/>
    </xf>
    <xf numFmtId="4" fontId="22" fillId="5" borderId="5" xfId="0" applyNumberFormat="1" applyFont="1" applyFill="1" applyBorder="1" applyAlignment="1">
      <alignment horizontal="center"/>
    </xf>
    <xf numFmtId="4" fontId="20" fillId="2" borderId="5" xfId="0" applyFont="1" applyFill="1" applyBorder="1" applyAlignment="1">
      <alignment horizontal="left" vertical="center"/>
    </xf>
    <xf numFmtId="4" fontId="40" fillId="0" borderId="0" xfId="0" applyNumberFormat="1" applyFont="1" applyBorder="1" applyAlignment="1"/>
    <xf numFmtId="4" fontId="40" fillId="0" borderId="3" xfId="0" applyNumberFormat="1" applyFont="1" applyBorder="1" applyAlignment="1"/>
    <xf numFmtId="4" fontId="40" fillId="4" borderId="3" xfId="0" applyNumberFormat="1" applyFont="1" applyFill="1" applyBorder="1" applyAlignment="1"/>
    <xf numFmtId="4" fontId="50" fillId="0" borderId="3" xfId="0" applyFont="1" applyBorder="1" applyAlignment="1"/>
    <xf numFmtId="4" fontId="40" fillId="4" borderId="3" xfId="0" applyFont="1" applyFill="1" applyBorder="1" applyAlignment="1"/>
    <xf numFmtId="4" fontId="50" fillId="4" borderId="3" xfId="0" applyFont="1" applyFill="1" applyBorder="1" applyAlignment="1"/>
    <xf numFmtId="4" fontId="40" fillId="0" borderId="3" xfId="0" applyFont="1" applyFill="1" applyBorder="1" applyAlignment="1"/>
    <xf numFmtId="4" fontId="50" fillId="0" borderId="3" xfId="0" applyFont="1" applyFill="1" applyBorder="1" applyAlignment="1"/>
    <xf numFmtId="4" fontId="40" fillId="0" borderId="3" xfId="0" applyNumberFormat="1" applyFont="1" applyFill="1" applyBorder="1" applyAlignment="1"/>
    <xf numFmtId="4" fontId="32" fillId="0" borderId="0" xfId="0" applyFont="1" applyAlignment="1"/>
    <xf numFmtId="4" fontId="52" fillId="0" borderId="0" xfId="0" applyFont="1" applyAlignment="1"/>
    <xf numFmtId="4" fontId="48" fillId="0" borderId="0" xfId="0" applyFont="1" applyAlignment="1"/>
    <xf numFmtId="4" fontId="53" fillId="0" borderId="0" xfId="0" applyFont="1" applyAlignment="1"/>
    <xf numFmtId="4" fontId="52" fillId="0" borderId="32" xfId="0" applyNumberFormat="1" applyFont="1" applyBorder="1" applyAlignment="1">
      <alignment horizontal="right" vertical="center" wrapText="1"/>
    </xf>
    <xf numFmtId="4" fontId="32" fillId="0" borderId="32" xfId="0" applyNumberFormat="1" applyFont="1" applyBorder="1" applyAlignment="1">
      <alignment horizontal="right" vertical="center" wrapText="1"/>
    </xf>
    <xf numFmtId="4" fontId="52" fillId="0" borderId="35" xfId="0" applyNumberFormat="1" applyFont="1" applyBorder="1" applyAlignment="1">
      <alignment horizontal="right" vertical="center" wrapText="1"/>
    </xf>
    <xf numFmtId="4" fontId="52" fillId="0" borderId="3" xfId="0" applyNumberFormat="1" applyFont="1" applyBorder="1" applyAlignment="1">
      <alignment horizontal="right" vertical="center" wrapText="1"/>
    </xf>
    <xf numFmtId="4" fontId="32" fillId="0" borderId="3" xfId="0" applyNumberFormat="1" applyFont="1" applyBorder="1" applyAlignment="1">
      <alignment horizontal="right" vertical="center" wrapText="1"/>
    </xf>
    <xf numFmtId="4" fontId="32" fillId="0" borderId="35" xfId="0" applyNumberFormat="1" applyFont="1" applyBorder="1" applyAlignment="1">
      <alignment horizontal="right" vertical="center" wrapText="1"/>
    </xf>
    <xf numFmtId="4" fontId="39" fillId="0" borderId="0" xfId="0" applyFont="1" applyFill="1" applyAlignment="1">
      <alignment horizontal="left"/>
    </xf>
    <xf numFmtId="4" fontId="40" fillId="0" borderId="32" xfId="0" applyFont="1" applyFill="1" applyBorder="1" applyAlignment="1"/>
    <xf numFmtId="4" fontId="39" fillId="0" borderId="3" xfId="0" applyFont="1" applyBorder="1" applyAlignment="1"/>
    <xf numFmtId="4" fontId="13" fillId="0" borderId="33" xfId="0" applyNumberFormat="1" applyFont="1" applyBorder="1" applyAlignment="1">
      <alignment vertical="center" wrapText="1"/>
    </xf>
    <xf numFmtId="4" fontId="40" fillId="0" borderId="33" xfId="0" applyNumberFormat="1" applyFont="1" applyBorder="1" applyAlignment="1">
      <alignment vertical="center" wrapText="1"/>
    </xf>
    <xf numFmtId="14" fontId="40" fillId="0" borderId="78" xfId="0" applyNumberFormat="1" applyFont="1" applyBorder="1" applyAlignment="1">
      <alignment horizontal="center" vertical="center" wrapText="1"/>
    </xf>
    <xf numFmtId="4" fontId="40" fillId="0" borderId="79" xfId="0" applyNumberFormat="1" applyFont="1" applyBorder="1" applyAlignment="1">
      <alignment vertical="center" wrapText="1"/>
    </xf>
    <xf numFmtId="14" fontId="13" fillId="11" borderId="32" xfId="0" applyNumberFormat="1" applyFont="1" applyFill="1" applyBorder="1" applyAlignment="1">
      <alignment horizontal="center" vertical="center" wrapText="1"/>
    </xf>
    <xf numFmtId="4" fontId="13" fillId="11" borderId="33" xfId="0" applyNumberFormat="1" applyFont="1" applyFill="1" applyBorder="1" applyAlignment="1">
      <alignment vertical="center" wrapText="1"/>
    </xf>
    <xf numFmtId="14" fontId="40" fillId="11" borderId="32" xfId="0" applyNumberFormat="1" applyFont="1" applyFill="1" applyBorder="1" applyAlignment="1">
      <alignment horizontal="center" vertical="center" wrapText="1"/>
    </xf>
    <xf numFmtId="4" fontId="40" fillId="11" borderId="33" xfId="0" applyNumberFormat="1" applyFont="1" applyFill="1" applyBorder="1" applyAlignment="1">
      <alignment vertical="center" wrapText="1"/>
    </xf>
    <xf numFmtId="14" fontId="13" fillId="0" borderId="32" xfId="0" applyNumberFormat="1" applyFont="1" applyFill="1" applyBorder="1" applyAlignment="1">
      <alignment horizontal="center" vertical="center" wrapText="1"/>
    </xf>
    <xf numFmtId="14" fontId="40" fillId="0" borderId="32" xfId="0" applyNumberFormat="1" applyFont="1" applyFill="1" applyBorder="1" applyAlignment="1">
      <alignment horizontal="center" vertical="center" wrapText="1"/>
    </xf>
    <xf numFmtId="4" fontId="13" fillId="0" borderId="33" xfId="0" applyNumberFormat="1" applyFont="1" applyFill="1" applyBorder="1" applyAlignment="1">
      <alignment vertical="center" wrapText="1"/>
    </xf>
    <xf numFmtId="4" fontId="21" fillId="0" borderId="35" xfId="0" applyFont="1" applyBorder="1" applyAlignment="1">
      <alignment vertical="center"/>
    </xf>
    <xf numFmtId="0" fontId="21" fillId="0" borderId="35" xfId="0" applyNumberFormat="1" applyFont="1" applyBorder="1" applyAlignment="1">
      <alignment vertical="center"/>
    </xf>
    <xf numFmtId="4" fontId="20" fillId="2" borderId="7" xfId="0" applyNumberFormat="1" applyFont="1" applyFill="1" applyBorder="1" applyAlignment="1">
      <alignment vertical="center"/>
    </xf>
    <xf numFmtId="14" fontId="52" fillId="0" borderId="2"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14" fontId="52" fillId="0" borderId="32" xfId="0" applyNumberFormat="1" applyFont="1" applyBorder="1" applyAlignment="1">
      <alignment horizontal="center" vertical="center" wrapText="1"/>
    </xf>
    <xf numFmtId="4" fontId="40" fillId="0" borderId="0" xfId="0" applyFont="1" applyAlignment="1">
      <alignment horizontal="center"/>
    </xf>
    <xf numFmtId="14" fontId="52" fillId="0" borderId="3" xfId="0" applyNumberFormat="1" applyFont="1" applyFill="1" applyBorder="1" applyAlignment="1">
      <alignment horizontal="center" vertical="center" wrapText="1"/>
    </xf>
    <xf numFmtId="14" fontId="52" fillId="0" borderId="32" xfId="0" applyNumberFormat="1" applyFont="1" applyFill="1" applyBorder="1" applyAlignment="1">
      <alignment horizontal="center" vertical="center" wrapText="1"/>
    </xf>
    <xf numFmtId="4" fontId="52" fillId="0" borderId="3" xfId="0" applyFont="1" applyBorder="1" applyAlignment="1">
      <alignment horizontal="center" vertical="top" wrapText="1"/>
    </xf>
    <xf numFmtId="4" fontId="52" fillId="0" borderId="0" xfId="0" applyFont="1" applyFill="1" applyBorder="1" applyAlignment="1">
      <alignment horizontal="left" vertical="center" wrapText="1"/>
    </xf>
    <xf numFmtId="14" fontId="52" fillId="0" borderId="0" xfId="0" applyNumberFormat="1" applyFont="1" applyFill="1" applyBorder="1" applyAlignment="1">
      <alignment horizontal="center" vertical="center" wrapText="1"/>
    </xf>
    <xf numFmtId="4" fontId="52" fillId="0" borderId="0" xfId="0" applyNumberFormat="1" applyFont="1" applyFill="1" applyBorder="1" applyAlignment="1">
      <alignment horizontal="right" vertical="center" wrapText="1"/>
    </xf>
    <xf numFmtId="4" fontId="52" fillId="0" borderId="2" xfId="0" applyNumberFormat="1" applyFont="1" applyBorder="1" applyAlignment="1">
      <alignment vertical="center" wrapText="1"/>
    </xf>
    <xf numFmtId="4" fontId="52" fillId="0" borderId="32" xfId="0" applyNumberFormat="1" applyFont="1" applyBorder="1" applyAlignment="1">
      <alignment vertical="center" wrapText="1"/>
    </xf>
    <xf numFmtId="4" fontId="52" fillId="0" borderId="3" xfId="0" applyNumberFormat="1" applyFont="1" applyBorder="1" applyAlignment="1">
      <alignment vertical="center" wrapText="1"/>
    </xf>
    <xf numFmtId="4" fontId="52" fillId="0" borderId="3" xfId="0" applyNumberFormat="1" applyFont="1" applyFill="1" applyBorder="1" applyAlignment="1">
      <alignment horizontal="right" vertical="center" wrapText="1"/>
    </xf>
    <xf numFmtId="4" fontId="52" fillId="0" borderId="32" xfId="0" applyNumberFormat="1" applyFont="1" applyFill="1" applyBorder="1" applyAlignment="1">
      <alignment vertical="center" wrapText="1"/>
    </xf>
    <xf numFmtId="4" fontId="40" fillId="0" borderId="0" xfId="0" applyNumberFormat="1" applyFont="1" applyBorder="1" applyAlignment="1">
      <alignment horizontal="center" vertical="center" wrapText="1"/>
    </xf>
    <xf numFmtId="4" fontId="40" fillId="0" borderId="0" xfId="0" applyNumberFormat="1" applyFont="1" applyBorder="1" applyAlignment="1">
      <alignment vertical="center" wrapText="1"/>
    </xf>
    <xf numFmtId="0" fontId="40" fillId="0" borderId="2" xfId="0" applyNumberFormat="1" applyFont="1" applyBorder="1" applyAlignment="1">
      <alignment horizontal="center" vertical="center"/>
    </xf>
    <xf numFmtId="0" fontId="40" fillId="0" borderId="35" xfId="0" applyNumberFormat="1" applyFont="1" applyBorder="1" applyAlignment="1">
      <alignment horizontal="center" vertical="center"/>
    </xf>
    <xf numFmtId="0" fontId="40" fillId="0" borderId="36" xfId="0" applyNumberFormat="1" applyFont="1" applyBorder="1" applyAlignment="1">
      <alignment horizontal="center" vertical="center"/>
    </xf>
    <xf numFmtId="4" fontId="21" fillId="12" borderId="26" xfId="0" applyFont="1" applyFill="1" applyBorder="1" applyAlignment="1">
      <alignment horizontal="left" vertical="center"/>
    </xf>
    <xf numFmtId="4" fontId="21" fillId="12" borderId="51" xfId="0" applyFont="1" applyFill="1" applyBorder="1" applyAlignment="1">
      <alignment horizontal="left" vertical="center"/>
    </xf>
    <xf numFmtId="4" fontId="21" fillId="12" borderId="27" xfId="0" applyFont="1" applyFill="1" applyBorder="1" applyAlignment="1">
      <alignment horizontal="left" vertical="center"/>
    </xf>
    <xf numFmtId="4" fontId="21" fillId="12" borderId="45" xfId="0" applyFont="1" applyFill="1" applyBorder="1" applyAlignment="1">
      <alignment horizontal="left" vertical="center"/>
    </xf>
    <xf numFmtId="4" fontId="27" fillId="12" borderId="45" xfId="0" applyFont="1" applyFill="1" applyBorder="1" applyAlignment="1">
      <alignment horizontal="left" vertical="center"/>
    </xf>
    <xf numFmtId="14" fontId="21" fillId="12" borderId="2" xfId="0" applyNumberFormat="1" applyFont="1" applyFill="1" applyBorder="1" applyAlignment="1">
      <alignment horizontal="center" vertical="center"/>
    </xf>
    <xf numFmtId="14" fontId="21" fillId="12" borderId="3" xfId="0" applyNumberFormat="1" applyFont="1" applyFill="1" applyBorder="1" applyAlignment="1">
      <alignment horizontal="center" vertical="center"/>
    </xf>
    <xf numFmtId="14" fontId="21" fillId="12" borderId="32" xfId="0" applyNumberFormat="1" applyFont="1" applyFill="1" applyBorder="1" applyAlignment="1">
      <alignment horizontal="center" vertical="center"/>
    </xf>
    <xf numFmtId="165" fontId="21" fillId="12" borderId="2" xfId="0" applyNumberFormat="1" applyFont="1" applyFill="1" applyBorder="1" applyAlignment="1">
      <alignment horizontal="right" vertical="center"/>
    </xf>
    <xf numFmtId="165" fontId="21" fillId="12" borderId="3" xfId="0" applyNumberFormat="1" applyFont="1" applyFill="1" applyBorder="1" applyAlignment="1">
      <alignment horizontal="right" vertical="center"/>
    </xf>
    <xf numFmtId="165" fontId="21" fillId="12" borderId="3" xfId="1" applyNumberFormat="1" applyFont="1" applyFill="1" applyBorder="1" applyAlignment="1">
      <alignment horizontal="right" vertical="center"/>
    </xf>
    <xf numFmtId="165" fontId="21" fillId="12" borderId="32" xfId="1" applyNumberFormat="1" applyFont="1" applyFill="1" applyBorder="1" applyAlignment="1">
      <alignment horizontal="right" vertical="center"/>
    </xf>
    <xf numFmtId="4" fontId="27" fillId="12" borderId="44" xfId="0" applyFont="1" applyFill="1" applyBorder="1" applyAlignment="1">
      <alignment horizontal="left" vertical="center"/>
    </xf>
    <xf numFmtId="4" fontId="22" fillId="13" borderId="5" xfId="0" applyFont="1" applyFill="1" applyBorder="1" applyAlignment="1">
      <alignment horizontal="center"/>
    </xf>
    <xf numFmtId="4" fontId="23" fillId="0" borderId="0" xfId="0" applyFont="1" applyAlignment="1"/>
    <xf numFmtId="4" fontId="41" fillId="5" borderId="5" xfId="0" applyFont="1" applyFill="1" applyBorder="1" applyAlignment="1">
      <alignment horizontal="center"/>
    </xf>
    <xf numFmtId="4" fontId="39" fillId="4" borderId="5" xfId="0" applyFont="1" applyFill="1" applyBorder="1" applyAlignment="1">
      <alignment horizontal="left" vertical="center"/>
    </xf>
    <xf numFmtId="4" fontId="13" fillId="0" borderId="3" xfId="0" applyFont="1" applyBorder="1" applyAlignment="1">
      <alignment horizontal="left" vertical="top" wrapText="1"/>
    </xf>
    <xf numFmtId="4" fontId="41" fillId="5" borderId="5" xfId="0" applyNumberFormat="1" applyFont="1" applyFill="1" applyBorder="1" applyAlignment="1">
      <alignment horizontal="center"/>
    </xf>
    <xf numFmtId="4" fontId="40" fillId="0" borderId="3" xfId="0" applyFont="1" applyBorder="1" applyAlignment="1">
      <alignment vertical="top"/>
    </xf>
    <xf numFmtId="4" fontId="40" fillId="0" borderId="3" xfId="0" applyFont="1" applyBorder="1" applyAlignment="1">
      <alignment horizontal="left" vertical="top" wrapText="1"/>
    </xf>
    <xf numFmtId="4" fontId="41" fillId="5" borderId="5" xfId="0" applyFont="1" applyFill="1" applyBorder="1" applyAlignment="1">
      <alignment horizontal="center"/>
    </xf>
    <xf numFmtId="4" fontId="41" fillId="5" borderId="5" xfId="0" applyNumberFormat="1" applyFont="1" applyFill="1" applyBorder="1" applyAlignment="1">
      <alignment horizontal="center"/>
    </xf>
    <xf numFmtId="4" fontId="39" fillId="4" borderId="5" xfId="0" applyFont="1" applyFill="1" applyBorder="1" applyAlignment="1">
      <alignment horizontal="left" vertical="center"/>
    </xf>
    <xf numFmtId="4" fontId="41" fillId="0" borderId="2" xfId="0" applyFont="1" applyFill="1" applyBorder="1" applyAlignment="1">
      <alignment horizontal="center"/>
    </xf>
    <xf numFmtId="4" fontId="41" fillId="0" borderId="2" xfId="0" applyNumberFormat="1" applyFont="1" applyFill="1" applyBorder="1" applyAlignment="1">
      <alignment horizontal="center"/>
    </xf>
    <xf numFmtId="14" fontId="40" fillId="14" borderId="3" xfId="0" applyNumberFormat="1" applyFont="1" applyFill="1" applyBorder="1" applyAlignment="1">
      <alignment horizontal="center" vertical="center" wrapText="1"/>
    </xf>
    <xf numFmtId="4" fontId="40" fillId="14" borderId="3" xfId="0" applyNumberFormat="1" applyFont="1" applyFill="1" applyBorder="1" applyAlignment="1">
      <alignment vertical="center" wrapText="1"/>
    </xf>
    <xf numFmtId="14" fontId="40" fillId="0" borderId="3" xfId="0" applyNumberFormat="1" applyFont="1" applyBorder="1" applyAlignment="1">
      <alignment horizontal="center"/>
    </xf>
    <xf numFmtId="14" fontId="40" fillId="14" borderId="3" xfId="0" applyNumberFormat="1" applyFont="1" applyFill="1" applyBorder="1" applyAlignment="1">
      <alignment horizontal="center"/>
    </xf>
    <xf numFmtId="4" fontId="40" fillId="14" borderId="3" xfId="0" applyNumberFormat="1" applyFont="1" applyFill="1" applyBorder="1" applyAlignment="1"/>
    <xf numFmtId="4" fontId="39" fillId="4" borderId="2" xfId="0" applyFont="1" applyFill="1" applyBorder="1" applyAlignment="1">
      <alignment horizontal="left" vertical="top"/>
    </xf>
    <xf numFmtId="4" fontId="41" fillId="0" borderId="2" xfId="0" applyFont="1" applyFill="1" applyBorder="1" applyAlignment="1">
      <alignment horizontal="center" vertical="top"/>
    </xf>
    <xf numFmtId="4" fontId="39" fillId="4" borderId="3" xfId="0" applyFont="1" applyFill="1" applyBorder="1" applyAlignment="1">
      <alignment horizontal="left" vertical="top" wrapText="1"/>
    </xf>
    <xf numFmtId="4" fontId="40" fillId="14" borderId="3" xfId="0" applyFont="1" applyFill="1" applyBorder="1" applyAlignment="1">
      <alignment horizontal="left" vertical="top" wrapText="1"/>
    </xf>
    <xf numFmtId="4" fontId="40" fillId="14" borderId="3" xfId="0" applyFont="1" applyFill="1" applyBorder="1" applyAlignment="1">
      <alignment vertical="top"/>
    </xf>
    <xf numFmtId="4" fontId="40" fillId="0" borderId="0" xfId="0" applyFont="1" applyAlignment="1">
      <alignment vertical="top"/>
    </xf>
    <xf numFmtId="4" fontId="40" fillId="0" borderId="27" xfId="0" applyFont="1" applyBorder="1" applyAlignment="1"/>
    <xf numFmtId="4" fontId="40" fillId="0" borderId="45" xfId="0" applyFont="1" applyBorder="1" applyAlignment="1"/>
    <xf numFmtId="4" fontId="40" fillId="0" borderId="44" xfId="0" applyFont="1" applyBorder="1" applyAlignment="1"/>
    <xf numFmtId="14" fontId="40" fillId="0" borderId="2" xfId="0" applyNumberFormat="1" applyFont="1" applyBorder="1" applyAlignment="1">
      <alignment horizontal="center" vertical="center" wrapText="1"/>
    </xf>
    <xf numFmtId="4" fontId="40" fillId="0" borderId="2" xfId="0" applyNumberFormat="1" applyFont="1" applyBorder="1" applyAlignment="1">
      <alignment vertical="center" wrapText="1"/>
    </xf>
    <xf numFmtId="3" fontId="29" fillId="0" borderId="31" xfId="0" applyNumberFormat="1" applyFont="1" applyFill="1" applyBorder="1">
      <alignment vertical="top"/>
    </xf>
    <xf numFmtId="3" fontId="29" fillId="0" borderId="17" xfId="0" applyNumberFormat="1" applyFont="1" applyFill="1" applyBorder="1">
      <alignment vertical="top"/>
    </xf>
    <xf numFmtId="3" fontId="29" fillId="0" borderId="15" xfId="0" applyNumberFormat="1" applyFont="1" applyFill="1" applyBorder="1">
      <alignment vertical="top"/>
    </xf>
    <xf numFmtId="14" fontId="40" fillId="4" borderId="3" xfId="0" applyNumberFormat="1" applyFont="1" applyFill="1" applyBorder="1" applyAlignment="1">
      <alignment horizontal="center"/>
    </xf>
    <xf numFmtId="14" fontId="40" fillId="0" borderId="3" xfId="0" applyNumberFormat="1" applyFont="1" applyFill="1" applyBorder="1" applyAlignment="1">
      <alignment horizontal="center"/>
    </xf>
    <xf numFmtId="4" fontId="40" fillId="4" borderId="3" xfId="0" applyNumberFormat="1" applyFont="1" applyFill="1" applyBorder="1" applyAlignment="1">
      <alignment horizontal="center"/>
    </xf>
    <xf numFmtId="4" fontId="40" fillId="0" borderId="3" xfId="0" applyFont="1" applyBorder="1" applyAlignment="1">
      <alignment horizontal="center"/>
    </xf>
    <xf numFmtId="4" fontId="40" fillId="4" borderId="3" xfId="0" applyFont="1" applyFill="1" applyBorder="1" applyAlignment="1">
      <alignment horizontal="center"/>
    </xf>
    <xf numFmtId="4" fontId="20" fillId="2" borderId="38" xfId="3" applyNumberFormat="1" applyFont="1" applyFill="1" applyBorder="1" applyAlignment="1">
      <alignment vertical="center"/>
    </xf>
    <xf numFmtId="4" fontId="20" fillId="2" borderId="63" xfId="3" applyNumberFormat="1" applyFont="1" applyFill="1" applyBorder="1" applyAlignment="1"/>
    <xf numFmtId="4" fontId="27" fillId="2" borderId="38" xfId="3" applyNumberFormat="1" applyFont="1" applyFill="1" applyBorder="1" applyAlignment="1">
      <alignment vertical="top"/>
    </xf>
    <xf numFmtId="4" fontId="39" fillId="4" borderId="0" xfId="0" applyFont="1" applyFill="1" applyBorder="1" applyAlignment="1">
      <alignment horizontal="left" vertical="center"/>
    </xf>
    <xf numFmtId="4" fontId="39" fillId="0" borderId="3" xfId="0" applyNumberFormat="1" applyFont="1" applyBorder="1" applyAlignment="1">
      <alignment vertical="center"/>
    </xf>
    <xf numFmtId="4" fontId="39" fillId="0" borderId="4" xfId="0" applyFont="1" applyBorder="1" applyAlignment="1">
      <alignment vertical="center"/>
    </xf>
    <xf numFmtId="4" fontId="39" fillId="0" borderId="4" xfId="0" applyNumberFormat="1" applyFont="1" applyBorder="1" applyAlignment="1">
      <alignment vertical="center"/>
    </xf>
    <xf numFmtId="3" fontId="7" fillId="0" borderId="17" xfId="4" applyFont="1" applyBorder="1" applyAlignment="1">
      <alignment horizontal="left"/>
    </xf>
    <xf numFmtId="3" fontId="7" fillId="0" borderId="18" xfId="4" applyFont="1" applyBorder="1" applyAlignment="1">
      <alignment horizontal="left"/>
    </xf>
    <xf numFmtId="3" fontId="7" fillId="0" borderId="17" xfId="4" applyFont="1" applyFill="1" applyBorder="1" applyAlignment="1">
      <alignment horizontal="left"/>
    </xf>
    <xf numFmtId="3" fontId="7" fillId="0" borderId="18" xfId="4" applyFont="1" applyFill="1" applyBorder="1" applyAlignment="1">
      <alignment horizontal="left"/>
    </xf>
    <xf numFmtId="0" fontId="39" fillId="0" borderId="2" xfId="5" applyFont="1" applyBorder="1" applyAlignment="1">
      <alignment vertical="center"/>
    </xf>
    <xf numFmtId="4" fontId="40" fillId="0" borderId="2" xfId="5" applyNumberFormat="1" applyFont="1" applyBorder="1" applyAlignment="1">
      <alignment vertical="center"/>
    </xf>
    <xf numFmtId="4" fontId="40" fillId="0" borderId="3" xfId="5" applyNumberFormat="1" applyFont="1" applyBorder="1" applyAlignment="1">
      <alignment vertical="center"/>
    </xf>
    <xf numFmtId="0" fontId="39" fillId="0" borderId="4" xfId="5" applyFont="1" applyBorder="1" applyAlignment="1">
      <alignment vertical="center"/>
    </xf>
    <xf numFmtId="4" fontId="40" fillId="0" borderId="4" xfId="5" applyNumberFormat="1" applyFont="1" applyBorder="1" applyAlignment="1">
      <alignment vertical="center"/>
    </xf>
    <xf numFmtId="0" fontId="40" fillId="0" borderId="41" xfId="5" applyFont="1" applyBorder="1"/>
    <xf numFmtId="4" fontId="21" fillId="0" borderId="41" xfId="0" applyFont="1" applyBorder="1" applyAlignment="1">
      <alignment horizontal="left" vertical="center" wrapText="1"/>
    </xf>
    <xf numFmtId="4" fontId="21" fillId="0" borderId="0" xfId="0" applyFont="1" applyBorder="1" applyAlignment="1">
      <alignment horizontal="left" vertical="center" wrapText="1"/>
    </xf>
    <xf numFmtId="4" fontId="16" fillId="0" borderId="41" xfId="0" applyFont="1" applyBorder="1" applyAlignment="1"/>
    <xf numFmtId="4" fontId="16" fillId="0" borderId="0" xfId="0" applyFont="1" applyBorder="1" applyAlignment="1"/>
    <xf numFmtId="4" fontId="54" fillId="0" borderId="3" xfId="0" applyFont="1" applyBorder="1" applyAlignment="1">
      <alignment horizontal="left" vertical="top" wrapText="1"/>
    </xf>
    <xf numFmtId="49" fontId="6" fillId="2" borderId="5" xfId="4" applyNumberFormat="1" applyFont="1" applyFill="1" applyBorder="1" applyAlignment="1">
      <alignment horizontal="center"/>
    </xf>
    <xf numFmtId="49" fontId="6" fillId="2" borderId="6" xfId="4" applyNumberFormat="1" applyFont="1" applyFill="1" applyBorder="1" applyAlignment="1">
      <alignment horizontal="center"/>
    </xf>
    <xf numFmtId="4" fontId="21" fillId="0" borderId="3" xfId="0" applyFont="1" applyBorder="1" applyAlignment="1">
      <alignment horizontal="left" vertical="top" wrapText="1"/>
    </xf>
    <xf numFmtId="4" fontId="20" fillId="2" borderId="37" xfId="0" applyFont="1" applyFill="1" applyBorder="1" applyAlignment="1">
      <alignment horizontal="left" vertical="center"/>
    </xf>
    <xf numFmtId="4" fontId="20" fillId="2" borderId="43" xfId="0" applyFont="1" applyFill="1" applyBorder="1" applyAlignment="1">
      <alignment horizontal="left" vertical="center"/>
    </xf>
    <xf numFmtId="4" fontId="13" fillId="0" borderId="27" xfId="0" applyFont="1" applyBorder="1" applyAlignment="1">
      <alignment horizontal="left" vertical="top" wrapText="1"/>
    </xf>
    <xf numFmtId="4" fontId="23" fillId="0" borderId="45" xfId="0" applyFont="1" applyBorder="1" applyAlignment="1">
      <alignment horizontal="left" vertical="top" wrapText="1"/>
    </xf>
    <xf numFmtId="4" fontId="23" fillId="0" borderId="44" xfId="0" applyFont="1" applyBorder="1" applyAlignment="1">
      <alignment horizontal="left" vertical="top" wrapText="1"/>
    </xf>
    <xf numFmtId="4" fontId="20" fillId="9" borderId="0" xfId="0" applyFont="1" applyFill="1" applyAlignment="1">
      <alignment horizontal="left"/>
    </xf>
    <xf numFmtId="4" fontId="22" fillId="5" borderId="12" xfId="0" applyFont="1" applyFill="1" applyBorder="1" applyAlignment="1">
      <alignment horizontal="center"/>
    </xf>
    <xf numFmtId="4" fontId="22" fillId="5" borderId="54" xfId="0" applyFont="1" applyFill="1" applyBorder="1" applyAlignment="1">
      <alignment horizontal="center"/>
    </xf>
    <xf numFmtId="4" fontId="22" fillId="5" borderId="5" xfId="0" applyFont="1" applyFill="1" applyBorder="1" applyAlignment="1">
      <alignment horizontal="center"/>
    </xf>
    <xf numFmtId="4" fontId="20" fillId="2" borderId="5" xfId="0" applyFont="1" applyFill="1" applyBorder="1" applyAlignment="1">
      <alignment horizontal="left" vertical="center"/>
    </xf>
    <xf numFmtId="4" fontId="21" fillId="3" borderId="62" xfId="0" applyFont="1" applyFill="1" applyBorder="1" applyAlignment="1">
      <alignment horizontal="left"/>
    </xf>
    <xf numFmtId="4" fontId="21" fillId="3" borderId="63" xfId="0" applyFont="1" applyFill="1" applyBorder="1" applyAlignment="1">
      <alignment horizontal="left"/>
    </xf>
    <xf numFmtId="4" fontId="31" fillId="0" borderId="45" xfId="0" applyFont="1" applyBorder="1" applyAlignment="1">
      <alignment horizontal="left" vertical="top" wrapText="1"/>
    </xf>
    <xf numFmtId="4" fontId="31" fillId="0" borderId="44" xfId="0" applyFont="1" applyBorder="1" applyAlignment="1">
      <alignment horizontal="left" vertical="top" wrapText="1"/>
    </xf>
    <xf numFmtId="4" fontId="13" fillId="0" borderId="28" xfId="0" applyFont="1" applyBorder="1" applyAlignment="1">
      <alignment horizontal="left" vertical="top" wrapText="1"/>
    </xf>
    <xf numFmtId="4" fontId="31" fillId="0" borderId="46" xfId="0" applyFont="1" applyBorder="1" applyAlignment="1">
      <alignment horizontal="left" vertical="top" wrapText="1"/>
    </xf>
    <xf numFmtId="4" fontId="31" fillId="0" borderId="47" xfId="0" applyFont="1" applyBorder="1" applyAlignment="1">
      <alignment horizontal="left" vertical="top" wrapText="1"/>
    </xf>
    <xf numFmtId="4" fontId="20" fillId="3" borderId="5" xfId="0" applyFont="1" applyFill="1" applyBorder="1" applyAlignment="1">
      <alignment horizontal="left"/>
    </xf>
    <xf numFmtId="4" fontId="20" fillId="3" borderId="19" xfId="0" applyFont="1" applyFill="1" applyBorder="1" applyAlignment="1">
      <alignment horizontal="left"/>
    </xf>
    <xf numFmtId="4" fontId="20" fillId="2" borderId="27" xfId="0" applyFont="1" applyFill="1" applyBorder="1" applyAlignment="1">
      <alignment horizontal="left" vertical="center"/>
    </xf>
    <xf numFmtId="4" fontId="20" fillId="2" borderId="44" xfId="0" applyFont="1" applyFill="1" applyBorder="1" applyAlignment="1">
      <alignment horizontal="left" vertical="center"/>
    </xf>
    <xf numFmtId="4" fontId="23" fillId="0" borderId="3" xfId="0" applyFont="1" applyBorder="1" applyAlignment="1">
      <alignment horizontal="left" vertical="center" wrapText="1"/>
    </xf>
    <xf numFmtId="4" fontId="13" fillId="0" borderId="30" xfId="0" applyNumberFormat="1" applyFont="1" applyBorder="1" applyAlignment="1">
      <alignment horizontal="left" vertical="top" wrapText="1"/>
    </xf>
    <xf numFmtId="4" fontId="13" fillId="0" borderId="53" xfId="0" applyNumberFormat="1" applyFont="1" applyBorder="1" applyAlignment="1">
      <alignment horizontal="left" vertical="top" wrapText="1"/>
    </xf>
    <xf numFmtId="4" fontId="13" fillId="0" borderId="64" xfId="0" applyNumberFormat="1" applyFont="1" applyBorder="1" applyAlignment="1">
      <alignment horizontal="left" vertical="top" wrapText="1"/>
    </xf>
    <xf numFmtId="4" fontId="20" fillId="2" borderId="5" xfId="0" applyNumberFormat="1" applyFont="1" applyFill="1" applyBorder="1" applyAlignment="1">
      <alignment horizontal="center"/>
    </xf>
    <xf numFmtId="4" fontId="20" fillId="2" borderId="19" xfId="0" applyNumberFormat="1" applyFont="1" applyFill="1" applyBorder="1" applyAlignment="1">
      <alignment horizontal="center"/>
    </xf>
    <xf numFmtId="4" fontId="13" fillId="0" borderId="2" xfId="0" applyFont="1" applyBorder="1" applyAlignment="1">
      <alignment horizontal="left" vertical="top" wrapText="1"/>
    </xf>
    <xf numFmtId="4" fontId="23" fillId="0" borderId="30" xfId="0" applyFont="1" applyBorder="1" applyAlignment="1">
      <alignment horizontal="left" vertical="top" wrapText="1"/>
    </xf>
    <xf numFmtId="4" fontId="30" fillId="0" borderId="53" xfId="0" applyFont="1" applyBorder="1" applyAlignment="1">
      <alignment horizontal="left" vertical="top" wrapText="1"/>
    </xf>
    <xf numFmtId="4" fontId="30" fillId="0" borderId="64" xfId="0" applyFont="1" applyBorder="1" applyAlignment="1">
      <alignment horizontal="left" vertical="top" wrapText="1"/>
    </xf>
    <xf numFmtId="4" fontId="26" fillId="3" borderId="5" xfId="0" applyNumberFormat="1" applyFont="1" applyFill="1" applyBorder="1" applyAlignment="1">
      <alignment horizontal="left"/>
    </xf>
    <xf numFmtId="4" fontId="26" fillId="3" borderId="19" xfId="0" applyNumberFormat="1" applyFont="1" applyFill="1" applyBorder="1" applyAlignment="1">
      <alignment horizontal="left"/>
    </xf>
    <xf numFmtId="4" fontId="20" fillId="3" borderId="27" xfId="0" applyFont="1" applyFill="1" applyBorder="1" applyAlignment="1">
      <alignment horizontal="left"/>
    </xf>
    <xf numFmtId="4" fontId="20" fillId="3" borderId="45" xfId="0" applyFont="1" applyFill="1" applyBorder="1" applyAlignment="1">
      <alignment horizontal="left"/>
    </xf>
    <xf numFmtId="4" fontId="20" fillId="3" borderId="44" xfId="0" applyFont="1" applyFill="1" applyBorder="1" applyAlignment="1">
      <alignment horizontal="left"/>
    </xf>
    <xf numFmtId="4" fontId="22" fillId="5" borderId="5" xfId="0" applyNumberFormat="1" applyFont="1" applyFill="1" applyBorder="1" applyAlignment="1">
      <alignment horizontal="center"/>
    </xf>
    <xf numFmtId="4" fontId="22" fillId="5" borderId="19" xfId="0" applyNumberFormat="1" applyFont="1" applyFill="1" applyBorder="1" applyAlignment="1">
      <alignment horizontal="center"/>
    </xf>
    <xf numFmtId="4" fontId="20" fillId="2" borderId="35" xfId="0" applyFont="1" applyFill="1" applyBorder="1" applyAlignment="1">
      <alignment horizontal="left" vertical="center"/>
    </xf>
    <xf numFmtId="4" fontId="20" fillId="2" borderId="38" xfId="0" applyFont="1" applyFill="1" applyBorder="1" applyAlignment="1">
      <alignment horizontal="left" vertical="center"/>
    </xf>
    <xf numFmtId="4" fontId="13" fillId="0" borderId="26" xfId="0" applyFont="1" applyBorder="1" applyAlignment="1">
      <alignment horizontal="left" vertical="top" wrapText="1"/>
    </xf>
    <xf numFmtId="4" fontId="13" fillId="0" borderId="51" xfId="0" applyFont="1" applyBorder="1" applyAlignment="1">
      <alignment horizontal="left" vertical="top" wrapText="1"/>
    </xf>
    <xf numFmtId="4" fontId="13" fillId="0" borderId="49" xfId="0" applyFont="1" applyBorder="1" applyAlignment="1">
      <alignment horizontal="left" vertical="top" wrapText="1"/>
    </xf>
    <xf numFmtId="4" fontId="31" fillId="0" borderId="27" xfId="0" applyFont="1" applyBorder="1" applyAlignment="1">
      <alignment horizontal="left" vertical="top" wrapText="1"/>
    </xf>
    <xf numFmtId="4" fontId="21" fillId="0" borderId="27" xfId="2" applyFont="1" applyBorder="1" applyAlignment="1">
      <alignment horizontal="left" vertical="top" wrapText="1"/>
    </xf>
    <xf numFmtId="4" fontId="21" fillId="0" borderId="45" xfId="2" applyFont="1" applyBorder="1" applyAlignment="1">
      <alignment horizontal="left" vertical="top" wrapText="1"/>
    </xf>
    <xf numFmtId="4" fontId="21" fillId="0" borderId="44" xfId="2" applyFont="1" applyBorder="1" applyAlignment="1">
      <alignment horizontal="left" vertical="top" wrapText="1"/>
    </xf>
    <xf numFmtId="4" fontId="22" fillId="5" borderId="19" xfId="0" applyFont="1" applyFill="1" applyBorder="1" applyAlignment="1">
      <alignment horizontal="center"/>
    </xf>
    <xf numFmtId="4" fontId="20" fillId="3" borderId="5" xfId="0" applyNumberFormat="1" applyFont="1" applyFill="1" applyBorder="1" applyAlignment="1">
      <alignment horizontal="left"/>
    </xf>
    <xf numFmtId="4" fontId="12" fillId="9" borderId="0" xfId="0" applyFont="1" applyFill="1" applyAlignment="1">
      <alignment horizontal="left"/>
    </xf>
    <xf numFmtId="4" fontId="13" fillId="0" borderId="45" xfId="0" applyFont="1" applyBorder="1" applyAlignment="1">
      <alignment horizontal="left" vertical="top" wrapText="1"/>
    </xf>
    <xf numFmtId="4" fontId="13" fillId="0" borderId="44" xfId="0" applyFont="1" applyBorder="1" applyAlignment="1">
      <alignment horizontal="left" vertical="top" wrapText="1"/>
    </xf>
    <xf numFmtId="4" fontId="8" fillId="0" borderId="11" xfId="4" applyNumberFormat="1" applyFont="1" applyBorder="1" applyAlignment="1">
      <alignment horizontal="left"/>
    </xf>
    <xf numFmtId="4" fontId="8" fillId="0" borderId="65" xfId="4" applyNumberFormat="1" applyFont="1" applyBorder="1" applyAlignment="1">
      <alignment horizontal="left"/>
    </xf>
    <xf numFmtId="3" fontId="8" fillId="0" borderId="14" xfId="4" applyFont="1" applyBorder="1" applyAlignment="1">
      <alignment horizontal="left"/>
    </xf>
    <xf numFmtId="3" fontId="8" fillId="0" borderId="66" xfId="4" applyFont="1" applyBorder="1" applyAlignment="1">
      <alignment horizontal="left"/>
    </xf>
    <xf numFmtId="4" fontId="6" fillId="10" borderId="12" xfId="0" applyFont="1" applyFill="1" applyBorder="1" applyAlignment="1">
      <alignment horizontal="center" vertical="top"/>
    </xf>
    <xf numFmtId="4" fontId="6" fillId="10" borderId="53" xfId="0" applyFont="1" applyFill="1" applyBorder="1" applyAlignment="1">
      <alignment horizontal="center" vertical="top"/>
    </xf>
    <xf numFmtId="4" fontId="6" fillId="10" borderId="54" xfId="0" applyFont="1" applyFill="1" applyBorder="1" applyAlignment="1">
      <alignment horizontal="center" vertical="top"/>
    </xf>
    <xf numFmtId="3" fontId="8" fillId="10" borderId="61" xfId="4" applyNumberFormat="1" applyFont="1" applyFill="1" applyBorder="1" applyAlignment="1">
      <alignment horizontal="center"/>
    </xf>
    <xf numFmtId="3" fontId="8" fillId="10" borderId="0" xfId="4" applyNumberFormat="1" applyFont="1" applyFill="1" applyBorder="1" applyAlignment="1">
      <alignment horizontal="center"/>
    </xf>
    <xf numFmtId="3" fontId="8" fillId="10" borderId="67" xfId="4" applyNumberFormat="1" applyFont="1" applyFill="1" applyBorder="1" applyAlignment="1">
      <alignment horizontal="center"/>
    </xf>
    <xf numFmtId="3" fontId="8" fillId="10" borderId="68" xfId="4" applyNumberFormat="1" applyFont="1" applyFill="1" applyBorder="1" applyAlignment="1">
      <alignment horizontal="center"/>
    </xf>
    <xf numFmtId="3" fontId="8" fillId="10" borderId="6" xfId="4" applyNumberFormat="1" applyFont="1" applyFill="1" applyBorder="1" applyAlignment="1">
      <alignment horizontal="center"/>
    </xf>
    <xf numFmtId="3" fontId="8" fillId="10" borderId="69" xfId="4" applyNumberFormat="1" applyFont="1" applyFill="1" applyBorder="1" applyAlignment="1">
      <alignment horizontal="center"/>
    </xf>
    <xf numFmtId="4" fontId="6" fillId="10" borderId="12" xfId="4" applyNumberFormat="1" applyFont="1" applyFill="1" applyBorder="1" applyAlignment="1">
      <alignment horizontal="center"/>
    </xf>
    <xf numFmtId="4" fontId="6" fillId="10" borderId="53" xfId="4" applyNumberFormat="1" applyFont="1" applyFill="1" applyBorder="1" applyAlignment="1">
      <alignment horizontal="center"/>
    </xf>
    <xf numFmtId="4" fontId="6" fillId="10" borderId="54" xfId="4" applyNumberFormat="1" applyFont="1" applyFill="1" applyBorder="1" applyAlignment="1">
      <alignment horizontal="center"/>
    </xf>
    <xf numFmtId="3" fontId="8" fillId="0" borderId="13" xfId="4" applyFont="1" applyBorder="1" applyAlignment="1">
      <alignment horizontal="left"/>
    </xf>
    <xf numFmtId="3" fontId="8" fillId="0" borderId="70" xfId="4" applyFont="1" applyBorder="1" applyAlignment="1">
      <alignment horizontal="left"/>
    </xf>
    <xf numFmtId="3" fontId="7" fillId="0" borderId="17" xfId="4" applyFont="1" applyBorder="1" applyAlignment="1">
      <alignment horizontal="left"/>
    </xf>
    <xf numFmtId="3" fontId="7" fillId="0" borderId="18" xfId="4" applyFont="1" applyBorder="1" applyAlignment="1">
      <alignment horizontal="left"/>
    </xf>
    <xf numFmtId="3" fontId="7" fillId="5" borderId="12" xfId="4" applyFont="1" applyFill="1" applyBorder="1" applyAlignment="1">
      <alignment horizontal="left"/>
    </xf>
    <xf numFmtId="3" fontId="7" fillId="5" borderId="54" xfId="4" applyFont="1" applyFill="1" applyBorder="1" applyAlignment="1">
      <alignment horizontal="left"/>
    </xf>
    <xf numFmtId="4" fontId="6" fillId="4" borderId="48" xfId="4" applyNumberFormat="1" applyFont="1" applyFill="1" applyBorder="1" applyAlignment="1">
      <alignment horizontal="center" wrapText="1"/>
    </xf>
    <xf numFmtId="4" fontId="6" fillId="2" borderId="56" xfId="4" applyNumberFormat="1" applyFont="1" applyFill="1" applyBorder="1" applyAlignment="1">
      <alignment horizontal="center" wrapText="1"/>
    </xf>
    <xf numFmtId="4" fontId="6" fillId="4" borderId="12" xfId="4" applyNumberFormat="1" applyFont="1" applyFill="1" applyBorder="1" applyAlignment="1">
      <alignment horizontal="center"/>
    </xf>
    <xf numFmtId="4" fontId="6" fillId="4" borderId="53" xfId="4" applyNumberFormat="1" applyFont="1" applyFill="1" applyBorder="1" applyAlignment="1">
      <alignment horizontal="center"/>
    </xf>
    <xf numFmtId="4" fontId="6" fillId="4" borderId="54" xfId="4" applyNumberFormat="1" applyFont="1" applyFill="1" applyBorder="1" applyAlignment="1">
      <alignment horizontal="center"/>
    </xf>
    <xf numFmtId="3" fontId="6" fillId="4" borderId="48" xfId="4" applyFont="1" applyFill="1" applyBorder="1" applyAlignment="1">
      <alignment horizontal="center" wrapText="1"/>
    </xf>
    <xf numFmtId="3" fontId="6" fillId="2" borderId="56" xfId="4" applyFont="1" applyFill="1" applyBorder="1" applyAlignment="1">
      <alignment horizontal="center" wrapText="1"/>
    </xf>
    <xf numFmtId="3" fontId="7" fillId="5" borderId="5" xfId="4" applyFont="1" applyFill="1" applyBorder="1" applyAlignment="1">
      <alignment horizontal="left"/>
    </xf>
    <xf numFmtId="3" fontId="7" fillId="0" borderId="25" xfId="4" applyFont="1" applyBorder="1" applyAlignment="1">
      <alignment horizontal="left"/>
    </xf>
    <xf numFmtId="3" fontId="7" fillId="0" borderId="29" xfId="4" applyFont="1" applyBorder="1" applyAlignment="1">
      <alignment horizontal="left"/>
    </xf>
    <xf numFmtId="3" fontId="10" fillId="0" borderId="17" xfId="4" applyFont="1" applyBorder="1" applyAlignment="1">
      <alignment horizontal="left"/>
    </xf>
    <xf numFmtId="3" fontId="10" fillId="0" borderId="18" xfId="4" applyFont="1" applyBorder="1" applyAlignment="1">
      <alignment horizontal="left"/>
    </xf>
    <xf numFmtId="3" fontId="7" fillId="0" borderId="25" xfId="4" applyFont="1" applyFill="1" applyBorder="1" applyAlignment="1">
      <alignment horizontal="left"/>
    </xf>
    <xf numFmtId="3" fontId="7" fillId="0" borderId="29" xfId="4" applyFont="1" applyFill="1" applyBorder="1" applyAlignment="1">
      <alignment horizontal="left"/>
    </xf>
    <xf numFmtId="3" fontId="4" fillId="0" borderId="0" xfId="4" applyFont="1" applyBorder="1" applyAlignment="1">
      <alignment horizontal="center"/>
    </xf>
    <xf numFmtId="3" fontId="6" fillId="4" borderId="12" xfId="4" applyFont="1" applyFill="1" applyBorder="1" applyAlignment="1">
      <alignment horizontal="center"/>
    </xf>
    <xf numFmtId="3" fontId="6" fillId="4" borderId="53" xfId="4" applyFont="1" applyFill="1" applyBorder="1" applyAlignment="1">
      <alignment horizontal="center"/>
    </xf>
    <xf numFmtId="3" fontId="6" fillId="4" borderId="54" xfId="4" applyFont="1" applyFill="1" applyBorder="1" applyAlignment="1">
      <alignment horizontal="center"/>
    </xf>
    <xf numFmtId="49" fontId="6" fillId="4" borderId="8" xfId="4" applyNumberFormat="1" applyFont="1" applyFill="1" applyBorder="1" applyAlignment="1">
      <alignment horizontal="center" wrapText="1"/>
    </xf>
    <xf numFmtId="4" fontId="5" fillId="4" borderId="9" xfId="0" applyFont="1" applyFill="1" applyBorder="1" applyAlignment="1">
      <alignment horizontal="center" wrapText="1"/>
    </xf>
    <xf numFmtId="4" fontId="5" fillId="4" borderId="61" xfId="0" applyFont="1" applyFill="1" applyBorder="1" applyAlignment="1">
      <alignment horizontal="center" wrapText="1"/>
    </xf>
    <xf numFmtId="4" fontId="5" fillId="4" borderId="67" xfId="0" applyFont="1" applyFill="1" applyBorder="1" applyAlignment="1">
      <alignment horizontal="center" wrapText="1"/>
    </xf>
    <xf numFmtId="4" fontId="5" fillId="4" borderId="68" xfId="0" applyFont="1" applyFill="1" applyBorder="1" applyAlignment="1">
      <alignment horizontal="center" wrapText="1"/>
    </xf>
    <xf numFmtId="4" fontId="5" fillId="4" borderId="69" xfId="0" applyFont="1" applyFill="1" applyBorder="1" applyAlignment="1">
      <alignment horizontal="center" wrapText="1"/>
    </xf>
    <xf numFmtId="49" fontId="6" fillId="4" borderId="48" xfId="4" applyNumberFormat="1" applyFont="1" applyFill="1" applyBorder="1" applyAlignment="1">
      <alignment horizontal="center" wrapText="1"/>
    </xf>
    <xf numFmtId="49" fontId="6" fillId="4" borderId="56" xfId="4" applyNumberFormat="1" applyFont="1" applyFill="1" applyBorder="1" applyAlignment="1">
      <alignment horizontal="center" wrapText="1"/>
    </xf>
    <xf numFmtId="4" fontId="5" fillId="4" borderId="56" xfId="0" applyFont="1" applyFill="1" applyBorder="1" applyAlignment="1">
      <alignment horizontal="center" wrapText="1"/>
    </xf>
    <xf numFmtId="4" fontId="5" fillId="4" borderId="7" xfId="0" applyFont="1" applyFill="1" applyBorder="1" applyAlignment="1">
      <alignment horizontal="center" wrapText="1"/>
    </xf>
    <xf numFmtId="4" fontId="41" fillId="5" borderId="5" xfId="0" applyFont="1" applyFill="1" applyBorder="1" applyAlignment="1">
      <alignment horizontal="center"/>
    </xf>
    <xf numFmtId="4" fontId="13" fillId="0" borderId="46" xfId="0" applyFont="1" applyBorder="1" applyAlignment="1">
      <alignment horizontal="left" vertical="top" wrapText="1"/>
    </xf>
    <xf numFmtId="4" fontId="13" fillId="0" borderId="47" xfId="0" applyFont="1" applyBorder="1" applyAlignment="1">
      <alignment horizontal="left" vertical="top" wrapText="1"/>
    </xf>
    <xf numFmtId="4" fontId="39" fillId="6" borderId="5" xfId="0" applyFont="1" applyFill="1" applyBorder="1" applyAlignment="1">
      <alignment horizontal="left"/>
    </xf>
    <xf numFmtId="4" fontId="39" fillId="6" borderId="19" xfId="0" applyFont="1" applyFill="1" applyBorder="1" applyAlignment="1">
      <alignment horizontal="left"/>
    </xf>
    <xf numFmtId="4" fontId="39" fillId="9" borderId="0" xfId="0" applyFont="1" applyFill="1" applyAlignment="1">
      <alignment horizontal="left"/>
    </xf>
    <xf numFmtId="4" fontId="46" fillId="0" borderId="26" xfId="0" applyFont="1" applyBorder="1" applyAlignment="1">
      <alignment horizontal="left" vertical="center" wrapText="1"/>
    </xf>
    <xf numFmtId="4" fontId="46" fillId="0" borderId="51" xfId="0" applyFont="1" applyBorder="1" applyAlignment="1">
      <alignment horizontal="left" vertical="center" wrapText="1"/>
    </xf>
    <xf numFmtId="4" fontId="46" fillId="0" borderId="49" xfId="0" applyFont="1" applyBorder="1" applyAlignment="1">
      <alignment horizontal="left" vertical="center" wrapText="1"/>
    </xf>
    <xf numFmtId="4" fontId="13" fillId="0" borderId="30" xfId="0" applyNumberFormat="1" applyFont="1" applyBorder="1" applyAlignment="1">
      <alignment horizontal="left" vertical="center" wrapText="1"/>
    </xf>
    <xf numFmtId="4" fontId="13" fillId="0" borderId="53" xfId="0" applyNumberFormat="1" applyFont="1" applyBorder="1" applyAlignment="1">
      <alignment horizontal="left" vertical="center" wrapText="1"/>
    </xf>
    <xf numFmtId="4" fontId="13" fillId="0" borderId="64" xfId="0" applyNumberFormat="1" applyFont="1" applyBorder="1" applyAlignment="1">
      <alignment horizontal="left" vertical="center" wrapText="1"/>
    </xf>
    <xf numFmtId="4" fontId="39" fillId="4" borderId="5" xfId="0" applyNumberFormat="1" applyFont="1" applyFill="1" applyBorder="1" applyAlignment="1">
      <alignment horizontal="center"/>
    </xf>
    <xf numFmtId="4" fontId="39" fillId="4" borderId="19" xfId="0" applyNumberFormat="1" applyFont="1" applyFill="1" applyBorder="1" applyAlignment="1">
      <alignment horizontal="center"/>
    </xf>
    <xf numFmtId="4" fontId="41" fillId="5" borderId="5" xfId="0" applyNumberFormat="1" applyFont="1" applyFill="1" applyBorder="1" applyAlignment="1">
      <alignment horizontal="center"/>
    </xf>
    <xf numFmtId="4" fontId="41" fillId="5" borderId="19" xfId="0" applyNumberFormat="1" applyFont="1" applyFill="1" applyBorder="1" applyAlignment="1">
      <alignment horizontal="center"/>
    </xf>
    <xf numFmtId="4" fontId="39" fillId="4" borderId="27" xfId="0" applyFont="1" applyFill="1" applyBorder="1" applyAlignment="1">
      <alignment horizontal="left" vertical="center"/>
    </xf>
    <xf numFmtId="4" fontId="39" fillId="4" borderId="44" xfId="0" applyFont="1" applyFill="1" applyBorder="1" applyAlignment="1">
      <alignment horizontal="left" vertical="center"/>
    </xf>
    <xf numFmtId="4" fontId="12" fillId="6" borderId="27" xfId="0" applyFont="1" applyFill="1" applyBorder="1" applyAlignment="1">
      <alignment horizontal="left"/>
    </xf>
    <xf numFmtId="4" fontId="12" fillId="6" borderId="45" xfId="0" applyFont="1" applyFill="1" applyBorder="1" applyAlignment="1">
      <alignment horizontal="left"/>
    </xf>
    <xf numFmtId="4" fontId="12" fillId="6" borderId="44" xfId="0" applyFont="1" applyFill="1" applyBorder="1" applyAlignment="1">
      <alignment horizontal="left"/>
    </xf>
    <xf numFmtId="4" fontId="39" fillId="4" borderId="35" xfId="0" applyFont="1" applyFill="1" applyBorder="1" applyAlignment="1">
      <alignment horizontal="left" vertical="center"/>
    </xf>
    <xf numFmtId="4" fontId="39" fillId="4" borderId="38" xfId="0" applyFont="1" applyFill="1" applyBorder="1" applyAlignment="1">
      <alignment horizontal="left" vertical="center"/>
    </xf>
    <xf numFmtId="4" fontId="41" fillId="5" borderId="12" xfId="0" applyFont="1" applyFill="1" applyBorder="1" applyAlignment="1">
      <alignment horizontal="center"/>
    </xf>
    <xf numFmtId="4" fontId="41" fillId="5" borderId="54" xfId="0" applyFont="1" applyFill="1" applyBorder="1" applyAlignment="1">
      <alignment horizontal="center"/>
    </xf>
    <xf numFmtId="4" fontId="39" fillId="4" borderId="5" xfId="0" applyFont="1" applyFill="1" applyBorder="1" applyAlignment="1">
      <alignment horizontal="left" vertical="center"/>
    </xf>
    <xf numFmtId="4" fontId="39" fillId="4" borderId="37" xfId="0" applyFont="1" applyFill="1" applyBorder="1" applyAlignment="1">
      <alignment horizontal="left" vertical="center"/>
    </xf>
    <xf numFmtId="4" fontId="39" fillId="4" borderId="43" xfId="0" applyFont="1" applyFill="1" applyBorder="1" applyAlignment="1">
      <alignment horizontal="left" vertical="center"/>
    </xf>
    <xf numFmtId="4" fontId="13" fillId="0" borderId="3" xfId="0" applyFont="1" applyBorder="1" applyAlignment="1">
      <alignment horizontal="left" vertical="top" wrapText="1"/>
    </xf>
    <xf numFmtId="4" fontId="40" fillId="6" borderId="62" xfId="0" applyFont="1" applyFill="1" applyBorder="1" applyAlignment="1">
      <alignment horizontal="left"/>
    </xf>
    <xf numFmtId="4" fontId="40" fillId="6" borderId="63" xfId="0" applyFont="1" applyFill="1" applyBorder="1" applyAlignment="1">
      <alignment horizontal="left"/>
    </xf>
    <xf numFmtId="4" fontId="40" fillId="0" borderId="3" xfId="0" applyFont="1" applyBorder="1" applyAlignment="1">
      <alignment horizontal="left" vertical="center" wrapText="1"/>
    </xf>
    <xf numFmtId="4" fontId="47" fillId="6" borderId="5" xfId="0" applyNumberFormat="1" applyFont="1" applyFill="1" applyBorder="1" applyAlignment="1">
      <alignment horizontal="left"/>
    </xf>
    <xf numFmtId="4" fontId="47" fillId="6" borderId="19" xfId="0" applyNumberFormat="1" applyFont="1" applyFill="1" applyBorder="1" applyAlignment="1">
      <alignment horizontal="left"/>
    </xf>
    <xf numFmtId="4" fontId="41" fillId="5" borderId="19" xfId="0" applyFont="1" applyFill="1" applyBorder="1" applyAlignment="1">
      <alignment horizontal="center"/>
    </xf>
    <xf numFmtId="4" fontId="39" fillId="6" borderId="5" xfId="0" applyNumberFormat="1" applyFont="1" applyFill="1" applyBorder="1" applyAlignment="1">
      <alignment horizontal="left"/>
    </xf>
    <xf numFmtId="4" fontId="13" fillId="0" borderId="32" xfId="0" applyFont="1" applyBorder="1" applyAlignment="1">
      <alignment horizontal="left" vertical="center" wrapText="1"/>
    </xf>
    <xf numFmtId="4" fontId="40" fillId="0" borderId="27" xfId="0" applyFont="1" applyBorder="1" applyAlignment="1">
      <alignment horizontal="left" vertical="center" wrapText="1"/>
    </xf>
    <xf numFmtId="4" fontId="40" fillId="0" borderId="44" xfId="0" applyFont="1" applyBorder="1" applyAlignment="1">
      <alignment horizontal="left" vertical="center" wrapText="1"/>
    </xf>
    <xf numFmtId="4" fontId="40" fillId="0" borderId="0" xfId="0" applyFont="1" applyBorder="1" applyAlignment="1">
      <alignment horizontal="left" vertical="center" wrapText="1"/>
    </xf>
    <xf numFmtId="4" fontId="21" fillId="0" borderId="27" xfId="0" applyFont="1" applyBorder="1" applyAlignment="1">
      <alignment horizontal="left" vertical="top" wrapText="1"/>
    </xf>
    <xf numFmtId="4" fontId="21" fillId="0" borderId="45" xfId="0" applyFont="1" applyBorder="1" applyAlignment="1">
      <alignment horizontal="left" vertical="top" wrapText="1"/>
    </xf>
    <xf numFmtId="4" fontId="21" fillId="0" borderId="44" xfId="0" applyFont="1" applyBorder="1" applyAlignment="1">
      <alignment horizontal="left" vertical="top" wrapText="1"/>
    </xf>
    <xf numFmtId="4" fontId="40" fillId="0" borderId="45" xfId="0" applyFont="1" applyBorder="1" applyAlignment="1">
      <alignment horizontal="left" vertical="center" wrapText="1"/>
    </xf>
    <xf numFmtId="4" fontId="0" fillId="4" borderId="9" xfId="0" applyFont="1" applyFill="1" applyBorder="1" applyAlignment="1">
      <alignment horizontal="center" wrapText="1"/>
    </xf>
    <xf numFmtId="4" fontId="0" fillId="4" borderId="61" xfId="0" applyFont="1" applyFill="1" applyBorder="1" applyAlignment="1">
      <alignment horizontal="center" wrapText="1"/>
    </xf>
    <xf numFmtId="4" fontId="0" fillId="4" borderId="67" xfId="0" applyFont="1" applyFill="1" applyBorder="1" applyAlignment="1">
      <alignment horizontal="center" wrapText="1"/>
    </xf>
    <xf numFmtId="4" fontId="0" fillId="4" borderId="68" xfId="0" applyFont="1" applyFill="1" applyBorder="1" applyAlignment="1">
      <alignment horizontal="center" wrapText="1"/>
    </xf>
    <xf numFmtId="4" fontId="0" fillId="4" borderId="69" xfId="0" applyFont="1" applyFill="1" applyBorder="1" applyAlignment="1">
      <alignment horizontal="center" wrapText="1"/>
    </xf>
    <xf numFmtId="4" fontId="6" fillId="4" borderId="7" xfId="4" applyNumberFormat="1" applyFont="1" applyFill="1" applyBorder="1" applyAlignment="1">
      <alignment horizontal="center" wrapText="1"/>
    </xf>
    <xf numFmtId="3" fontId="6" fillId="4" borderId="7" xfId="4" applyFont="1" applyFill="1" applyBorder="1" applyAlignment="1">
      <alignment horizontal="center" wrapText="1"/>
    </xf>
    <xf numFmtId="49" fontId="6" fillId="4" borderId="7" xfId="4" applyNumberFormat="1" applyFont="1" applyFill="1" applyBorder="1" applyAlignment="1">
      <alignment horizontal="center" wrapText="1"/>
    </xf>
    <xf numFmtId="4" fontId="0" fillId="4" borderId="56" xfId="0" applyFont="1" applyFill="1" applyBorder="1" applyAlignment="1">
      <alignment horizontal="center" wrapText="1"/>
    </xf>
    <xf numFmtId="4" fontId="0" fillId="4" borderId="7" xfId="0" applyFont="1" applyFill="1" applyBorder="1" applyAlignment="1">
      <alignment horizontal="center" wrapText="1"/>
    </xf>
    <xf numFmtId="4" fontId="21" fillId="0" borderId="3" xfId="0" applyFont="1" applyBorder="1" applyAlignment="1">
      <alignment horizontal="left" vertical="center" wrapText="1"/>
    </xf>
    <xf numFmtId="4" fontId="21" fillId="0" borderId="27" xfId="0" applyFont="1" applyBorder="1" applyAlignment="1">
      <alignment horizontal="left" vertical="center" wrapText="1"/>
    </xf>
    <xf numFmtId="4" fontId="21" fillId="0" borderId="45" xfId="0" applyFont="1" applyBorder="1" applyAlignment="1">
      <alignment horizontal="left" vertical="center" wrapText="1"/>
    </xf>
    <xf numFmtId="4" fontId="21" fillId="0" borderId="44" xfId="0" applyFont="1" applyBorder="1" applyAlignment="1">
      <alignment horizontal="left" vertical="center" wrapText="1"/>
    </xf>
    <xf numFmtId="4" fontId="13" fillId="0" borderId="2" xfId="0" applyNumberFormat="1" applyFont="1" applyBorder="1" applyAlignment="1">
      <alignment horizontal="left" vertical="center" wrapText="1"/>
    </xf>
    <xf numFmtId="4" fontId="23" fillId="0" borderId="27" xfId="0" applyNumberFormat="1" applyFont="1" applyBorder="1" applyAlignment="1">
      <alignment horizontal="left" vertical="center" wrapText="1"/>
    </xf>
    <xf numFmtId="4" fontId="23" fillId="0" borderId="45" xfId="0" applyNumberFormat="1" applyFont="1" applyBorder="1" applyAlignment="1">
      <alignment horizontal="left" vertical="center" wrapText="1"/>
    </xf>
    <xf numFmtId="4" fontId="23" fillId="0" borderId="44" xfId="0" applyNumberFormat="1" applyFont="1" applyBorder="1" applyAlignment="1">
      <alignment horizontal="left" vertical="center" wrapText="1"/>
    </xf>
    <xf numFmtId="4" fontId="13" fillId="0" borderId="28" xfId="0" applyNumberFormat="1" applyFont="1" applyBorder="1" applyAlignment="1">
      <alignment horizontal="left" vertical="center" wrapText="1"/>
    </xf>
    <xf numFmtId="4" fontId="13" fillId="0" borderId="46" xfId="0" applyNumberFormat="1" applyFont="1" applyBorder="1" applyAlignment="1">
      <alignment horizontal="left" vertical="center" wrapText="1"/>
    </xf>
    <xf numFmtId="4" fontId="13" fillId="0" borderId="47" xfId="0" applyNumberFormat="1" applyFont="1" applyBorder="1" applyAlignment="1">
      <alignment horizontal="left" vertical="center" wrapText="1"/>
    </xf>
    <xf numFmtId="4" fontId="13" fillId="0" borderId="27" xfId="0" applyNumberFormat="1" applyFont="1" applyBorder="1" applyAlignment="1">
      <alignment horizontal="left" vertical="center" wrapText="1"/>
    </xf>
    <xf numFmtId="4" fontId="13" fillId="0" borderId="45" xfId="0" applyNumberFormat="1" applyFont="1" applyBorder="1" applyAlignment="1">
      <alignment horizontal="left" vertical="center" wrapText="1"/>
    </xf>
    <xf numFmtId="4" fontId="13" fillId="0" borderId="44" xfId="0" applyNumberFormat="1" applyFont="1" applyBorder="1" applyAlignment="1">
      <alignment horizontal="left" vertical="center" wrapText="1"/>
    </xf>
    <xf numFmtId="4" fontId="13" fillId="0" borderId="3" xfId="0" applyFont="1" applyBorder="1" applyAlignment="1">
      <alignment horizontal="left" vertical="center" wrapText="1"/>
    </xf>
    <xf numFmtId="4" fontId="13" fillId="0" borderId="26" xfId="0" applyFont="1" applyBorder="1" applyAlignment="1">
      <alignment horizontal="left" vertical="center" wrapText="1"/>
    </xf>
    <xf numFmtId="4" fontId="13" fillId="0" borderId="51" xfId="0" applyFont="1" applyBorder="1" applyAlignment="1">
      <alignment horizontal="left" vertical="center" wrapText="1"/>
    </xf>
    <xf numFmtId="4" fontId="13" fillId="0" borderId="49" xfId="0" applyFont="1" applyBorder="1" applyAlignment="1">
      <alignment horizontal="left" vertical="center" wrapText="1"/>
    </xf>
    <xf numFmtId="4" fontId="13" fillId="0" borderId="27" xfId="0" applyFont="1" applyBorder="1" applyAlignment="1">
      <alignment horizontal="left" vertical="top"/>
    </xf>
    <xf numFmtId="4" fontId="13" fillId="0" borderId="44" xfId="0" applyFont="1" applyBorder="1" applyAlignment="1">
      <alignment horizontal="left" vertical="top"/>
    </xf>
    <xf numFmtId="4" fontId="39" fillId="6" borderId="27" xfId="0" applyFont="1" applyFill="1" applyBorder="1" applyAlignment="1">
      <alignment horizontal="left"/>
    </xf>
    <xf numFmtId="4" fontId="39" fillId="6" borderId="45" xfId="0" applyFont="1" applyFill="1" applyBorder="1" applyAlignment="1">
      <alignment horizontal="left"/>
    </xf>
    <xf numFmtId="4" fontId="39" fillId="6" borderId="44" xfId="0" applyFont="1" applyFill="1" applyBorder="1" applyAlignment="1">
      <alignment horizontal="left"/>
    </xf>
    <xf numFmtId="4" fontId="19" fillId="0" borderId="26" xfId="0" applyFont="1" applyBorder="1" applyAlignment="1">
      <alignment horizontal="left" vertical="center" wrapText="1"/>
    </xf>
    <xf numFmtId="4" fontId="19" fillId="0" borderId="51" xfId="0" applyFont="1" applyBorder="1" applyAlignment="1">
      <alignment horizontal="left" vertical="center" wrapText="1"/>
    </xf>
    <xf numFmtId="4" fontId="19" fillId="0" borderId="49" xfId="0" applyFont="1" applyBorder="1" applyAlignment="1">
      <alignment horizontal="left" vertical="center" wrapText="1"/>
    </xf>
    <xf numFmtId="4" fontId="19" fillId="0" borderId="2" xfId="0" applyNumberFormat="1" applyFont="1" applyBorder="1" applyAlignment="1">
      <alignment horizontal="left" vertical="center" wrapText="1"/>
    </xf>
    <xf numFmtId="4" fontId="32" fillId="0" borderId="27" xfId="0" applyFont="1" applyBorder="1" applyAlignment="1">
      <alignment horizontal="left" vertical="top" wrapText="1"/>
    </xf>
    <xf numFmtId="4" fontId="48" fillId="0" borderId="45" xfId="0" applyFont="1" applyBorder="1" applyAlignment="1">
      <alignment horizontal="left" vertical="top" wrapText="1"/>
    </xf>
    <xf numFmtId="4" fontId="48" fillId="0" borderId="44" xfId="0" applyFont="1" applyBorder="1" applyAlignment="1">
      <alignment horizontal="left" vertical="top" wrapText="1"/>
    </xf>
    <xf numFmtId="4" fontId="32" fillId="0" borderId="28" xfId="0" applyFont="1" applyBorder="1" applyAlignment="1">
      <alignment horizontal="left" vertical="top" wrapText="1"/>
    </xf>
    <xf numFmtId="4" fontId="48" fillId="0" borderId="46" xfId="0" applyFont="1" applyBorder="1" applyAlignment="1">
      <alignment horizontal="left" vertical="top" wrapText="1"/>
    </xf>
    <xf numFmtId="4" fontId="48" fillId="0" borderId="47" xfId="0" applyFont="1" applyBorder="1" applyAlignment="1">
      <alignment horizontal="left" vertical="top" wrapText="1"/>
    </xf>
    <xf numFmtId="4" fontId="32" fillId="0" borderId="26" xfId="0" applyFont="1" applyBorder="1" applyAlignment="1">
      <alignment horizontal="left" vertical="top" wrapText="1"/>
    </xf>
    <xf numFmtId="4" fontId="48" fillId="0" borderId="51" xfId="0" applyFont="1" applyBorder="1" applyAlignment="1">
      <alignment horizontal="left" vertical="top" wrapText="1"/>
    </xf>
    <xf numFmtId="4" fontId="48" fillId="0" borderId="49" xfId="0" applyFont="1" applyBorder="1" applyAlignment="1">
      <alignment horizontal="left" vertical="top" wrapText="1"/>
    </xf>
    <xf numFmtId="4" fontId="45" fillId="0" borderId="44" xfId="0" applyFont="1" applyBorder="1" applyAlignment="1">
      <alignment horizontal="left" vertical="top" wrapText="1"/>
    </xf>
    <xf numFmtId="4" fontId="0" fillId="0" borderId="44" xfId="0" applyBorder="1" applyAlignment="1">
      <alignment horizontal="left" vertical="top" wrapText="1"/>
    </xf>
    <xf numFmtId="4" fontId="19" fillId="0" borderId="28" xfId="0" applyNumberFormat="1" applyFont="1" applyBorder="1" applyAlignment="1">
      <alignment horizontal="left" vertical="center"/>
    </xf>
    <xf numFmtId="4" fontId="19" fillId="0" borderId="46" xfId="0" applyNumberFormat="1" applyFont="1" applyBorder="1" applyAlignment="1">
      <alignment horizontal="left" vertical="center"/>
    </xf>
    <xf numFmtId="4" fontId="19" fillId="0" borderId="47" xfId="0" applyNumberFormat="1" applyFont="1" applyBorder="1" applyAlignment="1">
      <alignment horizontal="left" vertical="center"/>
    </xf>
    <xf numFmtId="43" fontId="13" fillId="0" borderId="27" xfId="1" applyFont="1" applyBorder="1" applyAlignment="1">
      <alignment horizontal="left" vertical="top" wrapText="1"/>
    </xf>
    <xf numFmtId="43" fontId="13" fillId="0" borderId="44" xfId="1" applyFont="1" applyBorder="1" applyAlignment="1">
      <alignment horizontal="left" vertical="top" wrapText="1"/>
    </xf>
    <xf numFmtId="4" fontId="13" fillId="0" borderId="37" xfId="0" applyFont="1" applyBorder="1" applyAlignment="1">
      <alignment horizontal="left" vertical="top" wrapText="1"/>
    </xf>
    <xf numFmtId="4" fontId="13" fillId="0" borderId="43" xfId="0" applyFont="1" applyBorder="1" applyAlignment="1">
      <alignment horizontal="left" vertical="top" wrapText="1"/>
    </xf>
    <xf numFmtId="4" fontId="13" fillId="0" borderId="27" xfId="0" applyFont="1" applyBorder="1" applyAlignment="1">
      <alignment horizontal="left" vertical="center" wrapText="1"/>
    </xf>
    <xf numFmtId="4" fontId="13" fillId="0" borderId="44" xfId="0" applyFont="1" applyBorder="1" applyAlignment="1">
      <alignment horizontal="left" vertical="center" wrapText="1"/>
    </xf>
    <xf numFmtId="4" fontId="23" fillId="0" borderId="28" xfId="0" applyNumberFormat="1" applyFont="1" applyBorder="1" applyAlignment="1">
      <alignment horizontal="left" vertical="center" wrapText="1"/>
    </xf>
    <xf numFmtId="4" fontId="23" fillId="0" borderId="46" xfId="0" applyNumberFormat="1" applyFont="1" applyBorder="1" applyAlignment="1">
      <alignment horizontal="left" vertical="center" wrapText="1"/>
    </xf>
    <xf numFmtId="4" fontId="23" fillId="0" borderId="47" xfId="0" applyNumberFormat="1" applyFont="1" applyBorder="1" applyAlignment="1">
      <alignment horizontal="left" vertical="center" wrapText="1"/>
    </xf>
    <xf numFmtId="4" fontId="25" fillId="0" borderId="26" xfId="0" applyFont="1" applyBorder="1" applyAlignment="1">
      <alignment horizontal="left" vertical="center" wrapText="1"/>
    </xf>
    <xf numFmtId="4" fontId="25" fillId="0" borderId="51" xfId="0" applyFont="1" applyBorder="1" applyAlignment="1">
      <alignment horizontal="left" vertical="center" wrapText="1"/>
    </xf>
    <xf numFmtId="4" fontId="25" fillId="0" borderId="49" xfId="0" applyFont="1" applyBorder="1" applyAlignment="1">
      <alignment horizontal="left" vertical="center" wrapText="1"/>
    </xf>
    <xf numFmtId="4" fontId="13" fillId="0" borderId="2" xfId="0" applyNumberFormat="1" applyFont="1" applyBorder="1" applyAlignment="1">
      <alignment horizontal="left" vertical="top" wrapText="1"/>
    </xf>
    <xf numFmtId="0" fontId="20" fillId="9" borderId="0" xfId="3" applyFont="1" applyFill="1" applyAlignment="1">
      <alignment horizontal="left"/>
    </xf>
    <xf numFmtId="0" fontId="22" fillId="5" borderId="12" xfId="3" applyFont="1" applyFill="1" applyBorder="1" applyAlignment="1">
      <alignment horizontal="center"/>
    </xf>
    <xf numFmtId="0" fontId="22" fillId="5" borderId="54" xfId="3" applyFont="1" applyFill="1" applyBorder="1" applyAlignment="1">
      <alignment horizontal="center"/>
    </xf>
    <xf numFmtId="0" fontId="22" fillId="5" borderId="5" xfId="3" applyFont="1" applyFill="1" applyBorder="1" applyAlignment="1">
      <alignment horizontal="center"/>
    </xf>
    <xf numFmtId="0" fontId="20" fillId="2" borderId="5" xfId="3" applyFont="1" applyFill="1" applyBorder="1" applyAlignment="1">
      <alignment horizontal="left" vertical="center"/>
    </xf>
    <xf numFmtId="0" fontId="20" fillId="2" borderId="36" xfId="3" applyFont="1" applyFill="1" applyBorder="1" applyAlignment="1">
      <alignment horizontal="left" vertical="center"/>
    </xf>
    <xf numFmtId="0" fontId="20" fillId="2" borderId="50" xfId="3" applyFont="1" applyFill="1" applyBorder="1" applyAlignment="1">
      <alignment horizontal="left" vertical="center"/>
    </xf>
    <xf numFmtId="0" fontId="21" fillId="3" borderId="62" xfId="3" applyFont="1" applyFill="1" applyBorder="1" applyAlignment="1">
      <alignment horizontal="left"/>
    </xf>
    <xf numFmtId="0" fontId="21" fillId="3" borderId="63" xfId="3" applyFont="1" applyFill="1" applyBorder="1" applyAlignment="1">
      <alignment horizontal="left"/>
    </xf>
    <xf numFmtId="0" fontId="20" fillId="2" borderId="35" xfId="3" applyFont="1" applyFill="1" applyBorder="1" applyAlignment="1">
      <alignment horizontal="left" vertical="center"/>
    </xf>
    <xf numFmtId="0" fontId="20" fillId="2" borderId="38" xfId="3" applyFont="1" applyFill="1" applyBorder="1" applyAlignment="1">
      <alignment horizontal="left" vertical="center"/>
    </xf>
    <xf numFmtId="0" fontId="31" fillId="0" borderId="26" xfId="3" applyFont="1" applyBorder="1" applyAlignment="1">
      <alignment horizontal="left" vertical="top" wrapText="1"/>
    </xf>
    <xf numFmtId="0" fontId="31" fillId="0" borderId="51" xfId="3" applyFont="1" applyBorder="1" applyAlignment="1">
      <alignment horizontal="left" vertical="top" wrapText="1"/>
    </xf>
    <xf numFmtId="0" fontId="31" fillId="0" borderId="49" xfId="3" applyFont="1" applyBorder="1" applyAlignment="1">
      <alignment horizontal="left" vertical="top" wrapText="1"/>
    </xf>
    <xf numFmtId="0" fontId="31" fillId="0" borderId="27" xfId="3" applyFont="1" applyBorder="1" applyAlignment="1">
      <alignment horizontal="left" vertical="top" wrapText="1"/>
    </xf>
    <xf numFmtId="0" fontId="31" fillId="0" borderId="45" xfId="3" applyFont="1" applyBorder="1" applyAlignment="1">
      <alignment horizontal="left" vertical="top" wrapText="1"/>
    </xf>
    <xf numFmtId="0" fontId="31" fillId="0" borderId="44" xfId="3" applyFont="1" applyBorder="1" applyAlignment="1">
      <alignment horizontal="left" vertical="top" wrapText="1"/>
    </xf>
    <xf numFmtId="0" fontId="13" fillId="0" borderId="0" xfId="3" applyFont="1" applyBorder="1" applyAlignment="1">
      <alignment horizontal="left" vertical="top" wrapText="1"/>
    </xf>
    <xf numFmtId="0" fontId="13" fillId="0" borderId="80" xfId="3" applyFont="1" applyBorder="1" applyAlignment="1">
      <alignment horizontal="left" vertical="top" wrapText="1"/>
    </xf>
    <xf numFmtId="0" fontId="13" fillId="0" borderId="42" xfId="3" applyFont="1" applyBorder="1" applyAlignment="1">
      <alignment horizontal="left" vertical="top" wrapText="1"/>
    </xf>
    <xf numFmtId="0" fontId="13" fillId="0" borderId="43" xfId="3" applyFont="1" applyBorder="1" applyAlignment="1">
      <alignment horizontal="left" vertical="top" wrapText="1"/>
    </xf>
    <xf numFmtId="0" fontId="20" fillId="2" borderId="52" xfId="3" applyFont="1" applyFill="1" applyBorder="1" applyAlignment="1">
      <alignment horizontal="left" vertical="center"/>
    </xf>
    <xf numFmtId="0" fontId="20" fillId="2" borderId="62" xfId="3" applyFont="1" applyFill="1" applyBorder="1" applyAlignment="1">
      <alignment horizontal="left" vertical="center"/>
    </xf>
    <xf numFmtId="0" fontId="20" fillId="2" borderId="42" xfId="3" applyFont="1" applyFill="1" applyBorder="1" applyAlignment="1">
      <alignment horizontal="left" vertical="center"/>
    </xf>
    <xf numFmtId="0" fontId="20" fillId="2" borderId="43" xfId="3" applyFont="1" applyFill="1" applyBorder="1" applyAlignment="1">
      <alignment horizontal="left" vertical="center"/>
    </xf>
    <xf numFmtId="0" fontId="21" fillId="0" borderId="31" xfId="3" applyFont="1" applyBorder="1" applyAlignment="1">
      <alignment horizontal="left" vertical="top" wrapText="1"/>
    </xf>
    <xf numFmtId="0" fontId="21" fillId="0" borderId="32" xfId="3" applyFont="1" applyBorder="1" applyAlignment="1">
      <alignment horizontal="left" vertical="top" wrapText="1"/>
    </xf>
    <xf numFmtId="0" fontId="21" fillId="0" borderId="37" xfId="3" applyFont="1" applyBorder="1" applyAlignment="1">
      <alignment horizontal="left" vertical="top" wrapText="1"/>
    </xf>
    <xf numFmtId="4" fontId="20" fillId="2" borderId="5" xfId="3" applyNumberFormat="1" applyFont="1" applyFill="1" applyBorder="1" applyAlignment="1">
      <alignment horizontal="center"/>
    </xf>
    <xf numFmtId="4" fontId="20" fillId="2" borderId="19" xfId="3" applyNumberFormat="1" applyFont="1" applyFill="1" applyBorder="1" applyAlignment="1">
      <alignment horizontal="center"/>
    </xf>
    <xf numFmtId="0" fontId="13" fillId="0" borderId="27" xfId="3" applyFont="1" applyBorder="1" applyAlignment="1">
      <alignment horizontal="left" vertical="top" wrapText="1"/>
    </xf>
    <xf numFmtId="0" fontId="13" fillId="0" borderId="45" xfId="3" applyFont="1" applyBorder="1" applyAlignment="1">
      <alignment horizontal="left" vertical="top" wrapText="1"/>
    </xf>
    <xf numFmtId="0" fontId="13" fillId="0" borderId="44" xfId="3" applyFont="1" applyBorder="1" applyAlignment="1">
      <alignment horizontal="left" vertical="top" wrapText="1"/>
    </xf>
    <xf numFmtId="0" fontId="12" fillId="9" borderId="0" xfId="3" applyFont="1" applyFill="1" applyAlignment="1">
      <alignment horizontal="left"/>
    </xf>
    <xf numFmtId="0" fontId="21" fillId="0" borderId="15" xfId="3" applyFont="1" applyBorder="1" applyAlignment="1">
      <alignment horizontal="left" vertical="top" wrapText="1"/>
    </xf>
    <xf numFmtId="0" fontId="21" fillId="0" borderId="4" xfId="3" applyFont="1" applyBorder="1" applyAlignment="1">
      <alignment horizontal="left" vertical="top" wrapText="1"/>
    </xf>
    <xf numFmtId="4" fontId="22" fillId="5" borderId="12" xfId="3" applyNumberFormat="1" applyFont="1" applyFill="1" applyBorder="1" applyAlignment="1">
      <alignment horizontal="center"/>
    </xf>
    <xf numFmtId="4" fontId="22" fillId="5" borderId="53" xfId="3" applyNumberFormat="1" applyFont="1" applyFill="1" applyBorder="1" applyAlignment="1">
      <alignment horizontal="center"/>
    </xf>
    <xf numFmtId="4" fontId="22" fillId="5" borderId="54" xfId="3" applyNumberFormat="1" applyFont="1" applyFill="1" applyBorder="1" applyAlignment="1">
      <alignment horizontal="center"/>
    </xf>
    <xf numFmtId="0" fontId="21" fillId="0" borderId="73" xfId="3" applyFont="1" applyBorder="1" applyAlignment="1">
      <alignment horizontal="left" vertical="top" wrapText="1"/>
    </xf>
    <xf numFmtId="0" fontId="21" fillId="0" borderId="50" xfId="3" applyFont="1" applyBorder="1" applyAlignment="1">
      <alignment horizontal="left" vertical="top" wrapText="1"/>
    </xf>
    <xf numFmtId="0" fontId="21" fillId="0" borderId="72" xfId="3" applyFont="1" applyBorder="1" applyAlignment="1">
      <alignment horizontal="left" vertical="top" wrapText="1"/>
    </xf>
    <xf numFmtId="0" fontId="50" fillId="0" borderId="74" xfId="3" applyFont="1" applyBorder="1" applyAlignment="1">
      <alignment horizontal="left" vertical="top" wrapText="1"/>
    </xf>
    <xf numFmtId="0" fontId="50" fillId="0" borderId="42" xfId="3" applyFont="1" applyBorder="1" applyAlignment="1">
      <alignment horizontal="left" vertical="top" wrapText="1"/>
    </xf>
    <xf numFmtId="0" fontId="50" fillId="0" borderId="43" xfId="3" applyFont="1" applyBorder="1" applyAlignment="1">
      <alignment horizontal="left" vertical="top" wrapText="1"/>
    </xf>
    <xf numFmtId="49" fontId="21" fillId="0" borderId="31" xfId="3" applyNumberFormat="1" applyFont="1" applyBorder="1" applyAlignment="1">
      <alignment horizontal="left" vertical="top" wrapText="1"/>
    </xf>
    <xf numFmtId="49" fontId="21" fillId="0" borderId="32" xfId="3" applyNumberFormat="1" applyFont="1" applyBorder="1" applyAlignment="1">
      <alignment horizontal="left" vertical="top" wrapText="1"/>
    </xf>
    <xf numFmtId="4" fontId="26" fillId="3" borderId="5" xfId="3" applyNumberFormat="1" applyFont="1" applyFill="1" applyBorder="1" applyAlignment="1">
      <alignment horizontal="left"/>
    </xf>
    <xf numFmtId="4" fontId="26" fillId="3" borderId="19" xfId="3" applyNumberFormat="1" applyFont="1" applyFill="1" applyBorder="1" applyAlignment="1">
      <alignment horizontal="left"/>
    </xf>
    <xf numFmtId="4" fontId="13" fillId="0" borderId="30" xfId="3" applyNumberFormat="1" applyFont="1" applyBorder="1" applyAlignment="1">
      <alignment horizontal="left" vertical="top" wrapText="1"/>
    </xf>
    <xf numFmtId="4" fontId="13" fillId="0" borderId="53" xfId="3" applyNumberFormat="1" applyFont="1" applyBorder="1" applyAlignment="1">
      <alignment horizontal="left" vertical="top" wrapText="1"/>
    </xf>
    <xf numFmtId="4" fontId="13" fillId="0" borderId="64" xfId="3" applyNumberFormat="1" applyFont="1" applyBorder="1" applyAlignment="1">
      <alignment horizontal="left" vertical="top" wrapText="1"/>
    </xf>
    <xf numFmtId="0" fontId="31" fillId="0" borderId="28" xfId="3" applyFont="1" applyBorder="1" applyAlignment="1">
      <alignment horizontal="left" vertical="top" wrapText="1"/>
    </xf>
    <xf numFmtId="0" fontId="31" fillId="0" borderId="46" xfId="3" applyFont="1" applyBorder="1" applyAlignment="1">
      <alignment horizontal="left" vertical="top" wrapText="1"/>
    </xf>
    <xf numFmtId="0" fontId="31" fillId="0" borderId="47" xfId="3" applyFont="1" applyBorder="1" applyAlignment="1">
      <alignment horizontal="left" vertical="top" wrapText="1"/>
    </xf>
    <xf numFmtId="0" fontId="20" fillId="3" borderId="5" xfId="3" applyFont="1" applyFill="1" applyBorder="1" applyAlignment="1">
      <alignment horizontal="left"/>
    </xf>
    <xf numFmtId="0" fontId="20" fillId="3" borderId="19" xfId="3" applyFont="1" applyFill="1" applyBorder="1" applyAlignment="1">
      <alignment horizontal="left"/>
    </xf>
    <xf numFmtId="0" fontId="20" fillId="3" borderId="45" xfId="3" applyFont="1" applyFill="1" applyBorder="1" applyAlignment="1">
      <alignment horizontal="left"/>
    </xf>
    <xf numFmtId="0" fontId="20" fillId="3" borderId="44" xfId="3" applyFont="1" applyFill="1" applyBorder="1" applyAlignment="1">
      <alignment horizontal="left"/>
    </xf>
    <xf numFmtId="4" fontId="22" fillId="5" borderId="5" xfId="3" applyNumberFormat="1" applyFont="1" applyFill="1" applyBorder="1" applyAlignment="1">
      <alignment horizontal="center"/>
    </xf>
    <xf numFmtId="4" fontId="22" fillId="5" borderId="19" xfId="3" applyNumberFormat="1" applyFont="1" applyFill="1" applyBorder="1" applyAlignment="1">
      <alignment horizontal="center"/>
    </xf>
    <xf numFmtId="0" fontId="25" fillId="0" borderId="30" xfId="3" applyFont="1" applyBorder="1" applyAlignment="1">
      <alignment horizontal="left" vertical="top" wrapText="1"/>
    </xf>
    <xf numFmtId="0" fontId="25" fillId="0" borderId="53" xfId="3" applyFont="1" applyBorder="1" applyAlignment="1">
      <alignment horizontal="left" vertical="top" wrapText="1"/>
    </xf>
    <xf numFmtId="0" fontId="25" fillId="0" borderId="64" xfId="3" applyFont="1" applyBorder="1" applyAlignment="1">
      <alignment horizontal="left" vertical="top" wrapText="1"/>
    </xf>
    <xf numFmtId="4" fontId="20" fillId="3" borderId="5" xfId="3" applyNumberFormat="1" applyFont="1" applyFill="1" applyBorder="1" applyAlignment="1">
      <alignment horizontal="left"/>
    </xf>
    <xf numFmtId="0" fontId="22" fillId="5" borderId="19" xfId="3" applyFont="1" applyFill="1" applyBorder="1" applyAlignment="1">
      <alignment horizontal="center"/>
    </xf>
    <xf numFmtId="3" fontId="8" fillId="15" borderId="61" xfId="4" applyNumberFormat="1" applyFont="1" applyFill="1" applyBorder="1" applyAlignment="1">
      <alignment horizontal="center"/>
    </xf>
    <xf numFmtId="3" fontId="8" fillId="15" borderId="0" xfId="4" applyNumberFormat="1" applyFont="1" applyFill="1" applyBorder="1" applyAlignment="1">
      <alignment horizontal="center"/>
    </xf>
    <xf numFmtId="3" fontId="8" fillId="15" borderId="67" xfId="4" applyNumberFormat="1" applyFont="1" applyFill="1" applyBorder="1" applyAlignment="1">
      <alignment horizontal="center"/>
    </xf>
    <xf numFmtId="3" fontId="8" fillId="15" borderId="68" xfId="4" applyNumberFormat="1" applyFont="1" applyFill="1" applyBorder="1" applyAlignment="1">
      <alignment horizontal="center"/>
    </xf>
    <xf numFmtId="3" fontId="8" fillId="15" borderId="6" xfId="4" applyNumberFormat="1" applyFont="1" applyFill="1" applyBorder="1" applyAlignment="1">
      <alignment horizontal="center"/>
    </xf>
    <xf numFmtId="3" fontId="8" fillId="15" borderId="69" xfId="4" applyNumberFormat="1" applyFont="1" applyFill="1" applyBorder="1" applyAlignment="1">
      <alignment horizontal="center"/>
    </xf>
    <xf numFmtId="4" fontId="6" fillId="15" borderId="12" xfId="4" applyNumberFormat="1" applyFont="1" applyFill="1" applyBorder="1" applyAlignment="1">
      <alignment horizontal="center"/>
    </xf>
    <xf numFmtId="4" fontId="6" fillId="15" borderId="53" xfId="4" applyNumberFormat="1" applyFont="1" applyFill="1" applyBorder="1" applyAlignment="1">
      <alignment horizontal="center"/>
    </xf>
    <xf numFmtId="4" fontId="6" fillId="15" borderId="54" xfId="4" applyNumberFormat="1" applyFont="1" applyFill="1" applyBorder="1" applyAlignment="1">
      <alignment horizontal="center"/>
    </xf>
    <xf numFmtId="4" fontId="6" fillId="15" borderId="12" xfId="0" applyFont="1" applyFill="1" applyBorder="1" applyAlignment="1">
      <alignment horizontal="center" vertical="top"/>
    </xf>
    <xf numFmtId="4" fontId="6" fillId="15" borderId="53" xfId="0" applyFont="1" applyFill="1" applyBorder="1" applyAlignment="1">
      <alignment horizontal="center" vertical="top"/>
    </xf>
    <xf numFmtId="4" fontId="6" fillId="15" borderId="54" xfId="0" applyFont="1" applyFill="1" applyBorder="1" applyAlignment="1">
      <alignment horizontal="center" vertical="top"/>
    </xf>
    <xf numFmtId="4" fontId="6" fillId="2" borderId="48" xfId="4" applyNumberFormat="1" applyFont="1" applyFill="1" applyBorder="1" applyAlignment="1">
      <alignment horizontal="center" wrapText="1"/>
    </xf>
    <xf numFmtId="4" fontId="6" fillId="2" borderId="7" xfId="4" applyNumberFormat="1" applyFont="1" applyFill="1" applyBorder="1" applyAlignment="1">
      <alignment horizontal="center" wrapText="1"/>
    </xf>
    <xf numFmtId="4" fontId="6" fillId="2" borderId="12" xfId="4" applyNumberFormat="1" applyFont="1" applyFill="1" applyBorder="1" applyAlignment="1">
      <alignment horizontal="center"/>
    </xf>
    <xf numFmtId="4" fontId="6" fillId="2" borderId="53" xfId="4" applyNumberFormat="1" applyFont="1" applyFill="1" applyBorder="1" applyAlignment="1">
      <alignment horizontal="center"/>
    </xf>
    <xf numFmtId="4" fontId="6" fillId="2" borderId="54" xfId="4" applyNumberFormat="1" applyFont="1" applyFill="1" applyBorder="1" applyAlignment="1">
      <alignment horizontal="center"/>
    </xf>
    <xf numFmtId="3" fontId="6" fillId="2" borderId="48" xfId="4" applyFont="1" applyFill="1" applyBorder="1" applyAlignment="1">
      <alignment horizontal="center" wrapText="1"/>
    </xf>
    <xf numFmtId="3" fontId="6" fillId="2" borderId="7" xfId="4" applyFont="1" applyFill="1" applyBorder="1" applyAlignment="1">
      <alignment horizontal="center" wrapText="1"/>
    </xf>
    <xf numFmtId="4" fontId="4" fillId="0" borderId="0" xfId="0" applyFont="1" applyAlignment="1">
      <alignment horizontal="center" vertical="top"/>
    </xf>
    <xf numFmtId="3" fontId="6" fillId="2" borderId="12" xfId="4" applyFont="1" applyFill="1" applyBorder="1" applyAlignment="1">
      <alignment horizontal="center"/>
    </xf>
    <xf numFmtId="3" fontId="6" fillId="2" borderId="53" xfId="4" applyFont="1" applyFill="1" applyBorder="1" applyAlignment="1">
      <alignment horizontal="center"/>
    </xf>
    <xf numFmtId="3" fontId="6" fillId="2" borderId="54" xfId="4" applyFont="1" applyFill="1" applyBorder="1" applyAlignment="1">
      <alignment horizontal="center"/>
    </xf>
    <xf numFmtId="49" fontId="6" fillId="2" borderId="8" xfId="4" applyNumberFormat="1" applyFont="1" applyFill="1" applyBorder="1" applyAlignment="1">
      <alignment horizontal="center" wrapText="1"/>
    </xf>
    <xf numFmtId="4" fontId="5" fillId="2" borderId="9" xfId="0" applyFont="1" applyFill="1" applyBorder="1" applyAlignment="1">
      <alignment horizontal="center" wrapText="1"/>
    </xf>
    <xf numFmtId="4" fontId="5" fillId="2" borderId="61" xfId="0" applyFont="1" applyFill="1" applyBorder="1" applyAlignment="1">
      <alignment horizontal="center" wrapText="1"/>
    </xf>
    <xf numFmtId="4" fontId="5" fillId="2" borderId="67" xfId="0" applyFont="1" applyFill="1" applyBorder="1" applyAlignment="1">
      <alignment horizontal="center" wrapText="1"/>
    </xf>
    <xf numFmtId="4" fontId="5" fillId="2" borderId="68" xfId="0" applyFont="1" applyFill="1" applyBorder="1" applyAlignment="1">
      <alignment horizontal="center" wrapText="1"/>
    </xf>
    <xf numFmtId="4" fontId="5" fillId="2" borderId="69" xfId="0" applyFont="1" applyFill="1" applyBorder="1" applyAlignment="1">
      <alignment horizontal="center" wrapText="1"/>
    </xf>
    <xf numFmtId="49" fontId="6" fillId="2" borderId="48" xfId="4" applyNumberFormat="1" applyFont="1" applyFill="1" applyBorder="1" applyAlignment="1">
      <alignment horizontal="center" wrapText="1"/>
    </xf>
    <xf numFmtId="49" fontId="6" fillId="2" borderId="56" xfId="4" applyNumberFormat="1" applyFont="1" applyFill="1" applyBorder="1" applyAlignment="1">
      <alignment horizontal="center" wrapText="1"/>
    </xf>
    <xf numFmtId="49" fontId="6" fillId="2" borderId="7" xfId="4" applyNumberFormat="1" applyFont="1" applyFill="1" applyBorder="1" applyAlignment="1">
      <alignment horizontal="center" wrapText="1"/>
    </xf>
    <xf numFmtId="4" fontId="5" fillId="2" borderId="56" xfId="0" applyFont="1" applyFill="1" applyBorder="1" applyAlignment="1">
      <alignment horizontal="center" wrapText="1"/>
    </xf>
    <xf numFmtId="4" fontId="5" fillId="2" borderId="7" xfId="0" applyFont="1" applyFill="1" applyBorder="1" applyAlignment="1">
      <alignment horizontal="center" wrapText="1"/>
    </xf>
    <xf numFmtId="0" fontId="13" fillId="0" borderId="27" xfId="5" applyFont="1" applyBorder="1" applyAlignment="1">
      <alignment horizontal="left" vertical="top" wrapText="1"/>
    </xf>
    <xf numFmtId="0" fontId="13" fillId="0" borderId="44" xfId="5" applyFont="1" applyBorder="1" applyAlignment="1">
      <alignment horizontal="left" vertical="top" wrapText="1"/>
    </xf>
    <xf numFmtId="0" fontId="39" fillId="4" borderId="35" xfId="5" applyFont="1" applyFill="1" applyBorder="1" applyAlignment="1">
      <alignment horizontal="left" vertical="center"/>
    </xf>
    <xf numFmtId="0" fontId="39" fillId="4" borderId="38" xfId="5" applyFont="1" applyFill="1" applyBorder="1" applyAlignment="1">
      <alignment horizontal="left" vertical="center"/>
    </xf>
    <xf numFmtId="0" fontId="39" fillId="9" borderId="0" xfId="5" applyFont="1" applyFill="1" applyAlignment="1">
      <alignment horizontal="left"/>
    </xf>
    <xf numFmtId="0" fontId="39" fillId="4" borderId="27" xfId="5" applyFont="1" applyFill="1" applyBorder="1" applyAlignment="1">
      <alignment horizontal="left" vertical="center"/>
    </xf>
    <xf numFmtId="0" fontId="39" fillId="4" borderId="44" xfId="5" applyFont="1" applyFill="1" applyBorder="1" applyAlignment="1">
      <alignment horizontal="left" vertical="center"/>
    </xf>
    <xf numFmtId="0" fontId="41" fillId="5" borderId="12" xfId="5" applyFont="1" applyFill="1" applyBorder="1" applyAlignment="1">
      <alignment horizontal="center"/>
    </xf>
    <xf numFmtId="0" fontId="41" fillId="5" borderId="54" xfId="5" applyFont="1" applyFill="1" applyBorder="1" applyAlignment="1">
      <alignment horizontal="center"/>
    </xf>
    <xf numFmtId="0" fontId="39" fillId="4" borderId="5" xfId="5" applyFont="1" applyFill="1" applyBorder="1" applyAlignment="1">
      <alignment horizontal="left" vertical="center"/>
    </xf>
    <xf numFmtId="0" fontId="39" fillId="4" borderId="37" xfId="5" applyFont="1" applyFill="1" applyBorder="1" applyAlignment="1">
      <alignment horizontal="left" vertical="center"/>
    </xf>
    <xf numFmtId="0" fontId="39" fillId="4" borderId="43" xfId="5" applyFont="1" applyFill="1" applyBorder="1" applyAlignment="1">
      <alignment horizontal="left" vertical="center"/>
    </xf>
    <xf numFmtId="0" fontId="41" fillId="5" borderId="5" xfId="5" applyFont="1" applyFill="1" applyBorder="1" applyAlignment="1">
      <alignment horizontal="center"/>
    </xf>
    <xf numFmtId="0" fontId="40" fillId="6" borderId="62" xfId="5" applyFont="1" applyFill="1" applyBorder="1" applyAlignment="1">
      <alignment horizontal="left"/>
    </xf>
    <xf numFmtId="0" fontId="40" fillId="6" borderId="63" xfId="5" applyFont="1" applyFill="1" applyBorder="1" applyAlignment="1">
      <alignment horizontal="left"/>
    </xf>
    <xf numFmtId="0" fontId="13" fillId="0" borderId="3" xfId="5" applyFont="1" applyBorder="1" applyAlignment="1">
      <alignment horizontal="left" vertical="top" wrapText="1"/>
    </xf>
    <xf numFmtId="0" fontId="39" fillId="6" borderId="27" xfId="5" applyFont="1" applyFill="1" applyBorder="1" applyAlignment="1">
      <alignment horizontal="left"/>
    </xf>
    <xf numFmtId="0" fontId="39" fillId="6" borderId="45" xfId="5" applyFont="1" applyFill="1" applyBorder="1" applyAlignment="1">
      <alignment horizontal="left"/>
    </xf>
    <xf numFmtId="0" fontId="39" fillId="6" borderId="44" xfId="5" applyFont="1" applyFill="1" applyBorder="1" applyAlignment="1">
      <alignment horizontal="left"/>
    </xf>
    <xf numFmtId="0" fontId="13" fillId="0" borderId="2" xfId="5" applyFont="1" applyBorder="1" applyAlignment="1">
      <alignment horizontal="left" vertical="top" wrapText="1"/>
    </xf>
    <xf numFmtId="4" fontId="13" fillId="0" borderId="30" xfId="5" applyNumberFormat="1" applyFont="1" applyBorder="1" applyAlignment="1">
      <alignment horizontal="left" vertical="top" wrapText="1"/>
    </xf>
    <xf numFmtId="4" fontId="13" fillId="0" borderId="53" xfId="5" applyNumberFormat="1" applyFont="1" applyBorder="1" applyAlignment="1">
      <alignment horizontal="left" vertical="top" wrapText="1"/>
    </xf>
    <xf numFmtId="4" fontId="13" fillId="0" borderId="64" xfId="5" applyNumberFormat="1" applyFont="1" applyBorder="1" applyAlignment="1">
      <alignment horizontal="left" vertical="top" wrapText="1"/>
    </xf>
    <xf numFmtId="0" fontId="13" fillId="0" borderId="4" xfId="5" applyFont="1" applyBorder="1" applyAlignment="1">
      <alignment horizontal="left" vertical="top" wrapText="1"/>
    </xf>
    <xf numFmtId="0" fontId="39" fillId="6" borderId="5" xfId="5" applyFont="1" applyFill="1" applyBorder="1" applyAlignment="1">
      <alignment horizontal="left"/>
    </xf>
    <xf numFmtId="0" fontId="39" fillId="6" borderId="19" xfId="5" applyFont="1" applyFill="1" applyBorder="1" applyAlignment="1">
      <alignment horizontal="left"/>
    </xf>
    <xf numFmtId="4" fontId="41" fillId="5" borderId="5" xfId="5" applyNumberFormat="1" applyFont="1" applyFill="1" applyBorder="1" applyAlignment="1">
      <alignment horizontal="center"/>
    </xf>
    <xf numFmtId="4" fontId="41" fillId="5" borderId="19" xfId="5" applyNumberFormat="1" applyFont="1" applyFill="1" applyBorder="1" applyAlignment="1">
      <alignment horizontal="center"/>
    </xf>
    <xf numFmtId="4" fontId="47" fillId="6" borderId="5" xfId="5" applyNumberFormat="1" applyFont="1" applyFill="1" applyBorder="1" applyAlignment="1">
      <alignment horizontal="left"/>
    </xf>
    <xf numFmtId="4" fontId="47" fillId="6" borderId="19" xfId="5" applyNumberFormat="1" applyFont="1" applyFill="1" applyBorder="1" applyAlignment="1">
      <alignment horizontal="left"/>
    </xf>
    <xf numFmtId="0" fontId="41" fillId="5" borderId="19" xfId="5" applyFont="1" applyFill="1" applyBorder="1" applyAlignment="1">
      <alignment horizontal="center"/>
    </xf>
    <xf numFmtId="4" fontId="39" fillId="6" borderId="5" xfId="5" applyNumberFormat="1" applyFont="1" applyFill="1" applyBorder="1" applyAlignment="1">
      <alignment horizontal="left"/>
    </xf>
    <xf numFmtId="0" fontId="46" fillId="0" borderId="30" xfId="5" applyFont="1" applyBorder="1" applyAlignment="1">
      <alignment horizontal="left" vertical="top" wrapText="1"/>
    </xf>
    <xf numFmtId="0" fontId="46" fillId="0" borderId="53" xfId="5" applyFont="1" applyBorder="1" applyAlignment="1">
      <alignment horizontal="left" vertical="top" wrapText="1"/>
    </xf>
    <xf numFmtId="0" fontId="46" fillId="0" borderId="64" xfId="5" applyFont="1" applyBorder="1" applyAlignment="1">
      <alignment horizontal="left" vertical="top" wrapText="1"/>
    </xf>
    <xf numFmtId="4" fontId="39" fillId="4" borderId="5" xfId="5" applyNumberFormat="1" applyFont="1" applyFill="1" applyBorder="1" applyAlignment="1">
      <alignment horizontal="center"/>
    </xf>
    <xf numFmtId="4" fontId="39" fillId="4" borderId="19" xfId="5" applyNumberFormat="1" applyFont="1" applyFill="1" applyBorder="1" applyAlignment="1">
      <alignment horizontal="center"/>
    </xf>
    <xf numFmtId="0" fontId="13" fillId="0" borderId="27" xfId="5" applyFont="1" applyBorder="1" applyAlignment="1">
      <alignment vertical="top" wrapText="1"/>
    </xf>
    <xf numFmtId="0" fontId="13" fillId="0" borderId="44" xfId="5" applyFont="1" applyBorder="1" applyAlignment="1">
      <alignment vertical="top" wrapText="1"/>
    </xf>
    <xf numFmtId="0" fontId="13" fillId="0" borderId="32" xfId="5" applyFont="1" applyBorder="1" applyAlignment="1">
      <alignment horizontal="left" vertical="top" wrapText="1"/>
    </xf>
    <xf numFmtId="0" fontId="40" fillId="0" borderId="27" xfId="5" applyFont="1" applyBorder="1" applyAlignment="1">
      <alignment horizontal="left" vertical="top" wrapText="1"/>
    </xf>
    <xf numFmtId="0" fontId="40" fillId="0" borderId="45" xfId="5" applyFont="1" applyBorder="1" applyAlignment="1">
      <alignment horizontal="left" vertical="top" wrapText="1"/>
    </xf>
    <xf numFmtId="0" fontId="40" fillId="0" borderId="44" xfId="5" applyFont="1" applyBorder="1" applyAlignment="1">
      <alignment horizontal="left" vertical="top" wrapText="1"/>
    </xf>
    <xf numFmtId="0" fontId="12" fillId="9" borderId="0" xfId="5" applyFont="1" applyFill="1" applyAlignment="1">
      <alignment horizontal="left"/>
    </xf>
    <xf numFmtId="4" fontId="40" fillId="0" borderId="3" xfId="0" applyFont="1" applyBorder="1" applyAlignment="1">
      <alignment horizontal="left" vertical="top" wrapText="1"/>
    </xf>
    <xf numFmtId="4" fontId="40" fillId="0" borderId="26" xfId="0" applyFont="1" applyBorder="1" applyAlignment="1">
      <alignment horizontal="left" vertical="top" wrapText="1"/>
    </xf>
    <xf numFmtId="4" fontId="40" fillId="0" borderId="51" xfId="0" applyFont="1" applyBorder="1" applyAlignment="1">
      <alignment horizontal="left" vertical="top" wrapText="1"/>
    </xf>
    <xf numFmtId="4" fontId="40" fillId="0" borderId="49" xfId="0" applyFont="1" applyBorder="1" applyAlignment="1">
      <alignment horizontal="left" vertical="top" wrapText="1"/>
    </xf>
    <xf numFmtId="4" fontId="40" fillId="0" borderId="27" xfId="0" applyFont="1" applyBorder="1" applyAlignment="1">
      <alignment horizontal="left" vertical="top" wrapText="1"/>
    </xf>
    <xf numFmtId="4" fontId="40" fillId="0" borderId="45" xfId="0" applyFont="1" applyBorder="1" applyAlignment="1">
      <alignment horizontal="left" vertical="top" wrapText="1"/>
    </xf>
    <xf numFmtId="4" fontId="40" fillId="0" borderId="44" xfId="0" applyFont="1" applyBorder="1" applyAlignment="1">
      <alignment horizontal="left" vertical="top" wrapText="1"/>
    </xf>
    <xf numFmtId="4" fontId="40" fillId="0" borderId="35" xfId="0" applyNumberFormat="1" applyFont="1" applyBorder="1" applyAlignment="1">
      <alignment horizontal="left" vertical="center" wrapText="1"/>
    </xf>
    <xf numFmtId="4" fontId="40" fillId="0" borderId="28" xfId="0" applyFont="1" applyBorder="1" applyAlignment="1">
      <alignment horizontal="left" vertical="top" wrapText="1"/>
    </xf>
    <xf numFmtId="4" fontId="40" fillId="0" borderId="46" xfId="0" applyFont="1" applyBorder="1" applyAlignment="1">
      <alignment horizontal="left" vertical="top" wrapText="1"/>
    </xf>
    <xf numFmtId="4" fontId="40" fillId="0" borderId="47" xfId="0" applyFont="1" applyBorder="1" applyAlignment="1">
      <alignment horizontal="left" vertical="top" wrapText="1"/>
    </xf>
    <xf numFmtId="4" fontId="40" fillId="0" borderId="26" xfId="0" applyFont="1" applyBorder="1" applyAlignment="1">
      <alignment horizontal="left" vertical="center" wrapText="1"/>
    </xf>
    <xf numFmtId="4" fontId="40" fillId="0" borderId="51" xfId="0" applyFont="1" applyBorder="1" applyAlignment="1">
      <alignment horizontal="left" vertical="center" wrapText="1"/>
    </xf>
    <xf numFmtId="4" fontId="40" fillId="0" borderId="49" xfId="0" applyFont="1" applyBorder="1" applyAlignment="1">
      <alignment horizontal="left" vertical="center" wrapText="1"/>
    </xf>
    <xf numFmtId="4" fontId="40" fillId="0" borderId="28" xfId="0" applyFont="1" applyBorder="1" applyAlignment="1">
      <alignment horizontal="left" vertical="center" wrapText="1"/>
    </xf>
    <xf numFmtId="4" fontId="40" fillId="0" borderId="46" xfId="0" applyFont="1" applyBorder="1" applyAlignment="1">
      <alignment horizontal="left" vertical="center" wrapText="1"/>
    </xf>
    <xf numFmtId="4" fontId="40" fillId="0" borderId="47" xfId="0" applyFont="1" applyBorder="1" applyAlignment="1">
      <alignment horizontal="left" vertical="center" wrapText="1"/>
    </xf>
    <xf numFmtId="4" fontId="21" fillId="0" borderId="3" xfId="0" applyFont="1" applyFill="1" applyBorder="1" applyAlignment="1">
      <alignment horizontal="left" vertical="top" wrapText="1"/>
    </xf>
    <xf numFmtId="4" fontId="42" fillId="0" borderId="26" xfId="0" applyFont="1" applyBorder="1" applyAlignment="1">
      <alignment horizontal="left" vertical="center" wrapText="1"/>
    </xf>
    <xf numFmtId="4" fontId="42" fillId="0" borderId="51" xfId="0" applyFont="1" applyBorder="1" applyAlignment="1">
      <alignment horizontal="left" vertical="center" wrapText="1"/>
    </xf>
    <xf numFmtId="4" fontId="42" fillId="0" borderId="49" xfId="0" applyFont="1" applyBorder="1" applyAlignment="1">
      <alignment horizontal="left" vertical="center" wrapText="1"/>
    </xf>
    <xf numFmtId="4" fontId="40" fillId="0" borderId="2" xfId="0" applyNumberFormat="1" applyFont="1" applyBorder="1" applyAlignment="1">
      <alignment horizontal="left" vertical="center" wrapText="1"/>
    </xf>
    <xf numFmtId="4" fontId="21" fillId="0" borderId="2" xfId="0" applyFont="1" applyFill="1" applyBorder="1" applyAlignment="1">
      <alignment horizontal="left" vertical="top" wrapText="1"/>
    </xf>
    <xf numFmtId="4" fontId="41" fillId="5" borderId="53" xfId="0" applyFont="1" applyFill="1" applyBorder="1" applyAlignment="1">
      <alignment horizontal="center"/>
    </xf>
    <xf numFmtId="4" fontId="21" fillId="0" borderId="3"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49" fontId="21" fillId="0" borderId="3" xfId="0" applyNumberFormat="1" applyFont="1" applyFill="1" applyBorder="1" applyAlignment="1">
      <alignment horizontal="center" vertical="center" wrapText="1"/>
    </xf>
    <xf numFmtId="4" fontId="40" fillId="0" borderId="3" xfId="0" applyFont="1" applyBorder="1" applyAlignment="1">
      <alignment vertical="top"/>
    </xf>
    <xf numFmtId="49" fontId="40" fillId="0" borderId="3" xfId="0" applyNumberFormat="1" applyFont="1" applyBorder="1" applyAlignment="1">
      <alignment vertical="top"/>
    </xf>
    <xf numFmtId="49" fontId="40" fillId="0" borderId="27" xfId="0" applyNumberFormat="1" applyFont="1" applyBorder="1" applyAlignment="1">
      <alignment horizontal="left" vertical="top"/>
    </xf>
    <xf numFmtId="49" fontId="40" fillId="0" borderId="45" xfId="0" applyNumberFormat="1" applyFont="1" applyBorder="1" applyAlignment="1">
      <alignment horizontal="left" vertical="top"/>
    </xf>
    <xf numFmtId="49" fontId="40" fillId="0" borderId="44" xfId="0" applyNumberFormat="1" applyFont="1" applyBorder="1" applyAlignment="1">
      <alignment horizontal="left" vertical="top"/>
    </xf>
    <xf numFmtId="4" fontId="40" fillId="0" borderId="3" xfId="0" applyFont="1" applyBorder="1" applyAlignment="1">
      <alignment horizontal="left"/>
    </xf>
    <xf numFmtId="4" fontId="40" fillId="0" borderId="2" xfId="0" applyFont="1" applyBorder="1" applyAlignment="1">
      <alignment horizontal="left" vertical="center" wrapText="1"/>
    </xf>
    <xf numFmtId="4" fontId="43" fillId="0" borderId="26" xfId="0" applyFont="1" applyBorder="1" applyAlignment="1">
      <alignment horizontal="left" vertical="center" wrapText="1"/>
    </xf>
    <xf numFmtId="4" fontId="43" fillId="0" borderId="51" xfId="0" applyFont="1" applyBorder="1" applyAlignment="1">
      <alignment horizontal="left" vertical="center" wrapText="1"/>
    </xf>
    <xf numFmtId="4" fontId="43" fillId="0" borderId="49" xfId="0" applyFont="1" applyBorder="1" applyAlignment="1">
      <alignment horizontal="left" vertical="center" wrapText="1"/>
    </xf>
    <xf numFmtId="4" fontId="40" fillId="0" borderId="3" xfId="0" applyFont="1" applyBorder="1" applyAlignment="1"/>
    <xf numFmtId="4" fontId="0" fillId="0" borderId="3" xfId="0" applyBorder="1" applyAlignment="1"/>
    <xf numFmtId="4" fontId="40" fillId="4" borderId="3" xfId="0" applyFont="1" applyFill="1" applyBorder="1" applyAlignment="1">
      <alignment horizontal="left"/>
    </xf>
    <xf numFmtId="4" fontId="40" fillId="4" borderId="3" xfId="0" applyFont="1" applyFill="1" applyBorder="1" applyAlignment="1"/>
    <xf numFmtId="4" fontId="0" fillId="4" borderId="3" xfId="0" applyFill="1" applyBorder="1" applyAlignment="1"/>
    <xf numFmtId="4" fontId="41" fillId="5" borderId="0" xfId="0" applyFont="1" applyFill="1" applyBorder="1" applyAlignment="1">
      <alignment horizontal="center"/>
    </xf>
    <xf numFmtId="4" fontId="41" fillId="5" borderId="67" xfId="0" applyFont="1" applyFill="1" applyBorder="1" applyAlignment="1">
      <alignment horizontal="center"/>
    </xf>
    <xf numFmtId="4" fontId="13" fillId="0" borderId="74" xfId="0" applyFont="1" applyFill="1" applyBorder="1" applyAlignment="1">
      <alignment horizontal="left" vertical="top" wrapText="1"/>
    </xf>
    <xf numFmtId="4" fontId="13" fillId="0" borderId="42" xfId="0" applyFont="1" applyFill="1" applyBorder="1" applyAlignment="1">
      <alignment horizontal="left" vertical="top" wrapText="1"/>
    </xf>
    <xf numFmtId="4" fontId="13" fillId="0" borderId="43" xfId="0" applyFont="1" applyFill="1" applyBorder="1" applyAlignment="1">
      <alignment horizontal="left" vertical="top" wrapText="1"/>
    </xf>
    <xf numFmtId="4" fontId="40" fillId="11" borderId="11" xfId="0" applyFont="1" applyFill="1" applyBorder="1" applyAlignment="1">
      <alignment horizontal="left" vertical="top" wrapText="1"/>
    </xf>
    <xf numFmtId="4" fontId="40" fillId="11" borderId="45" xfId="0" applyFont="1" applyFill="1" applyBorder="1" applyAlignment="1">
      <alignment horizontal="left" vertical="top" wrapText="1"/>
    </xf>
    <xf numFmtId="4" fontId="40" fillId="11" borderId="44" xfId="0" applyFont="1" applyFill="1" applyBorder="1" applyAlignment="1">
      <alignment horizontal="left" vertical="top" wrapText="1"/>
    </xf>
    <xf numFmtId="4" fontId="13" fillId="11" borderId="74" xfId="0" applyFont="1" applyFill="1" applyBorder="1" applyAlignment="1">
      <alignment horizontal="left" vertical="top" wrapText="1"/>
    </xf>
    <xf numFmtId="4" fontId="13" fillId="11" borderId="42" xfId="0" applyFont="1" applyFill="1" applyBorder="1" applyAlignment="1">
      <alignment horizontal="left" vertical="top" wrapText="1"/>
    </xf>
    <xf numFmtId="4" fontId="13" fillId="11" borderId="43" xfId="0" applyFont="1" applyFill="1" applyBorder="1" applyAlignment="1">
      <alignment horizontal="left" vertical="top" wrapText="1"/>
    </xf>
    <xf numFmtId="4" fontId="13" fillId="11" borderId="11" xfId="0" applyFont="1" applyFill="1" applyBorder="1" applyAlignment="1">
      <alignment horizontal="left" vertical="top" wrapText="1"/>
    </xf>
    <xf numFmtId="4" fontId="13" fillId="11" borderId="45" xfId="0" applyFont="1" applyFill="1" applyBorder="1" applyAlignment="1">
      <alignment horizontal="left" vertical="top" wrapText="1"/>
    </xf>
    <xf numFmtId="4" fontId="13" fillId="11" borderId="44" xfId="0" applyFont="1" applyFill="1" applyBorder="1" applyAlignment="1">
      <alignment horizontal="left" vertical="top" wrapText="1"/>
    </xf>
    <xf numFmtId="4" fontId="13" fillId="0" borderId="11" xfId="0" applyFont="1" applyFill="1" applyBorder="1" applyAlignment="1">
      <alignment horizontal="left" vertical="top" wrapText="1"/>
    </xf>
    <xf numFmtId="4" fontId="13" fillId="0" borderId="45" xfId="0" applyFont="1" applyFill="1" applyBorder="1" applyAlignment="1">
      <alignment horizontal="left" vertical="top" wrapText="1"/>
    </xf>
    <xf numFmtId="4" fontId="13" fillId="0" borderId="44" xfId="0" applyFont="1" applyFill="1" applyBorder="1" applyAlignment="1">
      <alignment horizontal="left" vertical="top" wrapText="1"/>
    </xf>
    <xf numFmtId="4" fontId="40" fillId="11" borderId="74" xfId="0" applyFont="1" applyFill="1" applyBorder="1" applyAlignment="1">
      <alignment horizontal="left" vertical="top" wrapText="1"/>
    </xf>
    <xf numFmtId="4" fontId="40" fillId="11" borderId="42" xfId="0" applyFont="1" applyFill="1" applyBorder="1" applyAlignment="1">
      <alignment horizontal="left" vertical="top" wrapText="1"/>
    </xf>
    <xf numFmtId="4" fontId="40" fillId="11" borderId="43" xfId="0" applyFont="1" applyFill="1" applyBorder="1" applyAlignment="1">
      <alignment horizontal="left" vertical="top" wrapText="1"/>
    </xf>
    <xf numFmtId="4" fontId="40" fillId="0" borderId="11" xfId="0" applyFont="1" applyFill="1" applyBorder="1" applyAlignment="1">
      <alignment horizontal="left" vertical="top" wrapText="1"/>
    </xf>
    <xf numFmtId="4" fontId="40" fillId="0" borderId="45" xfId="0" applyFont="1" applyFill="1" applyBorder="1" applyAlignment="1">
      <alignment horizontal="left" vertical="top" wrapText="1"/>
    </xf>
    <xf numFmtId="4" fontId="40" fillId="0" borderId="44" xfId="0" applyFont="1" applyFill="1" applyBorder="1" applyAlignment="1">
      <alignment horizontal="left" vertical="top" wrapText="1"/>
    </xf>
    <xf numFmtId="4" fontId="13" fillId="0" borderId="74" xfId="0" applyFont="1" applyBorder="1" applyAlignment="1">
      <alignment horizontal="left" vertical="top" wrapText="1"/>
    </xf>
    <xf numFmtId="4" fontId="13" fillId="0" borderId="42" xfId="0" applyFont="1" applyBorder="1" applyAlignment="1">
      <alignment horizontal="left" vertical="top" wrapText="1"/>
    </xf>
    <xf numFmtId="4" fontId="40" fillId="0" borderId="74" xfId="0" applyFont="1" applyBorder="1" applyAlignment="1">
      <alignment horizontal="left" vertical="top" wrapText="1"/>
    </xf>
    <xf numFmtId="4" fontId="40" fillId="0" borderId="42" xfId="0" applyFont="1" applyBorder="1" applyAlignment="1">
      <alignment horizontal="left" vertical="top" wrapText="1"/>
    </xf>
    <xf numFmtId="4" fontId="40" fillId="0" borderId="43" xfId="0" applyFont="1" applyBorder="1" applyAlignment="1">
      <alignment horizontal="left" vertical="top" wrapText="1"/>
    </xf>
    <xf numFmtId="4" fontId="40" fillId="0" borderId="75" xfId="0" applyFont="1" applyBorder="1" applyAlignment="1">
      <alignment horizontal="left" vertical="top" wrapText="1"/>
    </xf>
    <xf numFmtId="4" fontId="40" fillId="0" borderId="76" xfId="0" applyFont="1" applyBorder="1" applyAlignment="1">
      <alignment horizontal="left" vertical="top" wrapText="1"/>
    </xf>
    <xf numFmtId="4" fontId="40" fillId="0" borderId="77" xfId="0" applyFont="1" applyBorder="1" applyAlignment="1">
      <alignment horizontal="left" vertical="top" wrapText="1"/>
    </xf>
    <xf numFmtId="4" fontId="40" fillId="0" borderId="11" xfId="0" applyFont="1" applyBorder="1" applyAlignment="1">
      <alignment horizontal="left" vertical="top" wrapText="1"/>
    </xf>
    <xf numFmtId="4" fontId="13" fillId="0" borderId="3" xfId="0" applyNumberFormat="1" applyFont="1" applyBorder="1" applyAlignment="1">
      <alignment horizontal="left" vertical="top" wrapText="1"/>
    </xf>
    <xf numFmtId="4" fontId="39" fillId="4" borderId="3" xfId="0" applyNumberFormat="1" applyFont="1" applyFill="1" applyBorder="1" applyAlignment="1">
      <alignment horizontal="center"/>
    </xf>
    <xf numFmtId="4" fontId="15" fillId="0" borderId="0" xfId="0" applyFont="1" applyAlignment="1">
      <alignment horizontal="left"/>
    </xf>
    <xf numFmtId="4" fontId="31" fillId="0" borderId="28" xfId="0" applyFont="1" applyBorder="1" applyAlignment="1">
      <alignment horizontal="left" vertical="top" wrapText="1"/>
    </xf>
    <xf numFmtId="4" fontId="31" fillId="0" borderId="26" xfId="0" applyFont="1" applyBorder="1" applyAlignment="1">
      <alignment horizontal="left" vertical="top" wrapText="1"/>
    </xf>
    <xf numFmtId="4" fontId="31" fillId="0" borderId="51" xfId="0" applyFont="1" applyBorder="1" applyAlignment="1">
      <alignment horizontal="left" vertical="top" wrapText="1"/>
    </xf>
    <xf numFmtId="4" fontId="31" fillId="0" borderId="49" xfId="0" applyFont="1" applyBorder="1" applyAlignment="1">
      <alignment horizontal="left" vertical="top" wrapText="1"/>
    </xf>
    <xf numFmtId="4" fontId="13" fillId="0" borderId="41" xfId="0" applyFont="1" applyFill="1" applyBorder="1" applyAlignment="1">
      <alignment horizontal="left" vertical="top" wrapText="1"/>
    </xf>
    <xf numFmtId="4" fontId="13" fillId="0" borderId="0" xfId="0" applyFont="1" applyFill="1" applyBorder="1" applyAlignment="1">
      <alignment horizontal="left" vertical="top"/>
    </xf>
    <xf numFmtId="4" fontId="13" fillId="0" borderId="0" xfId="0" applyFont="1" applyFill="1" applyBorder="1" applyAlignment="1">
      <alignment horizontal="left" vertical="top" wrapText="1"/>
    </xf>
    <xf numFmtId="4" fontId="18" fillId="0" borderId="0" xfId="0" applyFont="1" applyAlignment="1">
      <alignment horizontal="center"/>
    </xf>
    <xf numFmtId="3" fontId="7" fillId="0" borderId="17" xfId="4" applyFont="1" applyFill="1" applyBorder="1" applyAlignment="1">
      <alignment horizontal="left"/>
    </xf>
    <xf numFmtId="3" fontId="7" fillId="0" borderId="18" xfId="4" applyFont="1" applyFill="1" applyBorder="1" applyAlignment="1">
      <alignment horizontal="left"/>
    </xf>
    <xf numFmtId="4" fontId="21" fillId="0" borderId="3" xfId="0" applyFont="1" applyBorder="1" applyAlignment="1">
      <alignment vertical="top"/>
    </xf>
    <xf numFmtId="4" fontId="20" fillId="2" borderId="7" xfId="0" applyNumberFormat="1" applyFont="1" applyFill="1" applyBorder="1" applyAlignment="1">
      <alignment horizontal="center"/>
    </xf>
    <xf numFmtId="4" fontId="20" fillId="2" borderId="39" xfId="0" applyNumberFormat="1" applyFont="1" applyFill="1" applyBorder="1" applyAlignment="1">
      <alignment horizontal="center"/>
    </xf>
    <xf numFmtId="4" fontId="25" fillId="0" borderId="28" xfId="0" applyFont="1" applyBorder="1" applyAlignment="1">
      <alignment horizontal="left" vertical="center" wrapText="1"/>
    </xf>
    <xf numFmtId="4" fontId="25" fillId="0" borderId="46" xfId="0" applyFont="1" applyBorder="1" applyAlignment="1">
      <alignment horizontal="left" vertical="center" wrapText="1"/>
    </xf>
    <xf numFmtId="4" fontId="25" fillId="0" borderId="47" xfId="0" applyFont="1" applyBorder="1" applyAlignment="1">
      <alignment horizontal="left" vertical="center" wrapText="1"/>
    </xf>
    <xf numFmtId="4" fontId="0" fillId="0" borderId="3" xfId="0" applyFont="1" applyBorder="1" applyAlignment="1">
      <alignment horizontal="left" vertical="top" wrapText="1"/>
    </xf>
    <xf numFmtId="3" fontId="8" fillId="0" borderId="13" xfId="4" applyFont="1" applyFill="1" applyBorder="1" applyAlignment="1">
      <alignment horizontal="left"/>
    </xf>
    <xf numFmtId="3" fontId="8" fillId="0" borderId="70" xfId="4" applyFont="1" applyFill="1" applyBorder="1" applyAlignment="1">
      <alignment horizontal="left"/>
    </xf>
    <xf numFmtId="4" fontId="52" fillId="0" borderId="32" xfId="0" applyFont="1" applyBorder="1" applyAlignment="1">
      <alignment horizontal="left" vertical="top" wrapText="1"/>
    </xf>
    <xf numFmtId="4" fontId="52" fillId="0" borderId="3" xfId="0" applyFont="1" applyBorder="1" applyAlignment="1">
      <alignment horizontal="left" vertical="top" wrapText="1"/>
    </xf>
    <xf numFmtId="4" fontId="13" fillId="0" borderId="30" xfId="0" applyNumberFormat="1" applyFont="1" applyBorder="1" applyAlignment="1">
      <alignment horizontal="center" vertical="center" wrapText="1"/>
    </xf>
    <xf numFmtId="4" fontId="13" fillId="0" borderId="53" xfId="0" applyNumberFormat="1" applyFont="1" applyBorder="1" applyAlignment="1">
      <alignment horizontal="center" vertical="center" wrapText="1"/>
    </xf>
    <xf numFmtId="4" fontId="13" fillId="0" borderId="64" xfId="0" applyNumberFormat="1" applyFont="1" applyBorder="1" applyAlignment="1">
      <alignment horizontal="center" vertical="center" wrapText="1"/>
    </xf>
    <xf numFmtId="4" fontId="52" fillId="0" borderId="3" xfId="0" applyFont="1" applyFill="1" applyBorder="1" applyAlignment="1">
      <alignment horizontal="left" vertical="top" wrapText="1"/>
    </xf>
    <xf numFmtId="4" fontId="52" fillId="0" borderId="2" xfId="0" applyFont="1" applyBorder="1" applyAlignment="1">
      <alignment horizontal="left" vertical="center" wrapText="1"/>
    </xf>
    <xf numFmtId="4" fontId="51" fillId="0" borderId="45" xfId="0" applyFont="1" applyBorder="1" applyAlignment="1">
      <alignment horizontal="left" vertical="top" wrapText="1"/>
    </xf>
    <xf numFmtId="4" fontId="51" fillId="0" borderId="44" xfId="0" applyFont="1" applyBorder="1" applyAlignment="1">
      <alignment horizontal="left" vertical="top" wrapText="1"/>
    </xf>
    <xf numFmtId="4" fontId="39" fillId="4" borderId="41" xfId="0" applyFont="1" applyFill="1" applyBorder="1" applyAlignment="1">
      <alignment horizontal="left" vertical="center"/>
    </xf>
    <xf numFmtId="4" fontId="13" fillId="0" borderId="36" xfId="0" applyFont="1" applyBorder="1" applyAlignment="1">
      <alignment horizontal="left" vertical="top" wrapText="1"/>
    </xf>
    <xf numFmtId="4" fontId="13" fillId="0" borderId="50" xfId="0" applyFont="1" applyBorder="1" applyAlignment="1">
      <alignment horizontal="left" vertical="top" wrapText="1"/>
    </xf>
    <xf numFmtId="4" fontId="13" fillId="0" borderId="72" xfId="0" applyFont="1" applyBorder="1" applyAlignment="1">
      <alignment horizontal="left" vertical="top" wrapText="1"/>
    </xf>
    <xf numFmtId="4" fontId="13" fillId="0" borderId="41" xfId="0" applyFont="1" applyBorder="1" applyAlignment="1">
      <alignment horizontal="left" vertical="top" wrapText="1"/>
    </xf>
    <xf numFmtId="4" fontId="13" fillId="0" borderId="0" xfId="0" applyFont="1" applyBorder="1" applyAlignment="1">
      <alignment horizontal="left" vertical="top" wrapText="1"/>
    </xf>
    <xf numFmtId="4" fontId="13" fillId="0" borderId="80" xfId="0" applyFont="1" applyBorder="1" applyAlignment="1">
      <alignment horizontal="left" vertical="top" wrapText="1"/>
    </xf>
    <xf numFmtId="4" fontId="13" fillId="0" borderId="28" xfId="0" applyFont="1" applyBorder="1" applyAlignment="1">
      <alignment horizontal="left" vertical="center" wrapText="1"/>
    </xf>
    <xf numFmtId="4" fontId="43" fillId="0" borderId="46" xfId="0" applyFont="1" applyBorder="1" applyAlignment="1">
      <alignment horizontal="left" vertical="center" wrapText="1"/>
    </xf>
    <xf numFmtId="4" fontId="43" fillId="0" borderId="47" xfId="0" applyFont="1" applyBorder="1" applyAlignment="1">
      <alignment horizontal="left" vertical="center" wrapText="1"/>
    </xf>
    <xf numFmtId="4" fontId="31" fillId="0" borderId="26" xfId="0" applyFont="1" applyBorder="1" applyAlignment="1">
      <alignment horizontal="left" vertical="center" wrapText="1"/>
    </xf>
    <xf numFmtId="4" fontId="31" fillId="0" borderId="51" xfId="0" applyFont="1" applyBorder="1" applyAlignment="1">
      <alignment horizontal="left" vertical="center" wrapText="1"/>
    </xf>
    <xf numFmtId="4" fontId="31" fillId="0" borderId="49" xfId="0" applyFont="1" applyBorder="1" applyAlignment="1">
      <alignment horizontal="left" vertical="center" wrapText="1"/>
    </xf>
    <xf numFmtId="4" fontId="13" fillId="0" borderId="71" xfId="0" applyFont="1" applyBorder="1" applyAlignment="1">
      <alignment horizontal="left" vertical="top" wrapText="1"/>
    </xf>
    <xf numFmtId="4" fontId="13" fillId="0" borderId="52" xfId="0" applyFont="1" applyBorder="1" applyAlignment="1">
      <alignment horizontal="left" vertical="top" wrapText="1"/>
    </xf>
    <xf numFmtId="4" fontId="13" fillId="0" borderId="62" xfId="0" applyFont="1" applyBorder="1" applyAlignment="1">
      <alignment horizontal="left" vertical="top" wrapText="1"/>
    </xf>
    <xf numFmtId="4" fontId="13" fillId="0" borderId="59" xfId="0" applyFont="1" applyBorder="1" applyAlignment="1">
      <alignment horizontal="left" vertical="top" wrapText="1"/>
    </xf>
    <xf numFmtId="4" fontId="13" fillId="0" borderId="6" xfId="0" applyFont="1" applyBorder="1" applyAlignment="1">
      <alignment horizontal="left" vertical="top" wrapText="1"/>
    </xf>
    <xf numFmtId="4" fontId="13" fillId="0" borderId="81" xfId="0" applyFont="1" applyBorder="1" applyAlignment="1">
      <alignment horizontal="left" vertical="top" wrapText="1"/>
    </xf>
    <xf numFmtId="4" fontId="47" fillId="6" borderId="7" xfId="0" applyNumberFormat="1" applyFont="1" applyFill="1" applyBorder="1" applyAlignment="1">
      <alignment horizontal="left"/>
    </xf>
    <xf numFmtId="4" fontId="47" fillId="6" borderId="39" xfId="0" applyNumberFormat="1" applyFont="1" applyFill="1" applyBorder="1" applyAlignment="1">
      <alignment horizontal="left"/>
    </xf>
    <xf numFmtId="4" fontId="43" fillId="0" borderId="45" xfId="0" applyFont="1" applyBorder="1" applyAlignment="1">
      <alignment horizontal="left" vertical="top" wrapText="1"/>
    </xf>
    <xf numFmtId="4" fontId="43" fillId="0" borderId="44" xfId="0" applyFont="1" applyBorder="1" applyAlignment="1">
      <alignment horizontal="left" vertical="top" wrapText="1"/>
    </xf>
    <xf numFmtId="4" fontId="0" fillId="0" borderId="44" xfId="0" applyFont="1" applyBorder="1" applyAlignment="1">
      <alignment horizontal="left" vertical="top"/>
    </xf>
    <xf numFmtId="4" fontId="43" fillId="0" borderId="30" xfId="0" applyNumberFormat="1" applyFont="1" applyBorder="1" applyAlignment="1">
      <alignment horizontal="left" vertical="center" wrapText="1"/>
    </xf>
    <xf numFmtId="4" fontId="43" fillId="0" borderId="53" xfId="0" applyNumberFormat="1" applyFont="1" applyBorder="1" applyAlignment="1">
      <alignment horizontal="left" vertical="center" wrapText="1"/>
    </xf>
    <xf numFmtId="4" fontId="43" fillId="0" borderId="64" xfId="0" applyNumberFormat="1" applyFont="1" applyBorder="1" applyAlignment="1">
      <alignment horizontal="left" vertical="center" wrapText="1"/>
    </xf>
    <xf numFmtId="14" fontId="13" fillId="0" borderId="27" xfId="0" applyNumberFormat="1" applyFont="1" applyBorder="1" applyAlignment="1">
      <alignment horizontal="left" vertical="top"/>
    </xf>
    <xf numFmtId="167" fontId="13" fillId="0" borderId="27" xfId="0" applyNumberFormat="1" applyFont="1" applyBorder="1" applyAlignment="1">
      <alignment horizontal="left" vertical="top"/>
    </xf>
    <xf numFmtId="4" fontId="13" fillId="0" borderId="32" xfId="0" applyFont="1" applyBorder="1" applyAlignment="1">
      <alignment horizontal="left" vertical="top" wrapText="1"/>
    </xf>
    <xf numFmtId="4" fontId="5" fillId="0" borderId="26" xfId="0" applyFont="1" applyBorder="1" applyAlignment="1">
      <alignment horizontal="left" vertical="center" wrapText="1"/>
    </xf>
    <xf numFmtId="4" fontId="5" fillId="0" borderId="51" xfId="0" applyFont="1" applyBorder="1" applyAlignment="1">
      <alignment horizontal="left" vertical="center" wrapText="1"/>
    </xf>
    <xf numFmtId="4" fontId="5" fillId="0" borderId="49" xfId="0" applyFont="1" applyBorder="1" applyAlignment="1">
      <alignment horizontal="left" vertical="center" wrapText="1"/>
    </xf>
    <xf numFmtId="4" fontId="23" fillId="0" borderId="3" xfId="0" applyFont="1" applyBorder="1" applyAlignment="1">
      <alignment horizontal="left" vertical="top" wrapText="1"/>
    </xf>
    <xf numFmtId="4" fontId="20" fillId="3" borderId="7" xfId="0" applyFont="1" applyFill="1" applyBorder="1" applyAlignment="1">
      <alignment horizontal="left"/>
    </xf>
    <xf numFmtId="4" fontId="20" fillId="3" borderId="39" xfId="0" applyFont="1" applyFill="1" applyBorder="1" applyAlignment="1">
      <alignment horizontal="left"/>
    </xf>
    <xf numFmtId="4" fontId="21" fillId="0" borderId="50" xfId="0" applyFont="1" applyBorder="1" applyAlignment="1">
      <alignment horizontal="left" vertical="top" wrapText="1"/>
    </xf>
  </cellXfs>
  <cellStyles count="6">
    <cellStyle name="Čárka" xfId="1" builtinId="3"/>
    <cellStyle name="Normální" xfId="0" builtinId="0"/>
    <cellStyle name="Normální 2" xfId="2"/>
    <cellStyle name="Normální 3" xfId="3"/>
    <cellStyle name="Normální 4" xfId="5"/>
    <cellStyle name="normální_MŠ Raisova"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8"/>
  <sheetViews>
    <sheetView tabSelected="1" zoomScaleNormal="100" workbookViewId="0"/>
  </sheetViews>
  <sheetFormatPr defaultRowHeight="12.75" x14ac:dyDescent="0.2"/>
  <cols>
    <col min="1" max="1" width="58" style="128" customWidth="1"/>
    <col min="2" max="2" width="33.5" style="128" customWidth="1"/>
    <col min="3" max="5" width="25.75" style="128" customWidth="1"/>
    <col min="6" max="6" width="22.75" style="128" customWidth="1"/>
    <col min="7" max="9" width="10" style="128"/>
  </cols>
  <sheetData>
    <row r="1" spans="1:9" s="127" customFormat="1" ht="18.75" x14ac:dyDescent="0.3">
      <c r="A1" s="127" t="s">
        <v>107</v>
      </c>
    </row>
    <row r="2" spans="1:9" s="128" customFormat="1" x14ac:dyDescent="0.2"/>
    <row r="3" spans="1:9" s="175" customFormat="1" ht="10.5" x14ac:dyDescent="0.15">
      <c r="A3" s="750" t="s">
        <v>133</v>
      </c>
      <c r="B3" s="750"/>
      <c r="C3" s="750"/>
      <c r="D3" s="750"/>
      <c r="E3" s="750"/>
      <c r="F3" s="750"/>
      <c r="G3" s="750"/>
      <c r="H3" s="750"/>
      <c r="I3" s="750"/>
    </row>
    <row r="4" spans="1:9" s="176" customFormat="1" ht="11.25" x14ac:dyDescent="0.2"/>
    <row r="5" spans="1:9" s="177" customFormat="1" ht="9.75" x14ac:dyDescent="0.2">
      <c r="A5" s="751" t="s">
        <v>77</v>
      </c>
      <c r="B5" s="752"/>
      <c r="C5" s="341" t="s">
        <v>25</v>
      </c>
      <c r="D5" s="753" t="s">
        <v>112</v>
      </c>
      <c r="E5" s="753"/>
      <c r="F5" s="753"/>
      <c r="G5" s="753"/>
      <c r="H5" s="753"/>
      <c r="I5" s="753"/>
    </row>
    <row r="6" spans="1:9" s="176" customFormat="1" ht="15" customHeight="1" x14ac:dyDescent="0.2">
      <c r="A6" s="754" t="s">
        <v>134</v>
      </c>
      <c r="B6" s="754"/>
      <c r="C6" s="193">
        <v>94043.76</v>
      </c>
      <c r="D6" s="755"/>
      <c r="E6" s="756"/>
      <c r="F6" s="756"/>
      <c r="G6" s="756"/>
      <c r="H6" s="756"/>
      <c r="I6" s="756"/>
    </row>
    <row r="7" spans="1:9" s="176" customFormat="1" ht="105" customHeight="1" x14ac:dyDescent="0.2">
      <c r="A7" s="745" t="s">
        <v>78</v>
      </c>
      <c r="B7" s="746"/>
      <c r="C7" s="178">
        <v>94043.76</v>
      </c>
      <c r="D7" s="747" t="s">
        <v>808</v>
      </c>
      <c r="E7" s="748"/>
      <c r="F7" s="748"/>
      <c r="G7" s="748"/>
      <c r="H7" s="748"/>
      <c r="I7" s="749"/>
    </row>
    <row r="8" spans="1:9" s="175" customFormat="1" ht="15" customHeight="1" x14ac:dyDescent="0.15">
      <c r="A8" s="764" t="s">
        <v>113</v>
      </c>
      <c r="B8" s="765"/>
      <c r="C8" s="179">
        <v>0</v>
      </c>
      <c r="D8" s="766"/>
      <c r="E8" s="766"/>
      <c r="F8" s="766"/>
      <c r="G8" s="766"/>
      <c r="H8" s="766"/>
      <c r="I8" s="766"/>
    </row>
    <row r="9" spans="1:9" s="175" customFormat="1" ht="15" customHeight="1" x14ac:dyDescent="0.15">
      <c r="A9" s="764" t="s">
        <v>114</v>
      </c>
      <c r="B9" s="765"/>
      <c r="C9" s="179">
        <v>0</v>
      </c>
      <c r="D9" s="778"/>
      <c r="E9" s="779"/>
      <c r="F9" s="779"/>
      <c r="G9" s="779"/>
      <c r="H9" s="779"/>
      <c r="I9" s="780"/>
    </row>
    <row r="10" spans="1:9" s="176" customFormat="1" ht="11.25" x14ac:dyDescent="0.2">
      <c r="C10" s="180"/>
    </row>
    <row r="11" spans="1:9" s="176" customFormat="1" ht="11.25" x14ac:dyDescent="0.2">
      <c r="A11" s="750" t="s">
        <v>135</v>
      </c>
      <c r="B11" s="750"/>
      <c r="C11" s="750"/>
      <c r="D11" s="750"/>
      <c r="E11" s="750"/>
      <c r="F11" s="750"/>
      <c r="G11" s="750"/>
      <c r="H11" s="750"/>
      <c r="I11" s="750"/>
    </row>
    <row r="12" spans="1:9" s="176" customFormat="1" ht="11.25" x14ac:dyDescent="0.2">
      <c r="C12" s="180"/>
      <c r="D12" s="216"/>
      <c r="E12" s="216"/>
      <c r="F12" s="216"/>
      <c r="G12" s="216"/>
      <c r="H12" s="216"/>
      <c r="I12" s="216"/>
    </row>
    <row r="13" spans="1:9" s="181" customFormat="1" ht="9.75" x14ac:dyDescent="0.2">
      <c r="A13" s="341" t="s">
        <v>77</v>
      </c>
      <c r="B13" s="341" t="s">
        <v>79</v>
      </c>
      <c r="C13" s="341" t="s">
        <v>25</v>
      </c>
      <c r="D13" s="407"/>
      <c r="E13" s="408"/>
      <c r="F13" s="408"/>
      <c r="G13" s="408"/>
      <c r="H13" s="408"/>
      <c r="I13" s="408"/>
    </row>
    <row r="14" spans="1:9" s="176" customFormat="1" ht="15" customHeight="1" x14ac:dyDescent="0.2">
      <c r="A14" s="182" t="s">
        <v>136</v>
      </c>
      <c r="B14" s="409"/>
      <c r="C14" s="205">
        <v>0</v>
      </c>
      <c r="D14" s="410"/>
      <c r="E14" s="411"/>
      <c r="F14" s="411"/>
      <c r="G14" s="411"/>
      <c r="H14" s="411"/>
      <c r="I14" s="411"/>
    </row>
    <row r="15" spans="1:9" s="176" customFormat="1" ht="15" customHeight="1" x14ac:dyDescent="0.2">
      <c r="A15" s="783" t="s">
        <v>137</v>
      </c>
      <c r="B15" s="184" t="s">
        <v>80</v>
      </c>
      <c r="C15" s="185">
        <v>84043.76</v>
      </c>
      <c r="D15" s="412"/>
      <c r="E15" s="413"/>
      <c r="F15" s="413"/>
      <c r="G15" s="413"/>
      <c r="H15" s="413"/>
      <c r="I15" s="413"/>
    </row>
    <row r="16" spans="1:9" s="176" customFormat="1" ht="15" customHeight="1" x14ac:dyDescent="0.2">
      <c r="A16" s="784"/>
      <c r="B16" s="183" t="s">
        <v>81</v>
      </c>
      <c r="C16" s="414">
        <v>10000</v>
      </c>
      <c r="D16" s="415"/>
      <c r="E16" s="416"/>
      <c r="F16" s="416"/>
      <c r="G16" s="416"/>
      <c r="H16" s="416"/>
      <c r="I16" s="416"/>
    </row>
    <row r="17" spans="1:9" s="176" customFormat="1" ht="15" customHeight="1" x14ac:dyDescent="0.2">
      <c r="A17" s="406" t="s">
        <v>134</v>
      </c>
      <c r="B17" s="417"/>
      <c r="C17" s="423">
        <f>SUM(C14:C16)</f>
        <v>94043.76</v>
      </c>
      <c r="D17" s="418"/>
      <c r="E17" s="418"/>
      <c r="F17" s="418"/>
      <c r="G17" s="418"/>
      <c r="H17" s="418"/>
      <c r="I17" s="418"/>
    </row>
    <row r="18" spans="1:9" s="206" customFormat="1" ht="11.25" x14ac:dyDescent="0.2">
      <c r="A18" s="419"/>
      <c r="C18" s="232"/>
      <c r="D18" s="420"/>
      <c r="E18" s="420"/>
      <c r="F18" s="420"/>
      <c r="G18" s="420"/>
      <c r="H18" s="420"/>
      <c r="I18" s="420"/>
    </row>
    <row r="19" spans="1:9" s="176" customFormat="1" ht="11.25" x14ac:dyDescent="0.2">
      <c r="A19" s="750" t="s">
        <v>138</v>
      </c>
      <c r="B19" s="750"/>
      <c r="C19" s="750"/>
      <c r="D19" s="750"/>
      <c r="E19" s="750"/>
      <c r="F19" s="750"/>
      <c r="G19" s="750"/>
      <c r="H19" s="750"/>
      <c r="I19" s="750"/>
    </row>
    <row r="20" spans="1:9" s="176" customFormat="1" ht="11.25" x14ac:dyDescent="0.2">
      <c r="C20" s="180"/>
    </row>
    <row r="21" spans="1:9" s="188" customFormat="1" ht="9.75" x14ac:dyDescent="0.2">
      <c r="A21" s="341" t="s">
        <v>79</v>
      </c>
      <c r="B21" s="341" t="s">
        <v>139</v>
      </c>
      <c r="C21" s="342" t="s">
        <v>140</v>
      </c>
      <c r="D21" s="341" t="s">
        <v>141</v>
      </c>
      <c r="E21" s="341" t="s">
        <v>142</v>
      </c>
      <c r="F21" s="753" t="s">
        <v>115</v>
      </c>
      <c r="G21" s="753"/>
      <c r="H21" s="753"/>
      <c r="I21" s="753"/>
    </row>
    <row r="22" spans="1:9" s="176" customFormat="1" ht="57.75" customHeight="1" x14ac:dyDescent="0.2">
      <c r="A22" s="187" t="s">
        <v>116</v>
      </c>
      <c r="B22" s="189">
        <v>41788.39</v>
      </c>
      <c r="C22" s="189">
        <v>186125.09</v>
      </c>
      <c r="D22" s="189">
        <v>177443.5</v>
      </c>
      <c r="E22" s="189">
        <f>B22+C22-D22</f>
        <v>50469.979999999981</v>
      </c>
      <c r="F22" s="785" t="s">
        <v>186</v>
      </c>
      <c r="G22" s="786"/>
      <c r="H22" s="786"/>
      <c r="I22" s="787"/>
    </row>
    <row r="23" spans="1:9" s="176" customFormat="1" ht="15" customHeight="1" x14ac:dyDescent="0.2">
      <c r="A23" s="184" t="s">
        <v>143</v>
      </c>
      <c r="B23" s="190">
        <v>33954</v>
      </c>
      <c r="C23" s="190">
        <v>139175</v>
      </c>
      <c r="D23" s="190">
        <v>166980</v>
      </c>
      <c r="E23" s="190">
        <f>B23+C23-D23</f>
        <v>6149</v>
      </c>
      <c r="F23" s="788"/>
      <c r="G23" s="757"/>
      <c r="H23" s="757"/>
      <c r="I23" s="758"/>
    </row>
    <row r="24" spans="1:9" s="176" customFormat="1" ht="37.5" customHeight="1" x14ac:dyDescent="0.2">
      <c r="A24" s="184" t="s">
        <v>81</v>
      </c>
      <c r="B24" s="190">
        <v>44683.38</v>
      </c>
      <c r="C24" s="190">
        <v>10000</v>
      </c>
      <c r="D24" s="190">
        <v>0</v>
      </c>
      <c r="E24" s="190">
        <f>B24+C24-D24</f>
        <v>54683.38</v>
      </c>
      <c r="F24" s="747" t="s">
        <v>180</v>
      </c>
      <c r="G24" s="757"/>
      <c r="H24" s="757"/>
      <c r="I24" s="758"/>
    </row>
    <row r="25" spans="1:9" s="176" customFormat="1" ht="37.5" customHeight="1" x14ac:dyDescent="0.2">
      <c r="A25" s="183" t="s">
        <v>82</v>
      </c>
      <c r="B25" s="191">
        <v>42110.52</v>
      </c>
      <c r="C25" s="191">
        <v>36405</v>
      </c>
      <c r="D25" s="191">
        <v>38487</v>
      </c>
      <c r="E25" s="191">
        <f>B25+C25-D25</f>
        <v>40028.51999999999</v>
      </c>
      <c r="F25" s="759" t="s">
        <v>181</v>
      </c>
      <c r="G25" s="760"/>
      <c r="H25" s="760"/>
      <c r="I25" s="761"/>
    </row>
    <row r="26" spans="1:9" s="175" customFormat="1" ht="10.5" x14ac:dyDescent="0.15">
      <c r="A26" s="192" t="s">
        <v>34</v>
      </c>
      <c r="B26" s="193">
        <f>SUM(B22:B25)</f>
        <v>162536.28999999998</v>
      </c>
      <c r="C26" s="193">
        <f>SUM(C22:C25)</f>
        <v>371705.08999999997</v>
      </c>
      <c r="D26" s="193">
        <f>SUM(D22:D25)</f>
        <v>382910.5</v>
      </c>
      <c r="E26" s="193">
        <f>SUM(E22:E25)</f>
        <v>151330.87999999998</v>
      </c>
      <c r="F26" s="762"/>
      <c r="G26" s="762"/>
      <c r="H26" s="762"/>
      <c r="I26" s="763"/>
    </row>
    <row r="27" spans="1:9" s="176" customFormat="1" ht="11.25" x14ac:dyDescent="0.2">
      <c r="C27" s="180"/>
    </row>
    <row r="28" spans="1:9" s="176" customFormat="1" ht="11.25" x14ac:dyDescent="0.2">
      <c r="A28" s="750" t="s">
        <v>144</v>
      </c>
      <c r="B28" s="750"/>
      <c r="C28" s="750"/>
      <c r="D28" s="750"/>
      <c r="E28" s="750"/>
      <c r="F28" s="750"/>
      <c r="G28" s="750"/>
      <c r="H28" s="750"/>
      <c r="I28" s="750"/>
    </row>
    <row r="29" spans="1:9" s="176" customFormat="1" ht="11.25" x14ac:dyDescent="0.2">
      <c r="C29" s="180"/>
    </row>
    <row r="30" spans="1:9" s="176" customFormat="1" ht="11.25" x14ac:dyDescent="0.2">
      <c r="A30" s="341" t="s">
        <v>83</v>
      </c>
      <c r="B30" s="341" t="s">
        <v>25</v>
      </c>
      <c r="C30" s="342" t="s">
        <v>84</v>
      </c>
      <c r="D30" s="753" t="s">
        <v>117</v>
      </c>
      <c r="E30" s="753"/>
      <c r="F30" s="753"/>
      <c r="G30" s="753"/>
      <c r="H30" s="753"/>
      <c r="I30" s="753"/>
    </row>
    <row r="31" spans="1:9" s="176" customFormat="1" ht="15" customHeight="1" x14ac:dyDescent="0.2">
      <c r="A31" s="194"/>
      <c r="B31" s="189">
        <v>0</v>
      </c>
      <c r="C31" s="195"/>
      <c r="D31" s="773"/>
      <c r="E31" s="774"/>
      <c r="F31" s="774"/>
      <c r="G31" s="774"/>
      <c r="H31" s="774"/>
      <c r="I31" s="775"/>
    </row>
    <row r="32" spans="1:9" s="175" customFormat="1" ht="11.25" x14ac:dyDescent="0.2">
      <c r="A32" s="192" t="s">
        <v>34</v>
      </c>
      <c r="B32" s="193">
        <f>SUM(B31:B31)</f>
        <v>0</v>
      </c>
      <c r="C32" s="776"/>
      <c r="D32" s="776"/>
      <c r="E32" s="776"/>
      <c r="F32" s="776"/>
      <c r="G32" s="776"/>
      <c r="H32" s="776"/>
      <c r="I32" s="777"/>
    </row>
    <row r="33" spans="1:9" s="176" customFormat="1" ht="11.25" x14ac:dyDescent="0.2">
      <c r="C33" s="180"/>
    </row>
    <row r="34" spans="1:9" s="176" customFormat="1" ht="11.25" x14ac:dyDescent="0.2">
      <c r="A34" s="750" t="s">
        <v>145</v>
      </c>
      <c r="B34" s="750"/>
      <c r="C34" s="750"/>
      <c r="D34" s="750"/>
      <c r="E34" s="750"/>
      <c r="F34" s="750"/>
      <c r="G34" s="750"/>
      <c r="H34" s="750"/>
      <c r="I34" s="750"/>
    </row>
    <row r="35" spans="1:9" s="176" customFormat="1" ht="11.25" x14ac:dyDescent="0.2">
      <c r="C35" s="180"/>
    </row>
    <row r="36" spans="1:9" s="176" customFormat="1" ht="11.25" x14ac:dyDescent="0.2">
      <c r="A36" s="341" t="s">
        <v>83</v>
      </c>
      <c r="B36" s="341" t="s">
        <v>25</v>
      </c>
      <c r="C36" s="342" t="s">
        <v>84</v>
      </c>
      <c r="D36" s="753" t="s">
        <v>117</v>
      </c>
      <c r="E36" s="753"/>
      <c r="F36" s="753"/>
      <c r="G36" s="753"/>
      <c r="H36" s="753"/>
      <c r="I36" s="792"/>
    </row>
    <row r="37" spans="1:9" s="176" customFormat="1" ht="15" customHeight="1" x14ac:dyDescent="0.2">
      <c r="A37" s="194"/>
      <c r="B37" s="189">
        <v>0</v>
      </c>
      <c r="C37" s="195"/>
      <c r="D37" s="773"/>
      <c r="E37" s="774"/>
      <c r="F37" s="774"/>
      <c r="G37" s="774"/>
      <c r="H37" s="774"/>
      <c r="I37" s="775"/>
    </row>
    <row r="38" spans="1:9" s="175" customFormat="1" ht="10.5" x14ac:dyDescent="0.15">
      <c r="A38" s="192" t="s">
        <v>34</v>
      </c>
      <c r="B38" s="193">
        <f>SUM(B37:B37)</f>
        <v>0</v>
      </c>
      <c r="C38" s="793"/>
      <c r="D38" s="793"/>
      <c r="E38" s="793"/>
      <c r="F38" s="793"/>
      <c r="G38" s="793"/>
      <c r="H38" s="793"/>
      <c r="I38" s="793"/>
    </row>
    <row r="39" spans="1:9" s="176" customFormat="1" ht="11.25" x14ac:dyDescent="0.2">
      <c r="C39" s="180"/>
    </row>
    <row r="40" spans="1:9" s="176" customFormat="1" ht="11.25" x14ac:dyDescent="0.2">
      <c r="A40" s="750" t="s">
        <v>146</v>
      </c>
      <c r="B40" s="750"/>
      <c r="C40" s="750"/>
      <c r="D40" s="750"/>
      <c r="E40" s="750"/>
      <c r="F40" s="750"/>
      <c r="G40" s="750"/>
      <c r="H40" s="750"/>
      <c r="I40" s="750"/>
    </row>
    <row r="41" spans="1:9" s="176" customFormat="1" ht="11.25" x14ac:dyDescent="0.2">
      <c r="C41" s="180"/>
    </row>
    <row r="42" spans="1:9" s="176" customFormat="1" ht="11.25" x14ac:dyDescent="0.2">
      <c r="A42" s="341" t="s">
        <v>25</v>
      </c>
      <c r="B42" s="342" t="s">
        <v>147</v>
      </c>
      <c r="C42" s="781" t="s">
        <v>85</v>
      </c>
      <c r="D42" s="781"/>
      <c r="E42" s="781"/>
      <c r="F42" s="781"/>
      <c r="G42" s="781"/>
      <c r="H42" s="781"/>
      <c r="I42" s="782"/>
    </row>
    <row r="43" spans="1:9" s="176" customFormat="1" ht="36.75" customHeight="1" x14ac:dyDescent="0.2">
      <c r="A43" s="196">
        <v>31500</v>
      </c>
      <c r="B43" s="196">
        <v>14977</v>
      </c>
      <c r="C43" s="767" t="s">
        <v>179</v>
      </c>
      <c r="D43" s="768"/>
      <c r="E43" s="768"/>
      <c r="F43" s="768"/>
      <c r="G43" s="768"/>
      <c r="H43" s="768"/>
      <c r="I43" s="769"/>
    </row>
    <row r="44" spans="1:9" s="175" customFormat="1" ht="10.5" x14ac:dyDescent="0.15">
      <c r="A44" s="193">
        <f>SUM(A43)</f>
        <v>31500</v>
      </c>
      <c r="B44" s="193">
        <v>14977</v>
      </c>
      <c r="C44" s="770" t="s">
        <v>34</v>
      </c>
      <c r="D44" s="770"/>
      <c r="E44" s="770"/>
      <c r="F44" s="770"/>
      <c r="G44" s="770"/>
      <c r="H44" s="770"/>
      <c r="I44" s="771"/>
    </row>
    <row r="45" spans="1:9" s="176" customFormat="1" ht="11.25" x14ac:dyDescent="0.2">
      <c r="C45" s="180"/>
    </row>
    <row r="46" spans="1:9" s="176" customFormat="1" ht="11.25" x14ac:dyDescent="0.2">
      <c r="A46" s="750" t="s">
        <v>148</v>
      </c>
      <c r="B46" s="750"/>
      <c r="C46" s="750"/>
      <c r="D46" s="750"/>
      <c r="E46" s="750"/>
      <c r="F46" s="750"/>
      <c r="G46" s="750"/>
      <c r="H46" s="750"/>
      <c r="I46" s="750"/>
    </row>
    <row r="47" spans="1:9" s="176" customFormat="1" ht="11.25" x14ac:dyDescent="0.2">
      <c r="C47" s="180"/>
    </row>
    <row r="48" spans="1:9" s="197" customFormat="1" ht="11.25" x14ac:dyDescent="0.2">
      <c r="A48" s="753" t="s">
        <v>86</v>
      </c>
      <c r="B48" s="753"/>
      <c r="C48" s="342" t="s">
        <v>87</v>
      </c>
      <c r="D48" s="341" t="s">
        <v>88</v>
      </c>
      <c r="E48" s="341" t="s">
        <v>25</v>
      </c>
    </row>
    <row r="49" spans="1:8" s="176" customFormat="1" ht="22.5" customHeight="1" x14ac:dyDescent="0.2">
      <c r="A49" s="772" t="s">
        <v>154</v>
      </c>
      <c r="B49" s="772"/>
      <c r="C49" s="425">
        <v>41820</v>
      </c>
      <c r="D49" s="425">
        <v>41820</v>
      </c>
      <c r="E49" s="428" t="s">
        <v>149</v>
      </c>
    </row>
    <row r="50" spans="1:8" s="176" customFormat="1" ht="11.25" x14ac:dyDescent="0.2">
      <c r="A50" s="744" t="s">
        <v>155</v>
      </c>
      <c r="B50" s="744"/>
      <c r="C50" s="426">
        <v>41820</v>
      </c>
      <c r="D50" s="426">
        <v>41820</v>
      </c>
      <c r="E50" s="429" t="s">
        <v>150</v>
      </c>
    </row>
    <row r="51" spans="1:8" s="176" customFormat="1" ht="11.25" x14ac:dyDescent="0.2">
      <c r="A51" s="430"/>
      <c r="B51" s="430"/>
      <c r="C51" s="426"/>
      <c r="D51" s="426"/>
      <c r="E51" s="427"/>
    </row>
    <row r="52" spans="1:8" s="176" customFormat="1" ht="11.25" customHeight="1" x14ac:dyDescent="0.2">
      <c r="A52" s="744" t="s">
        <v>156</v>
      </c>
      <c r="B52" s="744"/>
      <c r="C52" s="426">
        <v>41820</v>
      </c>
      <c r="D52" s="426">
        <v>41820</v>
      </c>
      <c r="E52" s="429">
        <v>166980</v>
      </c>
    </row>
    <row r="53" spans="1:8" s="176" customFormat="1" ht="11.25" x14ac:dyDescent="0.2">
      <c r="A53" s="744" t="s">
        <v>182</v>
      </c>
      <c r="B53" s="744"/>
      <c r="C53" s="426">
        <v>41820</v>
      </c>
      <c r="D53" s="426">
        <v>41820</v>
      </c>
      <c r="E53" s="429">
        <v>166980</v>
      </c>
    </row>
    <row r="54" spans="1:8" s="176" customFormat="1" ht="11.25" x14ac:dyDescent="0.2">
      <c r="A54" s="430"/>
      <c r="B54" s="430"/>
      <c r="C54" s="426"/>
      <c r="D54" s="426"/>
      <c r="E54" s="427"/>
      <c r="H54" s="421"/>
    </row>
    <row r="55" spans="1:8" s="176" customFormat="1" ht="11.25" x14ac:dyDescent="0.2">
      <c r="A55" s="744" t="s">
        <v>157</v>
      </c>
      <c r="B55" s="744"/>
      <c r="C55" s="426">
        <v>41802</v>
      </c>
      <c r="D55" s="426">
        <v>41802</v>
      </c>
      <c r="E55" s="429">
        <v>73235</v>
      </c>
    </row>
    <row r="56" spans="1:8" s="176" customFormat="1" ht="11.25" x14ac:dyDescent="0.2">
      <c r="A56" s="744" t="s">
        <v>183</v>
      </c>
      <c r="B56" s="744"/>
      <c r="C56" s="426">
        <v>41802</v>
      </c>
      <c r="D56" s="426">
        <v>41802</v>
      </c>
      <c r="E56" s="429">
        <v>73235</v>
      </c>
    </row>
    <row r="57" spans="1:8" s="176" customFormat="1" ht="11.25" x14ac:dyDescent="0.2">
      <c r="A57" s="430"/>
      <c r="B57" s="430"/>
      <c r="C57" s="426"/>
      <c r="D57" s="426"/>
      <c r="E57" s="427"/>
    </row>
    <row r="58" spans="1:8" s="176" customFormat="1" ht="22.5" x14ac:dyDescent="0.2">
      <c r="A58" s="430" t="s">
        <v>167</v>
      </c>
      <c r="B58" s="430"/>
      <c r="C58" s="426">
        <v>41925</v>
      </c>
      <c r="D58" s="426">
        <v>41925</v>
      </c>
      <c r="E58" s="429">
        <f>K67-4175</f>
        <v>-4175</v>
      </c>
    </row>
    <row r="59" spans="1:8" s="176" customFormat="1" ht="11.25" x14ac:dyDescent="0.2">
      <c r="A59" s="744" t="s">
        <v>184</v>
      </c>
      <c r="B59" s="744"/>
      <c r="C59" s="426">
        <v>41925</v>
      </c>
      <c r="D59" s="426">
        <v>41925</v>
      </c>
      <c r="E59" s="429">
        <v>4175</v>
      </c>
    </row>
    <row r="60" spans="1:8" s="176" customFormat="1" ht="11.25" x14ac:dyDescent="0.2">
      <c r="A60" s="430"/>
      <c r="B60" s="430"/>
      <c r="C60" s="424"/>
      <c r="D60" s="201"/>
      <c r="E60" s="429"/>
    </row>
    <row r="61" spans="1:8" s="176" customFormat="1" ht="11.25" x14ac:dyDescent="0.2">
      <c r="A61" s="744" t="s">
        <v>158</v>
      </c>
      <c r="B61" s="744"/>
      <c r="C61" s="426">
        <v>41932</v>
      </c>
      <c r="D61" s="426">
        <v>41932</v>
      </c>
      <c r="E61" s="429">
        <v>-37500</v>
      </c>
    </row>
    <row r="62" spans="1:8" s="176" customFormat="1" ht="22.5" customHeight="1" x14ac:dyDescent="0.2">
      <c r="A62" s="744" t="s">
        <v>159</v>
      </c>
      <c r="B62" s="744"/>
      <c r="C62" s="426">
        <v>41932</v>
      </c>
      <c r="D62" s="426">
        <v>41932</v>
      </c>
      <c r="E62" s="429">
        <v>37500</v>
      </c>
    </row>
    <row r="63" spans="1:8" s="176" customFormat="1" ht="11.25" x14ac:dyDescent="0.2">
      <c r="A63" s="430"/>
      <c r="B63" s="430"/>
      <c r="C63" s="426"/>
      <c r="D63" s="426"/>
      <c r="E63" s="427"/>
    </row>
    <row r="64" spans="1:8" s="176" customFormat="1" ht="11.25" customHeight="1" x14ac:dyDescent="0.2">
      <c r="A64" s="744" t="s">
        <v>168</v>
      </c>
      <c r="B64" s="744"/>
      <c r="C64" s="426">
        <v>41942</v>
      </c>
      <c r="D64" s="426">
        <v>41942</v>
      </c>
      <c r="E64" s="429">
        <v>-2000</v>
      </c>
    </row>
    <row r="65" spans="1:5" s="176" customFormat="1" ht="12" customHeight="1" x14ac:dyDescent="0.2">
      <c r="A65" s="744" t="s">
        <v>169</v>
      </c>
      <c r="B65" s="744"/>
      <c r="C65" s="426">
        <v>41942</v>
      </c>
      <c r="D65" s="426">
        <v>41942</v>
      </c>
      <c r="E65" s="429">
        <v>2000</v>
      </c>
    </row>
    <row r="66" spans="1:5" s="176" customFormat="1" ht="11.25" x14ac:dyDescent="0.2">
      <c r="A66" s="430"/>
      <c r="B66" s="430"/>
      <c r="C66" s="426"/>
      <c r="D66" s="426"/>
      <c r="E66" s="427"/>
    </row>
    <row r="67" spans="1:5" s="176" customFormat="1" ht="11.25" customHeight="1" x14ac:dyDescent="0.2">
      <c r="A67" s="744" t="s">
        <v>170</v>
      </c>
      <c r="B67" s="744"/>
      <c r="C67" s="426">
        <v>41932</v>
      </c>
      <c r="D67" s="426">
        <v>41932</v>
      </c>
      <c r="E67" s="429">
        <v>-16000</v>
      </c>
    </row>
    <row r="68" spans="1:5" s="176" customFormat="1" ht="12" customHeight="1" x14ac:dyDescent="0.2">
      <c r="A68" s="744" t="s">
        <v>160</v>
      </c>
      <c r="B68" s="744"/>
      <c r="C68" s="426">
        <v>41932</v>
      </c>
      <c r="D68" s="426">
        <v>41932</v>
      </c>
      <c r="E68" s="429">
        <v>16000</v>
      </c>
    </row>
    <row r="69" spans="1:5" s="176" customFormat="1" ht="11.25" x14ac:dyDescent="0.2">
      <c r="A69" s="430"/>
      <c r="B69" s="430"/>
      <c r="C69" s="424"/>
      <c r="D69" s="201"/>
      <c r="E69" s="427"/>
    </row>
    <row r="70" spans="1:5" s="176" customFormat="1" ht="11.25" x14ac:dyDescent="0.2">
      <c r="A70" s="744" t="s">
        <v>161</v>
      </c>
      <c r="B70" s="744"/>
      <c r="C70" s="426">
        <v>41961</v>
      </c>
      <c r="D70" s="426">
        <v>41961</v>
      </c>
      <c r="E70" s="427">
        <v>-140000</v>
      </c>
    </row>
    <row r="71" spans="1:5" s="176" customFormat="1" ht="12" customHeight="1" x14ac:dyDescent="0.2">
      <c r="A71" s="744" t="s">
        <v>162</v>
      </c>
      <c r="B71" s="744"/>
      <c r="C71" s="426">
        <v>41961</v>
      </c>
      <c r="D71" s="426">
        <v>41961</v>
      </c>
      <c r="E71" s="429">
        <v>140000</v>
      </c>
    </row>
    <row r="72" spans="1:5" s="176" customFormat="1" ht="11.25" x14ac:dyDescent="0.2">
      <c r="A72" s="430"/>
      <c r="B72" s="430"/>
      <c r="C72" s="424"/>
      <c r="D72" s="201"/>
      <c r="E72" s="427"/>
    </row>
    <row r="73" spans="1:5" s="176" customFormat="1" ht="11.25" x14ac:dyDescent="0.2">
      <c r="A73" s="744" t="s">
        <v>171</v>
      </c>
      <c r="B73" s="744"/>
      <c r="C73" s="426">
        <v>41973</v>
      </c>
      <c r="D73" s="426">
        <v>41973</v>
      </c>
      <c r="E73" s="429">
        <v>57717</v>
      </c>
    </row>
    <row r="74" spans="1:5" s="176" customFormat="1" ht="11.25" x14ac:dyDescent="0.2">
      <c r="A74" s="744" t="s">
        <v>185</v>
      </c>
      <c r="B74" s="744"/>
      <c r="C74" s="426">
        <v>41973</v>
      </c>
      <c r="D74" s="426">
        <v>41973</v>
      </c>
      <c r="E74" s="429">
        <v>57717</v>
      </c>
    </row>
    <row r="75" spans="1:5" s="176" customFormat="1" ht="11.25" x14ac:dyDescent="0.2">
      <c r="A75" s="430"/>
      <c r="B75" s="430"/>
      <c r="C75" s="424"/>
      <c r="D75" s="201"/>
      <c r="E75" s="427"/>
    </row>
    <row r="76" spans="1:5" s="176" customFormat="1" ht="11.25" x14ac:dyDescent="0.2">
      <c r="A76" s="744" t="s">
        <v>172</v>
      </c>
      <c r="B76" s="744"/>
      <c r="C76" s="426">
        <v>41973</v>
      </c>
      <c r="D76" s="426">
        <v>41973</v>
      </c>
      <c r="E76" s="429">
        <v>14977</v>
      </c>
    </row>
    <row r="77" spans="1:5" s="176" customFormat="1" ht="11.25" customHeight="1" x14ac:dyDescent="0.2">
      <c r="A77" s="744" t="s">
        <v>163</v>
      </c>
      <c r="B77" s="744"/>
      <c r="C77" s="426">
        <v>41973</v>
      </c>
      <c r="D77" s="426">
        <v>41973</v>
      </c>
      <c r="E77" s="429">
        <v>14977</v>
      </c>
    </row>
    <row r="78" spans="1:5" s="176" customFormat="1" ht="11.25" x14ac:dyDescent="0.2">
      <c r="A78" s="430"/>
      <c r="B78" s="430"/>
      <c r="C78" s="424"/>
      <c r="D78" s="201"/>
      <c r="E78" s="427"/>
    </row>
    <row r="79" spans="1:5" s="176" customFormat="1" ht="11.25" x14ac:dyDescent="0.2">
      <c r="A79" s="744" t="s">
        <v>173</v>
      </c>
      <c r="B79" s="744"/>
      <c r="C79" s="424" t="s">
        <v>151</v>
      </c>
      <c r="D79" s="201" t="s">
        <v>151</v>
      </c>
      <c r="E79" s="429">
        <v>-25000</v>
      </c>
    </row>
    <row r="80" spans="1:5" s="176" customFormat="1" ht="12" customHeight="1" x14ac:dyDescent="0.2">
      <c r="A80" s="744" t="s">
        <v>164</v>
      </c>
      <c r="B80" s="744"/>
      <c r="C80" s="424" t="s">
        <v>151</v>
      </c>
      <c r="D80" s="201" t="s">
        <v>151</v>
      </c>
      <c r="E80" s="429">
        <v>25000</v>
      </c>
    </row>
    <row r="81" spans="1:9" s="176" customFormat="1" ht="11.25" x14ac:dyDescent="0.2">
      <c r="A81" s="430"/>
      <c r="B81" s="430"/>
      <c r="C81" s="424"/>
      <c r="D81" s="201"/>
      <c r="E81" s="429"/>
    </row>
    <row r="82" spans="1:9" s="176" customFormat="1" ht="11.25" x14ac:dyDescent="0.2">
      <c r="A82" s="744" t="s">
        <v>165</v>
      </c>
      <c r="B82" s="744"/>
      <c r="C82" s="426">
        <v>41983</v>
      </c>
      <c r="D82" s="426">
        <v>41983</v>
      </c>
      <c r="E82" s="429">
        <v>14277</v>
      </c>
    </row>
    <row r="83" spans="1:9" s="176" customFormat="1" ht="12" customHeight="1" x14ac:dyDescent="0.2">
      <c r="A83" s="744" t="s">
        <v>174</v>
      </c>
      <c r="B83" s="744"/>
      <c r="C83" s="426">
        <v>41983</v>
      </c>
      <c r="D83" s="426">
        <v>41983</v>
      </c>
      <c r="E83" s="429">
        <v>14277</v>
      </c>
    </row>
    <row r="84" spans="1:9" s="176" customFormat="1" ht="11.25" x14ac:dyDescent="0.2">
      <c r="A84" s="430"/>
      <c r="B84" s="430"/>
      <c r="C84" s="426"/>
      <c r="D84" s="426"/>
      <c r="E84" s="429"/>
    </row>
    <row r="85" spans="1:9" s="176" customFormat="1" ht="11.25" x14ac:dyDescent="0.2">
      <c r="A85" s="744" t="s">
        <v>175</v>
      </c>
      <c r="B85" s="744"/>
      <c r="C85" s="426">
        <v>42001</v>
      </c>
      <c r="D85" s="426">
        <v>42001</v>
      </c>
      <c r="E85" s="429">
        <v>115724</v>
      </c>
    </row>
    <row r="86" spans="1:9" s="176" customFormat="1" ht="11.25" x14ac:dyDescent="0.2">
      <c r="A86" s="744" t="s">
        <v>166</v>
      </c>
      <c r="B86" s="744"/>
      <c r="C86" s="426">
        <v>42001</v>
      </c>
      <c r="D86" s="426">
        <v>42001</v>
      </c>
      <c r="E86" s="429">
        <v>115724</v>
      </c>
    </row>
    <row r="87" spans="1:9" s="176" customFormat="1" ht="11.25" x14ac:dyDescent="0.2">
      <c r="A87" s="430"/>
      <c r="B87" s="430"/>
      <c r="C87" s="426"/>
      <c r="D87" s="426"/>
      <c r="E87" s="429"/>
    </row>
    <row r="88" spans="1:9" s="176" customFormat="1" ht="13.5" customHeight="1" x14ac:dyDescent="0.2">
      <c r="A88" s="744" t="s">
        <v>176</v>
      </c>
      <c r="B88" s="744"/>
      <c r="C88" s="426">
        <v>42003</v>
      </c>
      <c r="D88" s="426">
        <v>42003</v>
      </c>
      <c r="E88" s="429">
        <v>-1562</v>
      </c>
    </row>
    <row r="89" spans="1:9" s="176" customFormat="1" ht="13.5" customHeight="1" x14ac:dyDescent="0.2">
      <c r="A89" s="744" t="s">
        <v>177</v>
      </c>
      <c r="B89" s="744"/>
      <c r="C89" s="426">
        <v>42003</v>
      </c>
      <c r="D89" s="426">
        <v>42003</v>
      </c>
      <c r="E89" s="429">
        <v>1562</v>
      </c>
    </row>
    <row r="90" spans="1:9" s="176" customFormat="1" ht="11.25" x14ac:dyDescent="0.2">
      <c r="A90" s="216"/>
      <c r="B90" s="216"/>
      <c r="C90" s="216"/>
      <c r="D90" s="422"/>
      <c r="E90" s="431"/>
    </row>
    <row r="91" spans="1:9" s="176" customFormat="1" ht="11.25" x14ac:dyDescent="0.2">
      <c r="A91" s="794" t="s">
        <v>152</v>
      </c>
      <c r="B91" s="794"/>
      <c r="C91" s="794"/>
      <c r="D91" s="794"/>
      <c r="E91" s="794"/>
      <c r="F91" s="794"/>
      <c r="G91" s="794"/>
      <c r="H91" s="794"/>
      <c r="I91" s="794"/>
    </row>
    <row r="92" spans="1:9" s="176" customFormat="1" ht="11.25" x14ac:dyDescent="0.2"/>
    <row r="93" spans="1:9" s="176" customFormat="1" ht="36" customHeight="1" x14ac:dyDescent="0.2">
      <c r="A93" s="747" t="s">
        <v>178</v>
      </c>
      <c r="B93" s="795"/>
      <c r="C93" s="795"/>
      <c r="D93" s="795"/>
      <c r="E93" s="795"/>
      <c r="F93" s="795"/>
      <c r="G93" s="795"/>
      <c r="H93" s="795"/>
      <c r="I93" s="796"/>
    </row>
    <row r="94" spans="1:9" s="176" customFormat="1" ht="11.25" x14ac:dyDescent="0.2">
      <c r="A94" s="186"/>
      <c r="B94" s="204"/>
      <c r="C94" s="204"/>
      <c r="D94" s="204"/>
      <c r="E94" s="204"/>
      <c r="F94" s="204"/>
      <c r="G94" s="204"/>
      <c r="H94" s="204"/>
      <c r="I94" s="198"/>
    </row>
    <row r="95" spans="1:9" s="175" customFormat="1" ht="10.5" x14ac:dyDescent="0.15">
      <c r="A95" s="750" t="s">
        <v>153</v>
      </c>
      <c r="B95" s="750"/>
      <c r="C95" s="750"/>
      <c r="D95" s="750"/>
      <c r="E95" s="750"/>
      <c r="F95" s="750"/>
      <c r="G95" s="750"/>
      <c r="H95" s="750"/>
      <c r="I95" s="750"/>
    </row>
    <row r="96" spans="1:9" s="176" customFormat="1" ht="11.25" x14ac:dyDescent="0.2"/>
    <row r="97" spans="1:9" s="176" customFormat="1" ht="58.5" customHeight="1" x14ac:dyDescent="0.2">
      <c r="A97" s="789" t="s">
        <v>279</v>
      </c>
      <c r="B97" s="790"/>
      <c r="C97" s="790"/>
      <c r="D97" s="790"/>
      <c r="E97" s="790"/>
      <c r="F97" s="790"/>
      <c r="G97" s="790"/>
      <c r="H97" s="790"/>
      <c r="I97" s="791"/>
    </row>
    <row r="98" spans="1:9" s="176" customFormat="1" ht="11.25" x14ac:dyDescent="0.2">
      <c r="A98" s="789" t="s">
        <v>121</v>
      </c>
      <c r="B98" s="790"/>
      <c r="C98" s="790"/>
      <c r="D98" s="790"/>
      <c r="E98" s="790"/>
      <c r="F98" s="790"/>
      <c r="G98" s="790"/>
      <c r="H98" s="790"/>
      <c r="I98" s="791"/>
    </row>
  </sheetData>
  <mergeCells count="66">
    <mergeCell ref="A97:I97"/>
    <mergeCell ref="A98:I98"/>
    <mergeCell ref="A95:I95"/>
    <mergeCell ref="A34:I34"/>
    <mergeCell ref="D36:I36"/>
    <mergeCell ref="D37:I37"/>
    <mergeCell ref="C38:I38"/>
    <mergeCell ref="A40:I40"/>
    <mergeCell ref="A91:I91"/>
    <mergeCell ref="A93:I93"/>
    <mergeCell ref="A59:B59"/>
    <mergeCell ref="A61:B61"/>
    <mergeCell ref="A85:B85"/>
    <mergeCell ref="A86:B86"/>
    <mergeCell ref="A65:B65"/>
    <mergeCell ref="A67:B67"/>
    <mergeCell ref="A88:B88"/>
    <mergeCell ref="A89:B89"/>
    <mergeCell ref="A15:A16"/>
    <mergeCell ref="A77:B77"/>
    <mergeCell ref="A19:I19"/>
    <mergeCell ref="F21:I21"/>
    <mergeCell ref="F22:I22"/>
    <mergeCell ref="F23:I23"/>
    <mergeCell ref="A28:I28"/>
    <mergeCell ref="D30:I30"/>
    <mergeCell ref="A62:B62"/>
    <mergeCell ref="A64:B64"/>
    <mergeCell ref="A50:B50"/>
    <mergeCell ref="A53:B53"/>
    <mergeCell ref="A55:B55"/>
    <mergeCell ref="A56:B56"/>
    <mergeCell ref="D31:I31"/>
    <mergeCell ref="C32:I32"/>
    <mergeCell ref="D9:I9"/>
    <mergeCell ref="A74:B74"/>
    <mergeCell ref="A76:B76"/>
    <mergeCell ref="A11:I11"/>
    <mergeCell ref="C42:I42"/>
    <mergeCell ref="A79:B79"/>
    <mergeCell ref="C43:I43"/>
    <mergeCell ref="C44:I44"/>
    <mergeCell ref="A46:I46"/>
    <mergeCell ref="A48:B48"/>
    <mergeCell ref="A52:B52"/>
    <mergeCell ref="A73:B73"/>
    <mergeCell ref="A49:B49"/>
    <mergeCell ref="A68:B68"/>
    <mergeCell ref="A70:B70"/>
    <mergeCell ref="A71:B71"/>
    <mergeCell ref="A83:B83"/>
    <mergeCell ref="A7:B7"/>
    <mergeCell ref="D7:I7"/>
    <mergeCell ref="A3:I3"/>
    <mergeCell ref="A5:B5"/>
    <mergeCell ref="D5:I5"/>
    <mergeCell ref="A6:B6"/>
    <mergeCell ref="D6:I6"/>
    <mergeCell ref="F24:I24"/>
    <mergeCell ref="F25:I25"/>
    <mergeCell ref="A80:B80"/>
    <mergeCell ref="A82:B82"/>
    <mergeCell ref="F26:I26"/>
    <mergeCell ref="A8:B8"/>
    <mergeCell ref="D8:I8"/>
    <mergeCell ref="A9:B9"/>
  </mergeCells>
  <printOptions horizontalCentered="1"/>
  <pageMargins left="0.19685039370078741" right="0.19685039370078741" top="0.59055118110236227" bottom="0.59055118110236227" header="0.31496062992125984" footer="0.31496062992125984"/>
  <pageSetup paperSize="9" firstPageNumber="99" orientation="landscape" useFirstPageNumber="1" r:id="rId1"/>
  <headerFooter>
    <oddFooter>&amp;C&amp;8Stránka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 enableFormatConditionsCalculation="0">
    <tabColor rgb="FF92D050"/>
  </sheetPr>
  <dimension ref="A1:X68"/>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833" t="s">
        <v>94</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91"/>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99"/>
      <c r="B4" s="892"/>
      <c r="C4" s="893"/>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900"/>
      <c r="B5" s="894"/>
      <c r="C5" s="895"/>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5774200</v>
      </c>
      <c r="F6" s="67">
        <f>SUM(F7:F9)</f>
        <v>6005100</v>
      </c>
      <c r="G6" s="67">
        <f>SUM(G7:G9)</f>
        <v>6043883</v>
      </c>
      <c r="H6" s="28">
        <f t="shared" ref="H6:H36" si="0">G6/F6*100</f>
        <v>100.64583437411534</v>
      </c>
      <c r="I6" s="67">
        <f>SUM(I7:I9)</f>
        <v>5787895</v>
      </c>
      <c r="J6" s="67">
        <f>SUM(J7:J9)</f>
        <v>1353300</v>
      </c>
      <c r="K6" s="67">
        <f t="shared" ref="K6:Q6" si="1">SUM(K7:K9)</f>
        <v>1488208</v>
      </c>
      <c r="L6" s="67">
        <f t="shared" si="1"/>
        <v>1526991</v>
      </c>
      <c r="M6" s="151">
        <f t="shared" ref="M6:M33" si="2">L6/K6*100</f>
        <v>102.60602012621891</v>
      </c>
      <c r="N6" s="67">
        <f>SUM(N7:N9)</f>
        <v>1435995</v>
      </c>
      <c r="O6" s="67">
        <f t="shared" si="1"/>
        <v>4420900</v>
      </c>
      <c r="P6" s="67">
        <f t="shared" si="1"/>
        <v>4516892</v>
      </c>
      <c r="Q6" s="67">
        <f t="shared" si="1"/>
        <v>4516892</v>
      </c>
      <c r="R6" s="152">
        <f t="shared" ref="R6:R11" si="3">Q6/P6*100</f>
        <v>100</v>
      </c>
      <c r="S6" s="67">
        <f>SUM(S7:S9)</f>
        <v>4351900</v>
      </c>
      <c r="T6" s="69">
        <f>SUM(T7:T9)</f>
        <v>0</v>
      </c>
      <c r="U6" s="69">
        <f>SUM(U7:U9)</f>
        <v>5000</v>
      </c>
      <c r="V6" s="69">
        <f>SUM(V7:V9)</f>
        <v>5000</v>
      </c>
      <c r="W6" s="172">
        <f t="shared" ref="W6:W33" si="4">V6/U6*100</f>
        <v>100</v>
      </c>
      <c r="X6" s="69">
        <f>SUM(X7:X9)</f>
        <v>0</v>
      </c>
    </row>
    <row r="7" spans="1:24" s="6" customFormat="1" ht="9.9499999999999993" customHeight="1" x14ac:dyDescent="0.2">
      <c r="A7" s="34" t="s">
        <v>2</v>
      </c>
      <c r="B7" s="827" t="s">
        <v>47</v>
      </c>
      <c r="C7" s="828"/>
      <c r="D7" s="55" t="s">
        <v>25</v>
      </c>
      <c r="E7" s="70">
        <f t="shared" ref="E7:G10" si="5">SUM(J7,O7)</f>
        <v>313400</v>
      </c>
      <c r="F7" s="71">
        <f t="shared" si="5"/>
        <v>448308</v>
      </c>
      <c r="G7" s="71">
        <f t="shared" si="5"/>
        <v>487773</v>
      </c>
      <c r="H7" s="10">
        <f t="shared" si="0"/>
        <v>108.80309965470167</v>
      </c>
      <c r="I7" s="72">
        <f>SUM(N7,S7)</f>
        <v>472488</v>
      </c>
      <c r="J7" s="73">
        <v>313400</v>
      </c>
      <c r="K7" s="74">
        <v>448308</v>
      </c>
      <c r="L7" s="74">
        <v>487773</v>
      </c>
      <c r="M7" s="10">
        <f t="shared" si="2"/>
        <v>108.80309965470167</v>
      </c>
      <c r="N7" s="74">
        <v>472488</v>
      </c>
      <c r="O7" s="76"/>
      <c r="P7" s="74"/>
      <c r="Q7" s="74"/>
      <c r="R7" s="11" t="e">
        <f t="shared" si="3"/>
        <v>#DIV/0!</v>
      </c>
      <c r="S7" s="74"/>
      <c r="T7" s="70"/>
      <c r="U7" s="71">
        <v>5000</v>
      </c>
      <c r="V7" s="71">
        <v>5000</v>
      </c>
      <c r="W7" s="273">
        <f t="shared" si="4"/>
        <v>100</v>
      </c>
      <c r="X7" s="386"/>
    </row>
    <row r="8" spans="1:24" s="6" customFormat="1" ht="9.9499999999999993" customHeight="1" x14ac:dyDescent="0.2">
      <c r="A8" s="35" t="s">
        <v>3</v>
      </c>
      <c r="B8" s="829" t="s">
        <v>48</v>
      </c>
      <c r="C8" s="830"/>
      <c r="D8" s="56" t="s">
        <v>25</v>
      </c>
      <c r="E8" s="77">
        <f t="shared" si="5"/>
        <v>1600</v>
      </c>
      <c r="F8" s="78">
        <f t="shared" si="5"/>
        <v>1600</v>
      </c>
      <c r="G8" s="78">
        <f t="shared" si="5"/>
        <v>918</v>
      </c>
      <c r="H8" s="11">
        <f t="shared" si="0"/>
        <v>57.375</v>
      </c>
      <c r="I8" s="79">
        <f>SUM(N8,S8)</f>
        <v>1507</v>
      </c>
      <c r="J8" s="80">
        <v>1600</v>
      </c>
      <c r="K8" s="78">
        <v>1600</v>
      </c>
      <c r="L8" s="78">
        <v>918</v>
      </c>
      <c r="M8" s="11">
        <f t="shared" si="2"/>
        <v>57.375</v>
      </c>
      <c r="N8" s="78">
        <v>1507</v>
      </c>
      <c r="O8" s="77"/>
      <c r="P8" s="78"/>
      <c r="Q8" s="78"/>
      <c r="R8" s="11" t="e">
        <f t="shared" si="3"/>
        <v>#DIV/0!</v>
      </c>
      <c r="S8" s="78"/>
      <c r="T8" s="77"/>
      <c r="U8" s="78"/>
      <c r="V8" s="78"/>
      <c r="W8" s="274" t="e">
        <f t="shared" si="4"/>
        <v>#DIV/0!</v>
      </c>
      <c r="X8" s="81"/>
    </row>
    <row r="9" spans="1:24" s="6" customFormat="1" ht="9.9499999999999993" customHeight="1" x14ac:dyDescent="0.2">
      <c r="A9" s="36" t="s">
        <v>4</v>
      </c>
      <c r="B9" s="44" t="s">
        <v>66</v>
      </c>
      <c r="C9" s="45"/>
      <c r="D9" s="57" t="s">
        <v>25</v>
      </c>
      <c r="E9" s="82">
        <f t="shared" si="5"/>
        <v>5459200</v>
      </c>
      <c r="F9" s="83">
        <f t="shared" si="5"/>
        <v>5555192</v>
      </c>
      <c r="G9" s="83">
        <f t="shared" si="5"/>
        <v>5555192</v>
      </c>
      <c r="H9" s="31">
        <f t="shared" si="0"/>
        <v>100</v>
      </c>
      <c r="I9" s="84">
        <f>SUM(N9,S9)</f>
        <v>5313900</v>
      </c>
      <c r="J9" s="85">
        <v>1038300</v>
      </c>
      <c r="K9" s="83">
        <v>1038300</v>
      </c>
      <c r="L9" s="83">
        <v>1038300</v>
      </c>
      <c r="M9" s="31">
        <f t="shared" si="2"/>
        <v>100</v>
      </c>
      <c r="N9" s="83">
        <v>962000</v>
      </c>
      <c r="O9" s="82">
        <v>4420900</v>
      </c>
      <c r="P9" s="83">
        <v>4516892</v>
      </c>
      <c r="Q9" s="83">
        <v>4516892</v>
      </c>
      <c r="R9" s="31">
        <f t="shared" si="3"/>
        <v>100</v>
      </c>
      <c r="S9" s="83">
        <v>4351900</v>
      </c>
      <c r="T9" s="82"/>
      <c r="U9" s="83"/>
      <c r="V9" s="83"/>
      <c r="W9" s="278"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c r="K10" s="87"/>
      <c r="L10" s="87"/>
      <c r="M10" s="151" t="e">
        <f t="shared" si="2"/>
        <v>#DIV/0!</v>
      </c>
      <c r="N10" s="87"/>
      <c r="O10" s="87"/>
      <c r="P10" s="87"/>
      <c r="Q10" s="87"/>
      <c r="R10" s="152" t="e">
        <f t="shared" si="3"/>
        <v>#DIV/0!</v>
      </c>
      <c r="S10" s="87"/>
      <c r="T10" s="87"/>
      <c r="U10" s="87"/>
      <c r="V10" s="87"/>
      <c r="W10" s="172" t="e">
        <f t="shared" si="4"/>
        <v>#DIV/0!</v>
      </c>
      <c r="X10" s="87"/>
    </row>
    <row r="11" spans="1:24" s="6" customFormat="1" ht="9.9499999999999993" customHeight="1" x14ac:dyDescent="0.2">
      <c r="A11" s="33" t="s">
        <v>6</v>
      </c>
      <c r="B11" s="826" t="s">
        <v>9</v>
      </c>
      <c r="C11" s="826"/>
      <c r="D11" s="23" t="s">
        <v>25</v>
      </c>
      <c r="E11" s="67">
        <f>SUM(E12:E30)</f>
        <v>5774200</v>
      </c>
      <c r="F11" s="67">
        <f>SUM(F12:F30)</f>
        <v>6005100</v>
      </c>
      <c r="G11" s="67">
        <f>SUM(G12:G30)</f>
        <v>5994400</v>
      </c>
      <c r="H11" s="28">
        <f t="shared" si="0"/>
        <v>99.82181812126359</v>
      </c>
      <c r="I11" s="68">
        <f>SUM(I12:I30)</f>
        <v>5720857</v>
      </c>
      <c r="J11" s="67">
        <f>SUM(J12:J30)</f>
        <v>1353300</v>
      </c>
      <c r="K11" s="67">
        <f>SUM(K12:K30)</f>
        <v>1488208</v>
      </c>
      <c r="L11" s="67">
        <f>SUM(L12:L30)</f>
        <v>1477508</v>
      </c>
      <c r="M11" s="151">
        <f t="shared" si="2"/>
        <v>99.281014481846626</v>
      </c>
      <c r="N11" s="67">
        <f>SUM(N12:N30)</f>
        <v>1368957</v>
      </c>
      <c r="O11" s="67">
        <f>SUM(O12:O30)</f>
        <v>4420900</v>
      </c>
      <c r="P11" s="67">
        <f>SUM(P12:P30)</f>
        <v>4516892</v>
      </c>
      <c r="Q11" s="67">
        <f>SUM(Q12:Q30)</f>
        <v>4516892</v>
      </c>
      <c r="R11" s="152">
        <f t="shared" si="3"/>
        <v>100</v>
      </c>
      <c r="S11" s="67">
        <f>SUM(S12:S30)</f>
        <v>4351900</v>
      </c>
      <c r="T11" s="69">
        <f>SUM(T12:T30)</f>
        <v>0</v>
      </c>
      <c r="U11" s="69">
        <f>SUM(U12:U30)</f>
        <v>1000</v>
      </c>
      <c r="V11" s="69">
        <f>SUM(V12:V30)</f>
        <v>1000</v>
      </c>
      <c r="W11" s="172">
        <f t="shared" si="4"/>
        <v>100</v>
      </c>
      <c r="X11" s="69">
        <f>SUM(X12:X30)</f>
        <v>0</v>
      </c>
    </row>
    <row r="12" spans="1:24" s="6" customFormat="1" ht="9.9499999999999993" customHeight="1" x14ac:dyDescent="0.2">
      <c r="A12" s="37" t="s">
        <v>8</v>
      </c>
      <c r="B12" s="831" t="s">
        <v>28</v>
      </c>
      <c r="C12" s="832"/>
      <c r="D12" s="58" t="s">
        <v>25</v>
      </c>
      <c r="E12" s="70">
        <f t="shared" ref="E12:I27" si="6">SUM(J12,O12)</f>
        <v>121100</v>
      </c>
      <c r="F12" s="71">
        <f t="shared" si="6"/>
        <v>252843</v>
      </c>
      <c r="G12" s="71">
        <f t="shared" si="6"/>
        <v>252573</v>
      </c>
      <c r="H12" s="10">
        <f t="shared" si="0"/>
        <v>99.893214366227269</v>
      </c>
      <c r="I12" s="72">
        <f t="shared" si="6"/>
        <v>134905</v>
      </c>
      <c r="J12" s="89">
        <v>121100</v>
      </c>
      <c r="K12" s="90">
        <v>232241</v>
      </c>
      <c r="L12" s="90">
        <v>231971</v>
      </c>
      <c r="M12" s="11">
        <f t="shared" si="2"/>
        <v>99.883741458226581</v>
      </c>
      <c r="N12" s="90">
        <v>127718</v>
      </c>
      <c r="O12" s="92"/>
      <c r="P12" s="90">
        <v>20602</v>
      </c>
      <c r="Q12" s="90">
        <v>20602</v>
      </c>
      <c r="R12" s="11">
        <f t="shared" ref="R12:R30" si="7">Q12/P12*100</f>
        <v>100</v>
      </c>
      <c r="S12" s="90">
        <v>7187</v>
      </c>
      <c r="T12" s="271"/>
      <c r="U12" s="272"/>
      <c r="V12" s="272"/>
      <c r="W12" s="273" t="e">
        <f t="shared" si="4"/>
        <v>#DIV/0!</v>
      </c>
      <c r="X12" s="94"/>
    </row>
    <row r="13" spans="1:24" s="6" customFormat="1" ht="9.9499999999999993" customHeight="1" x14ac:dyDescent="0.2">
      <c r="A13" s="38" t="s">
        <v>10</v>
      </c>
      <c r="B13" s="815" t="s">
        <v>29</v>
      </c>
      <c r="C13" s="816"/>
      <c r="D13" s="56" t="s">
        <v>25</v>
      </c>
      <c r="E13" s="77">
        <f t="shared" si="6"/>
        <v>673000</v>
      </c>
      <c r="F13" s="78">
        <f t="shared" si="6"/>
        <v>539000</v>
      </c>
      <c r="G13" s="78">
        <f t="shared" si="6"/>
        <v>533381</v>
      </c>
      <c r="H13" s="11">
        <f t="shared" si="0"/>
        <v>98.957513914656772</v>
      </c>
      <c r="I13" s="79">
        <f t="shared" si="6"/>
        <v>590255</v>
      </c>
      <c r="J13" s="95">
        <v>673000</v>
      </c>
      <c r="K13" s="78">
        <v>539000</v>
      </c>
      <c r="L13" s="78">
        <v>533381</v>
      </c>
      <c r="M13" s="11">
        <f t="shared" si="2"/>
        <v>98.957513914656772</v>
      </c>
      <c r="N13" s="78">
        <v>590255</v>
      </c>
      <c r="O13" s="77"/>
      <c r="P13" s="78"/>
      <c r="Q13" s="78"/>
      <c r="R13" s="11" t="e">
        <f t="shared" si="7"/>
        <v>#DIV/0!</v>
      </c>
      <c r="S13" s="78"/>
      <c r="T13" s="77"/>
      <c r="U13" s="78"/>
      <c r="V13" s="78"/>
      <c r="W13" s="274" t="e">
        <f t="shared" si="4"/>
        <v>#DIV/0!</v>
      </c>
      <c r="X13" s="81"/>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c r="K14" s="78"/>
      <c r="L14" s="78"/>
      <c r="M14" s="11" t="e">
        <f t="shared" si="2"/>
        <v>#DIV/0!</v>
      </c>
      <c r="N14" s="78"/>
      <c r="O14" s="77"/>
      <c r="P14" s="78"/>
      <c r="Q14" s="78"/>
      <c r="R14" s="11" t="e">
        <f t="shared" si="7"/>
        <v>#DIV/0!</v>
      </c>
      <c r="S14" s="78"/>
      <c r="T14" s="77"/>
      <c r="U14" s="78"/>
      <c r="V14" s="78"/>
      <c r="W14" s="274" t="e">
        <f t="shared" si="4"/>
        <v>#DIV/0!</v>
      </c>
      <c r="X14" s="81"/>
    </row>
    <row r="15" spans="1:24" s="6" customFormat="1" ht="9.9499999999999993" customHeight="1" x14ac:dyDescent="0.2">
      <c r="A15" s="38" t="s">
        <v>12</v>
      </c>
      <c r="B15" s="815" t="s">
        <v>68</v>
      </c>
      <c r="C15" s="816"/>
      <c r="D15" s="56" t="s">
        <v>25</v>
      </c>
      <c r="E15" s="77">
        <f t="shared" si="6"/>
        <v>295000</v>
      </c>
      <c r="F15" s="78">
        <f t="shared" si="6"/>
        <v>286503</v>
      </c>
      <c r="G15" s="78">
        <f t="shared" si="6"/>
        <v>283895</v>
      </c>
      <c r="H15" s="11">
        <f t="shared" si="0"/>
        <v>99.08971284768397</v>
      </c>
      <c r="I15" s="79">
        <f t="shared" si="6"/>
        <v>229250</v>
      </c>
      <c r="J15" s="95">
        <v>295000</v>
      </c>
      <c r="K15" s="78">
        <v>286503</v>
      </c>
      <c r="L15" s="78">
        <v>283895</v>
      </c>
      <c r="M15" s="11">
        <f t="shared" si="2"/>
        <v>99.08971284768397</v>
      </c>
      <c r="N15" s="78">
        <v>229250</v>
      </c>
      <c r="O15" s="77"/>
      <c r="P15" s="78"/>
      <c r="Q15" s="78"/>
      <c r="R15" s="11" t="e">
        <f t="shared" si="7"/>
        <v>#DIV/0!</v>
      </c>
      <c r="S15" s="78"/>
      <c r="T15" s="77"/>
      <c r="U15" s="78"/>
      <c r="V15" s="78"/>
      <c r="W15" s="274" t="e">
        <f t="shared" si="4"/>
        <v>#DIV/0!</v>
      </c>
      <c r="X15" s="81"/>
    </row>
    <row r="16" spans="1:24" s="6" customFormat="1" ht="9.9499999999999993" customHeight="1" x14ac:dyDescent="0.2">
      <c r="A16" s="38" t="s">
        <v>13</v>
      </c>
      <c r="B16" s="815" t="s">
        <v>30</v>
      </c>
      <c r="C16" s="816"/>
      <c r="D16" s="56" t="s">
        <v>25</v>
      </c>
      <c r="E16" s="77">
        <f t="shared" si="6"/>
        <v>1500</v>
      </c>
      <c r="F16" s="78">
        <f t="shared" si="6"/>
        <v>1566</v>
      </c>
      <c r="G16" s="78">
        <f t="shared" si="6"/>
        <v>1566</v>
      </c>
      <c r="H16" s="11">
        <f t="shared" si="0"/>
        <v>100</v>
      </c>
      <c r="I16" s="79">
        <f t="shared" si="6"/>
        <v>1259</v>
      </c>
      <c r="J16" s="95">
        <v>1500</v>
      </c>
      <c r="K16" s="78">
        <v>1566</v>
      </c>
      <c r="L16" s="78">
        <v>1566</v>
      </c>
      <c r="M16" s="11">
        <f t="shared" si="2"/>
        <v>100</v>
      </c>
      <c r="N16" s="78">
        <v>1259</v>
      </c>
      <c r="O16" s="77"/>
      <c r="P16" s="78"/>
      <c r="Q16" s="78"/>
      <c r="R16" s="11" t="e">
        <f t="shared" si="7"/>
        <v>#DIV/0!</v>
      </c>
      <c r="S16" s="78"/>
      <c r="T16" s="77"/>
      <c r="U16" s="78"/>
      <c r="V16" s="78"/>
      <c r="W16" s="274" t="e">
        <f t="shared" si="4"/>
        <v>#DIV/0!</v>
      </c>
      <c r="X16" s="81"/>
    </row>
    <row r="17" spans="1:24" s="6" customFormat="1" ht="9.9499999999999993" customHeight="1" x14ac:dyDescent="0.2">
      <c r="A17" s="38" t="s">
        <v>14</v>
      </c>
      <c r="B17" s="46" t="s">
        <v>49</v>
      </c>
      <c r="C17" s="47"/>
      <c r="D17" s="56" t="s">
        <v>25</v>
      </c>
      <c r="E17" s="77">
        <f t="shared" si="6"/>
        <v>800</v>
      </c>
      <c r="F17" s="78">
        <f t="shared" si="6"/>
        <v>800</v>
      </c>
      <c r="G17" s="78">
        <f t="shared" si="6"/>
        <v>797</v>
      </c>
      <c r="H17" s="11">
        <f t="shared" si="0"/>
        <v>99.625</v>
      </c>
      <c r="I17" s="79">
        <f t="shared" si="6"/>
        <v>800</v>
      </c>
      <c r="J17" s="95">
        <v>800</v>
      </c>
      <c r="K17" s="78">
        <v>800</v>
      </c>
      <c r="L17" s="78">
        <v>797</v>
      </c>
      <c r="M17" s="11">
        <f t="shared" si="2"/>
        <v>99.625</v>
      </c>
      <c r="N17" s="78">
        <v>800</v>
      </c>
      <c r="O17" s="77"/>
      <c r="P17" s="78"/>
      <c r="Q17" s="78"/>
      <c r="R17" s="11" t="e">
        <f t="shared" si="7"/>
        <v>#DIV/0!</v>
      </c>
      <c r="S17" s="78"/>
      <c r="T17" s="77"/>
      <c r="U17" s="78"/>
      <c r="V17" s="78"/>
      <c r="W17" s="274" t="e">
        <f t="shared" si="4"/>
        <v>#DIV/0!</v>
      </c>
      <c r="X17" s="81"/>
    </row>
    <row r="18" spans="1:24" s="6" customFormat="1" ht="9.9499999999999993" customHeight="1" x14ac:dyDescent="0.2">
      <c r="A18" s="38" t="s">
        <v>15</v>
      </c>
      <c r="B18" s="815" t="s">
        <v>31</v>
      </c>
      <c r="C18" s="816"/>
      <c r="D18" s="56" t="s">
        <v>25</v>
      </c>
      <c r="E18" s="77">
        <f t="shared" si="6"/>
        <v>222252</v>
      </c>
      <c r="F18" s="78">
        <f t="shared" si="6"/>
        <v>185502</v>
      </c>
      <c r="G18" s="78">
        <f t="shared" si="6"/>
        <v>183334</v>
      </c>
      <c r="H18" s="11">
        <f t="shared" si="0"/>
        <v>98.831279447121872</v>
      </c>
      <c r="I18" s="79">
        <f t="shared" si="6"/>
        <v>205078</v>
      </c>
      <c r="J18" s="95">
        <v>222252</v>
      </c>
      <c r="K18" s="78">
        <v>184522</v>
      </c>
      <c r="L18" s="78">
        <v>182354</v>
      </c>
      <c r="M18" s="11">
        <f t="shared" si="2"/>
        <v>98.825072349096587</v>
      </c>
      <c r="N18" s="78">
        <v>205078</v>
      </c>
      <c r="O18" s="77"/>
      <c r="P18" s="78">
        <v>980</v>
      </c>
      <c r="Q18" s="78">
        <v>980</v>
      </c>
      <c r="R18" s="11">
        <f t="shared" si="7"/>
        <v>100</v>
      </c>
      <c r="S18" s="78"/>
      <c r="T18" s="77"/>
      <c r="U18" s="78"/>
      <c r="V18" s="78"/>
      <c r="W18" s="274" t="e">
        <f t="shared" si="4"/>
        <v>#DIV/0!</v>
      </c>
      <c r="X18" s="81"/>
    </row>
    <row r="19" spans="1:24" s="12" customFormat="1" ht="9.9499999999999993" customHeight="1" x14ac:dyDescent="0.2">
      <c r="A19" s="38" t="s">
        <v>16</v>
      </c>
      <c r="B19" s="815" t="s">
        <v>32</v>
      </c>
      <c r="C19" s="816"/>
      <c r="D19" s="56" t="s">
        <v>25</v>
      </c>
      <c r="E19" s="77">
        <f t="shared" si="6"/>
        <v>3239000</v>
      </c>
      <c r="F19" s="78">
        <f t="shared" si="6"/>
        <v>3317568</v>
      </c>
      <c r="G19" s="78">
        <f t="shared" si="6"/>
        <v>3317568</v>
      </c>
      <c r="H19" s="11">
        <f t="shared" si="0"/>
        <v>100</v>
      </c>
      <c r="I19" s="79">
        <f t="shared" si="6"/>
        <v>3194130</v>
      </c>
      <c r="J19" s="96"/>
      <c r="K19" s="78"/>
      <c r="L19" s="78"/>
      <c r="M19" s="11" t="e">
        <f t="shared" si="2"/>
        <v>#DIV/0!</v>
      </c>
      <c r="N19" s="78"/>
      <c r="O19" s="77">
        <v>3239000</v>
      </c>
      <c r="P19" s="78">
        <v>3317568</v>
      </c>
      <c r="Q19" s="78">
        <v>3317568</v>
      </c>
      <c r="R19" s="11">
        <f t="shared" si="7"/>
        <v>100</v>
      </c>
      <c r="S19" s="78">
        <v>3194130</v>
      </c>
      <c r="T19" s="77"/>
      <c r="U19" s="78"/>
      <c r="V19" s="78"/>
      <c r="W19" s="274" t="e">
        <f t="shared" si="4"/>
        <v>#DIV/0!</v>
      </c>
      <c r="X19" s="81"/>
    </row>
    <row r="20" spans="1:24" s="6" customFormat="1" ht="9.9499999999999993" customHeight="1" x14ac:dyDescent="0.2">
      <c r="A20" s="38" t="s">
        <v>17</v>
      </c>
      <c r="B20" s="815" t="s">
        <v>50</v>
      </c>
      <c r="C20" s="816"/>
      <c r="D20" s="56" t="s">
        <v>25</v>
      </c>
      <c r="E20" s="77">
        <f t="shared" si="6"/>
        <v>1114864</v>
      </c>
      <c r="F20" s="78">
        <f t="shared" si="6"/>
        <v>1135232</v>
      </c>
      <c r="G20" s="78">
        <f t="shared" si="6"/>
        <v>1135232</v>
      </c>
      <c r="H20" s="11">
        <f t="shared" si="0"/>
        <v>100</v>
      </c>
      <c r="I20" s="79">
        <f t="shared" si="6"/>
        <v>1094345</v>
      </c>
      <c r="J20" s="95"/>
      <c r="K20" s="78"/>
      <c r="L20" s="78"/>
      <c r="M20" s="11" t="e">
        <f t="shared" si="2"/>
        <v>#DIV/0!</v>
      </c>
      <c r="N20" s="78"/>
      <c r="O20" s="77">
        <v>1114864</v>
      </c>
      <c r="P20" s="78">
        <v>1135232</v>
      </c>
      <c r="Q20" s="78">
        <v>1135232</v>
      </c>
      <c r="R20" s="11">
        <f t="shared" si="7"/>
        <v>100</v>
      </c>
      <c r="S20" s="78">
        <v>1094345</v>
      </c>
      <c r="T20" s="77"/>
      <c r="U20" s="78"/>
      <c r="V20" s="78"/>
      <c r="W20" s="274" t="e">
        <f t="shared" si="4"/>
        <v>#DIV/0!</v>
      </c>
      <c r="X20" s="81"/>
    </row>
    <row r="21" spans="1:24" s="6" customFormat="1" ht="9.9499999999999993" customHeight="1" x14ac:dyDescent="0.2">
      <c r="A21" s="38" t="s">
        <v>18</v>
      </c>
      <c r="B21" s="815" t="s">
        <v>51</v>
      </c>
      <c r="C21" s="816"/>
      <c r="D21" s="56" t="s">
        <v>25</v>
      </c>
      <c r="E21" s="77">
        <f t="shared" si="6"/>
        <v>88036</v>
      </c>
      <c r="F21" s="78">
        <f t="shared" si="6"/>
        <v>63510</v>
      </c>
      <c r="G21" s="78">
        <f t="shared" si="6"/>
        <v>63478</v>
      </c>
      <c r="H21" s="11">
        <f t="shared" si="0"/>
        <v>99.949614233978906</v>
      </c>
      <c r="I21" s="79">
        <f t="shared" si="6"/>
        <v>75415</v>
      </c>
      <c r="J21" s="95">
        <v>21000</v>
      </c>
      <c r="K21" s="78">
        <v>21000</v>
      </c>
      <c r="L21" s="78">
        <v>20968</v>
      </c>
      <c r="M21" s="11">
        <f t="shared" si="2"/>
        <v>99.847619047619048</v>
      </c>
      <c r="N21" s="78">
        <v>19177</v>
      </c>
      <c r="O21" s="77">
        <v>67036</v>
      </c>
      <c r="P21" s="78">
        <v>42510</v>
      </c>
      <c r="Q21" s="78">
        <v>42510</v>
      </c>
      <c r="R21" s="11">
        <f t="shared" si="7"/>
        <v>100</v>
      </c>
      <c r="S21" s="78">
        <v>56238</v>
      </c>
      <c r="T21" s="77"/>
      <c r="U21" s="78"/>
      <c r="V21" s="78"/>
      <c r="W21" s="274" t="e">
        <f t="shared" si="4"/>
        <v>#DIV/0!</v>
      </c>
      <c r="X21" s="81"/>
    </row>
    <row r="22" spans="1:24" s="6" customFormat="1" ht="9.9499999999999993" customHeight="1" x14ac:dyDescent="0.2">
      <c r="A22" s="38" t="s">
        <v>19</v>
      </c>
      <c r="B22" s="815" t="s">
        <v>69</v>
      </c>
      <c r="C22" s="816"/>
      <c r="D22" s="56" t="s">
        <v>25</v>
      </c>
      <c r="E22" s="77">
        <f t="shared" si="6"/>
        <v>0</v>
      </c>
      <c r="F22" s="78">
        <f t="shared" si="6"/>
        <v>100</v>
      </c>
      <c r="G22" s="78">
        <f t="shared" si="6"/>
        <v>100</v>
      </c>
      <c r="H22" s="11">
        <f t="shared" si="0"/>
        <v>100</v>
      </c>
      <c r="I22" s="79">
        <f t="shared" si="6"/>
        <v>0</v>
      </c>
      <c r="J22" s="95"/>
      <c r="K22" s="78">
        <v>100</v>
      </c>
      <c r="L22" s="78">
        <v>100</v>
      </c>
      <c r="M22" s="11">
        <f t="shared" si="2"/>
        <v>100</v>
      </c>
      <c r="N22" s="78"/>
      <c r="O22" s="77"/>
      <c r="P22" s="78"/>
      <c r="Q22" s="78"/>
      <c r="R22" s="11" t="e">
        <f t="shared" si="7"/>
        <v>#DIV/0!</v>
      </c>
      <c r="S22" s="78"/>
      <c r="T22" s="77"/>
      <c r="U22" s="78">
        <v>1000</v>
      </c>
      <c r="V22" s="78">
        <v>1000</v>
      </c>
      <c r="W22" s="274">
        <f t="shared" si="4"/>
        <v>100</v>
      </c>
      <c r="X22" s="81"/>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0</v>
      </c>
      <c r="J23" s="95"/>
      <c r="K23" s="78"/>
      <c r="L23" s="78"/>
      <c r="M23" s="11" t="e">
        <f t="shared" si="2"/>
        <v>#DIV/0!</v>
      </c>
      <c r="N23" s="78"/>
      <c r="O23" s="77"/>
      <c r="P23" s="78"/>
      <c r="Q23" s="78"/>
      <c r="R23" s="11" t="e">
        <f t="shared" si="7"/>
        <v>#DIV/0!</v>
      </c>
      <c r="S23" s="78"/>
      <c r="T23" s="77"/>
      <c r="U23" s="78"/>
      <c r="V23" s="78"/>
      <c r="W23" s="274"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8"/>
      <c r="O24" s="77"/>
      <c r="P24" s="78"/>
      <c r="Q24" s="78"/>
      <c r="R24" s="11" t="e">
        <f t="shared" si="7"/>
        <v>#DIV/0!</v>
      </c>
      <c r="S24" s="78"/>
      <c r="T24" s="77"/>
      <c r="U24" s="78"/>
      <c r="V24" s="78"/>
      <c r="W24" s="274" t="e">
        <f t="shared" si="4"/>
        <v>#DIV/0!</v>
      </c>
      <c r="X24" s="81"/>
    </row>
    <row r="25" spans="1:24" s="6" customFormat="1" ht="9.9499999999999993" customHeight="1" x14ac:dyDescent="0.2">
      <c r="A25" s="39" t="s">
        <v>22</v>
      </c>
      <c r="B25" s="48" t="s">
        <v>71</v>
      </c>
      <c r="C25" s="49"/>
      <c r="D25" s="56" t="s">
        <v>25</v>
      </c>
      <c r="E25" s="77">
        <f t="shared" si="6"/>
        <v>158</v>
      </c>
      <c r="F25" s="78">
        <f t="shared" si="6"/>
        <v>3604</v>
      </c>
      <c r="G25" s="78">
        <f t="shared" si="6"/>
        <v>3604</v>
      </c>
      <c r="H25" s="11">
        <f t="shared" si="0"/>
        <v>100</v>
      </c>
      <c r="I25" s="79">
        <f t="shared" si="6"/>
        <v>24305</v>
      </c>
      <c r="J25" s="95">
        <v>158</v>
      </c>
      <c r="K25" s="98">
        <v>3604</v>
      </c>
      <c r="L25" s="98">
        <v>3604</v>
      </c>
      <c r="M25" s="11">
        <f t="shared" si="2"/>
        <v>100</v>
      </c>
      <c r="N25" s="98">
        <v>24305</v>
      </c>
      <c r="O25" s="100"/>
      <c r="P25" s="98"/>
      <c r="Q25" s="98"/>
      <c r="R25" s="11" t="e">
        <f t="shared" si="7"/>
        <v>#DIV/0!</v>
      </c>
      <c r="S25" s="98"/>
      <c r="T25" s="102"/>
      <c r="U25" s="103"/>
      <c r="V25" s="103"/>
      <c r="W25" s="274" t="e">
        <f t="shared" si="4"/>
        <v>#DIV/0!</v>
      </c>
      <c r="X25" s="104"/>
    </row>
    <row r="26" spans="1:24" s="14" customFormat="1" ht="9.9499999999999993" customHeight="1" x14ac:dyDescent="0.2">
      <c r="A26" s="38" t="s">
        <v>23</v>
      </c>
      <c r="B26" s="815" t="s">
        <v>72</v>
      </c>
      <c r="C26" s="816"/>
      <c r="D26" s="56" t="s">
        <v>25</v>
      </c>
      <c r="E26" s="77">
        <f t="shared" si="6"/>
        <v>8490</v>
      </c>
      <c r="F26" s="78">
        <f t="shared" si="6"/>
        <v>8490</v>
      </c>
      <c r="G26" s="78">
        <f t="shared" si="6"/>
        <v>8490</v>
      </c>
      <c r="H26" s="11">
        <f t="shared" si="0"/>
        <v>100</v>
      </c>
      <c r="I26" s="79">
        <f t="shared" si="6"/>
        <v>5983</v>
      </c>
      <c r="J26" s="95">
        <v>8490</v>
      </c>
      <c r="K26" s="103">
        <v>8490</v>
      </c>
      <c r="L26" s="103">
        <v>8490</v>
      </c>
      <c r="M26" s="11">
        <f t="shared" si="2"/>
        <v>100</v>
      </c>
      <c r="N26" s="103">
        <v>5983</v>
      </c>
      <c r="O26" s="102"/>
      <c r="P26" s="103"/>
      <c r="Q26" s="103"/>
      <c r="R26" s="11" t="e">
        <f t="shared" si="7"/>
        <v>#DIV/0!</v>
      </c>
      <c r="S26" s="103"/>
      <c r="T26" s="275"/>
      <c r="U26" s="276"/>
      <c r="V26" s="276"/>
      <c r="W26" s="274" t="e">
        <f t="shared" si="4"/>
        <v>#DIV/0!</v>
      </c>
      <c r="X26" s="277"/>
    </row>
    <row r="27" spans="1:24" s="16" customFormat="1" ht="9.9499999999999993" customHeight="1" x14ac:dyDescent="0.2">
      <c r="A27" s="38" t="s">
        <v>45</v>
      </c>
      <c r="B27" s="46" t="s">
        <v>73</v>
      </c>
      <c r="C27" s="47"/>
      <c r="D27" s="56" t="s">
        <v>25</v>
      </c>
      <c r="E27" s="77">
        <f t="shared" si="6"/>
        <v>10000</v>
      </c>
      <c r="F27" s="78">
        <f t="shared" si="6"/>
        <v>210382</v>
      </c>
      <c r="G27" s="78">
        <f t="shared" si="6"/>
        <v>210382</v>
      </c>
      <c r="H27" s="11">
        <f t="shared" si="0"/>
        <v>100</v>
      </c>
      <c r="I27" s="79">
        <f t="shared" si="6"/>
        <v>165132</v>
      </c>
      <c r="J27" s="95">
        <v>10000</v>
      </c>
      <c r="K27" s="103">
        <v>210382</v>
      </c>
      <c r="L27" s="103">
        <v>210382</v>
      </c>
      <c r="M27" s="11">
        <f t="shared" si="2"/>
        <v>100</v>
      </c>
      <c r="N27" s="103">
        <v>165132</v>
      </c>
      <c r="O27" s="102"/>
      <c r="P27" s="103"/>
      <c r="Q27" s="103"/>
      <c r="R27" s="11" t="e">
        <f t="shared" si="7"/>
        <v>#DIV/0!</v>
      </c>
      <c r="S27" s="103"/>
      <c r="T27" s="275"/>
      <c r="U27" s="276"/>
      <c r="V27" s="276"/>
      <c r="W27" s="274" t="e">
        <f t="shared" si="4"/>
        <v>#DIV/0!</v>
      </c>
      <c r="X27" s="277"/>
    </row>
    <row r="28" spans="1:24" s="14" customFormat="1" ht="9.9499999999999993" customHeight="1" x14ac:dyDescent="0.2">
      <c r="A28" s="38" t="s">
        <v>53</v>
      </c>
      <c r="B28" s="815" t="s">
        <v>74</v>
      </c>
      <c r="C28" s="816"/>
      <c r="D28" s="56" t="s">
        <v>25</v>
      </c>
      <c r="E28" s="77">
        <f t="shared" ref="E28:G30" si="8">SUM(J28,O28)</f>
        <v>0</v>
      </c>
      <c r="F28" s="78">
        <f t="shared" si="8"/>
        <v>0</v>
      </c>
      <c r="G28" s="78">
        <f t="shared" si="8"/>
        <v>0</v>
      </c>
      <c r="H28" s="11" t="e">
        <f t="shared" si="0"/>
        <v>#DIV/0!</v>
      </c>
      <c r="I28" s="79">
        <f>SUM(N28,S28)</f>
        <v>0</v>
      </c>
      <c r="J28" s="95"/>
      <c r="K28" s="103"/>
      <c r="L28" s="103"/>
      <c r="M28" s="11" t="e">
        <f t="shared" si="2"/>
        <v>#DIV/0!</v>
      </c>
      <c r="N28" s="103"/>
      <c r="O28" s="102"/>
      <c r="P28" s="103"/>
      <c r="Q28" s="103"/>
      <c r="R28" s="11" t="e">
        <f t="shared" si="7"/>
        <v>#DIV/0!</v>
      </c>
      <c r="S28" s="103"/>
      <c r="T28" s="275"/>
      <c r="U28" s="276"/>
      <c r="V28" s="276"/>
      <c r="W28" s="274" t="e">
        <f t="shared" si="4"/>
        <v>#DIV/0!</v>
      </c>
      <c r="X28" s="277"/>
    </row>
    <row r="29" spans="1:24" s="6" customFormat="1" ht="9.75" x14ac:dyDescent="0.2">
      <c r="A29" s="38" t="s">
        <v>54</v>
      </c>
      <c r="B29" s="46" t="s">
        <v>55</v>
      </c>
      <c r="C29" s="47"/>
      <c r="D29" s="56" t="s">
        <v>25</v>
      </c>
      <c r="E29" s="77">
        <f t="shared" si="8"/>
        <v>0</v>
      </c>
      <c r="F29" s="78">
        <f t="shared" si="8"/>
        <v>0</v>
      </c>
      <c r="G29" s="78">
        <f t="shared" si="8"/>
        <v>0</v>
      </c>
      <c r="H29" s="11" t="e">
        <f t="shared" si="0"/>
        <v>#DIV/0!</v>
      </c>
      <c r="I29" s="79">
        <f>SUM(N29,S29)</f>
        <v>0</v>
      </c>
      <c r="J29" s="95"/>
      <c r="K29" s="103"/>
      <c r="L29" s="103"/>
      <c r="M29" s="11" t="e">
        <f t="shared" si="2"/>
        <v>#DIV/0!</v>
      </c>
      <c r="N29" s="103"/>
      <c r="O29" s="102"/>
      <c r="P29" s="103"/>
      <c r="Q29" s="103"/>
      <c r="R29" s="11" t="e">
        <f t="shared" si="7"/>
        <v>#DIV/0!</v>
      </c>
      <c r="S29" s="103"/>
      <c r="T29" s="275"/>
      <c r="U29" s="276"/>
      <c r="V29" s="276"/>
      <c r="W29" s="274" t="e">
        <f t="shared" si="4"/>
        <v>#DIV/0!</v>
      </c>
      <c r="X29" s="277"/>
    </row>
    <row r="30" spans="1:24" s="27" customFormat="1" ht="9.75" x14ac:dyDescent="0.2">
      <c r="A30" s="40" t="s">
        <v>56</v>
      </c>
      <c r="B30" s="44" t="s">
        <v>75</v>
      </c>
      <c r="C30" s="50"/>
      <c r="D30" s="59" t="s">
        <v>25</v>
      </c>
      <c r="E30" s="82">
        <f t="shared" si="8"/>
        <v>0</v>
      </c>
      <c r="F30" s="83">
        <f t="shared" si="8"/>
        <v>0</v>
      </c>
      <c r="G30" s="83">
        <f t="shared" si="8"/>
        <v>0</v>
      </c>
      <c r="H30" s="31" t="e">
        <f t="shared" si="0"/>
        <v>#DIV/0!</v>
      </c>
      <c r="I30" s="84">
        <f>SUM(N30,S30)</f>
        <v>0</v>
      </c>
      <c r="J30" s="106"/>
      <c r="K30" s="107"/>
      <c r="L30" s="107"/>
      <c r="M30" s="11" t="e">
        <f t="shared" si="2"/>
        <v>#DIV/0!</v>
      </c>
      <c r="N30" s="107"/>
      <c r="O30" s="109"/>
      <c r="P30" s="107"/>
      <c r="Q30" s="107"/>
      <c r="R30" s="11" t="e">
        <f t="shared" si="7"/>
        <v>#DIV/0!</v>
      </c>
      <c r="S30" s="107"/>
      <c r="T30" s="109"/>
      <c r="U30" s="107"/>
      <c r="V30" s="107"/>
      <c r="W30" s="278" t="e">
        <f t="shared" si="4"/>
        <v>#DIV/0!</v>
      </c>
      <c r="X30" s="111"/>
    </row>
    <row r="31" spans="1:24" s="27" customFormat="1" ht="9.75" x14ac:dyDescent="0.2">
      <c r="A31" s="33" t="s">
        <v>57</v>
      </c>
      <c r="B31" s="817" t="s">
        <v>58</v>
      </c>
      <c r="C31" s="818"/>
      <c r="D31" s="22" t="s">
        <v>25</v>
      </c>
      <c r="E31" s="67">
        <f>SUM(E6-E11)</f>
        <v>0</v>
      </c>
      <c r="F31" s="67">
        <f>SUM(F6-F11)</f>
        <v>0</v>
      </c>
      <c r="G31" s="67">
        <f>SUM(G6-G11)</f>
        <v>49483</v>
      </c>
      <c r="H31" s="21" t="e">
        <f t="shared" si="0"/>
        <v>#DIV/0!</v>
      </c>
      <c r="I31" s="68">
        <f>SUM(I6-I11)</f>
        <v>67038</v>
      </c>
      <c r="J31" s="67">
        <f>SUM(J6-J11)</f>
        <v>0</v>
      </c>
      <c r="K31" s="67">
        <f>SUM(K6-K11)</f>
        <v>0</v>
      </c>
      <c r="L31" s="67">
        <f>SUM(L6-L11)</f>
        <v>49483</v>
      </c>
      <c r="M31" s="151" t="e">
        <f t="shared" si="2"/>
        <v>#DIV/0!</v>
      </c>
      <c r="N31" s="67">
        <f>SUM(N6-N11)</f>
        <v>67038</v>
      </c>
      <c r="O31" s="67">
        <f>SUM(O6-O11)</f>
        <v>0</v>
      </c>
      <c r="P31" s="67">
        <f>SUM(P6-P11)</f>
        <v>0</v>
      </c>
      <c r="Q31" s="67">
        <f>SUM(Q6-Q11)</f>
        <v>0</v>
      </c>
      <c r="R31" s="152" t="e">
        <f>Q31/P31*100</f>
        <v>#DIV/0!</v>
      </c>
      <c r="S31" s="67">
        <f>SUM(S6-S11)</f>
        <v>0</v>
      </c>
      <c r="T31" s="69">
        <f>SUM(T6-T11)</f>
        <v>0</v>
      </c>
      <c r="U31" s="69">
        <f>SUM(U6-U11)</f>
        <v>4000</v>
      </c>
      <c r="V31" s="69">
        <f>SUM(V6-V11)</f>
        <v>4000</v>
      </c>
      <c r="W31" s="173">
        <f t="shared" si="4"/>
        <v>100</v>
      </c>
      <c r="X31" s="69">
        <f>SUM(X6-X11)</f>
        <v>0</v>
      </c>
    </row>
    <row r="32" spans="1:24" s="27" customFormat="1" ht="9.75" x14ac:dyDescent="0.2">
      <c r="A32" s="41" t="s">
        <v>59</v>
      </c>
      <c r="B32" s="60" t="s">
        <v>76</v>
      </c>
      <c r="C32" s="61"/>
      <c r="D32" s="22" t="s">
        <v>25</v>
      </c>
      <c r="E32" s="130">
        <f>SUM(J32,O32)</f>
        <v>0</v>
      </c>
      <c r="F32" s="131">
        <f>SUM(K32,P32)</f>
        <v>0</v>
      </c>
      <c r="G32" s="131">
        <f>SUM(L32,Q32)</f>
        <v>0</v>
      </c>
      <c r="H32" s="26" t="e">
        <f t="shared" si="0"/>
        <v>#DIV/0!</v>
      </c>
      <c r="I32" s="132">
        <f>SUM(N32,S32)</f>
        <v>0</v>
      </c>
      <c r="J32" s="112"/>
      <c r="K32" s="113"/>
      <c r="L32" s="113"/>
      <c r="M32" s="10" t="e">
        <f t="shared" si="2"/>
        <v>#DIV/0!</v>
      </c>
      <c r="N32" s="113"/>
      <c r="O32" s="115"/>
      <c r="P32" s="113"/>
      <c r="Q32" s="113"/>
      <c r="R32" s="31" t="e">
        <f>Q32/P32*100</f>
        <v>#DIV/0!</v>
      </c>
      <c r="S32" s="113"/>
      <c r="T32" s="168"/>
      <c r="U32" s="169"/>
      <c r="V32" s="169"/>
      <c r="W32" s="170" t="e">
        <f t="shared" si="4"/>
        <v>#DIV/0!</v>
      </c>
      <c r="X32" s="171"/>
    </row>
    <row r="33" spans="1:24" s="27" customFormat="1" ht="9.75" x14ac:dyDescent="0.2">
      <c r="A33" s="33" t="s">
        <v>60</v>
      </c>
      <c r="B33" s="24" t="s">
        <v>61</v>
      </c>
      <c r="C33" s="25"/>
      <c r="D33" s="22" t="s">
        <v>25</v>
      </c>
      <c r="E33" s="67">
        <f>E31-E32</f>
        <v>0</v>
      </c>
      <c r="F33" s="67">
        <f>F31-F32</f>
        <v>0</v>
      </c>
      <c r="G33" s="67">
        <f>G31-G32</f>
        <v>49483</v>
      </c>
      <c r="H33" s="29" t="e">
        <f t="shared" si="0"/>
        <v>#DIV/0!</v>
      </c>
      <c r="I33" s="68">
        <f>I31-I32</f>
        <v>67038</v>
      </c>
      <c r="J33" s="67">
        <f>J31-J32</f>
        <v>0</v>
      </c>
      <c r="K33" s="67">
        <f>K31-K32</f>
        <v>0</v>
      </c>
      <c r="L33" s="67">
        <f>L31-L32</f>
        <v>49483</v>
      </c>
      <c r="M33" s="151" t="e">
        <f t="shared" si="2"/>
        <v>#DIV/0!</v>
      </c>
      <c r="N33" s="67">
        <f>N31-N32</f>
        <v>67038</v>
      </c>
      <c r="O33" s="67">
        <f>O31-O32</f>
        <v>0</v>
      </c>
      <c r="P33" s="67">
        <f>P31-P32</f>
        <v>0</v>
      </c>
      <c r="Q33" s="67">
        <f>Q31-Q32</f>
        <v>0</v>
      </c>
      <c r="R33" s="152" t="e">
        <f>Q33/P33*100</f>
        <v>#DIV/0!</v>
      </c>
      <c r="S33" s="67">
        <f>S31-S32</f>
        <v>0</v>
      </c>
      <c r="T33" s="69">
        <f>T31-T32</f>
        <v>0</v>
      </c>
      <c r="U33" s="69">
        <f>U31-U32</f>
        <v>4000</v>
      </c>
      <c r="V33" s="69">
        <f>V31-V32</f>
        <v>4000</v>
      </c>
      <c r="W33" s="173">
        <f t="shared" si="4"/>
        <v>100</v>
      </c>
      <c r="X33" s="69">
        <f>X31-X32</f>
        <v>0</v>
      </c>
    </row>
    <row r="34" spans="1:24" s="136" customFormat="1" ht="9" x14ac:dyDescent="0.2">
      <c r="A34" s="42" t="s">
        <v>62</v>
      </c>
      <c r="B34" s="813" t="s">
        <v>24</v>
      </c>
      <c r="C34" s="814"/>
      <c r="D34" s="62" t="s">
        <v>25</v>
      </c>
      <c r="E34" s="207">
        <v>18995</v>
      </c>
      <c r="F34" s="208">
        <v>19014</v>
      </c>
      <c r="G34" s="208">
        <v>19014</v>
      </c>
      <c r="H34" s="13">
        <f t="shared" si="0"/>
        <v>100</v>
      </c>
      <c r="I34" s="208">
        <v>19805</v>
      </c>
      <c r="J34" s="804"/>
      <c r="K34" s="805"/>
      <c r="L34" s="805"/>
      <c r="M34" s="805"/>
      <c r="N34" s="805"/>
      <c r="O34" s="805"/>
      <c r="P34" s="805"/>
      <c r="Q34" s="805"/>
      <c r="R34" s="805"/>
      <c r="S34" s="805"/>
      <c r="T34" s="805"/>
      <c r="U34" s="805"/>
      <c r="V34" s="805"/>
      <c r="W34" s="805"/>
      <c r="X34" s="806"/>
    </row>
    <row r="35" spans="1:24" s="136" customFormat="1" ht="9" x14ac:dyDescent="0.2">
      <c r="A35" s="32" t="s">
        <v>63</v>
      </c>
      <c r="B35" s="797" t="s">
        <v>33</v>
      </c>
      <c r="C35" s="798"/>
      <c r="D35" s="63" t="s">
        <v>26</v>
      </c>
      <c r="E35" s="233">
        <v>14.21</v>
      </c>
      <c r="F35" s="234">
        <v>14.54</v>
      </c>
      <c r="G35" s="234">
        <v>14.54</v>
      </c>
      <c r="H35" s="15">
        <f t="shared" si="0"/>
        <v>100</v>
      </c>
      <c r="I35" s="234">
        <v>13.44</v>
      </c>
      <c r="J35" s="804"/>
      <c r="K35" s="805"/>
      <c r="L35" s="805"/>
      <c r="M35" s="805"/>
      <c r="N35" s="805"/>
      <c r="O35" s="805"/>
      <c r="P35" s="805"/>
      <c r="Q35" s="805"/>
      <c r="R35" s="805"/>
      <c r="S35" s="805"/>
      <c r="T35" s="805"/>
      <c r="U35" s="805"/>
      <c r="V35" s="805"/>
      <c r="W35" s="805"/>
      <c r="X35" s="806"/>
    </row>
    <row r="36" spans="1:24" s="136" customFormat="1" ht="9" x14ac:dyDescent="0.2">
      <c r="A36" s="43" t="s">
        <v>64</v>
      </c>
      <c r="B36" s="799" t="s">
        <v>27</v>
      </c>
      <c r="C36" s="800"/>
      <c r="D36" s="64" t="s">
        <v>26</v>
      </c>
      <c r="E36" s="210">
        <v>16</v>
      </c>
      <c r="F36" s="211">
        <v>16</v>
      </c>
      <c r="G36" s="211">
        <v>16</v>
      </c>
      <c r="H36" s="17">
        <f t="shared" si="0"/>
        <v>100</v>
      </c>
      <c r="I36" s="211">
        <v>16</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53"/>
      <c r="K37" s="54"/>
      <c r="L37" s="54"/>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2"/>
  <sheetViews>
    <sheetView tabSelected="1" zoomScaleNormal="100" workbookViewId="0"/>
  </sheetViews>
  <sheetFormatPr defaultRowHeight="12.75" x14ac:dyDescent="0.2"/>
  <cols>
    <col min="1" max="1" width="77.25" style="128" customWidth="1"/>
    <col min="2" max="2" width="33.75" style="128" customWidth="1"/>
    <col min="3" max="3" width="26.25" style="128" customWidth="1"/>
    <col min="4" max="4" width="26.75" style="128" customWidth="1"/>
    <col min="5" max="5" width="25.75" style="128" customWidth="1"/>
    <col min="6" max="6" width="22.75" style="128" customWidth="1"/>
    <col min="7" max="9" width="10" style="128" customWidth="1"/>
  </cols>
  <sheetData>
    <row r="1" spans="1:9" s="129" customFormat="1" ht="18.75" x14ac:dyDescent="0.3">
      <c r="A1" s="129" t="s">
        <v>95</v>
      </c>
    </row>
    <row r="2" spans="1:9" s="128" customFormat="1" x14ac:dyDescent="0.2"/>
    <row r="3" spans="1:9" s="175" customFormat="1" ht="10.5" x14ac:dyDescent="0.15">
      <c r="A3" s="955" t="s">
        <v>133</v>
      </c>
      <c r="B3" s="955"/>
      <c r="C3" s="955"/>
      <c r="D3" s="955"/>
      <c r="E3" s="955"/>
      <c r="F3" s="955"/>
      <c r="G3" s="955"/>
      <c r="H3" s="955"/>
      <c r="I3" s="955"/>
    </row>
    <row r="4" spans="1:9" s="176" customFormat="1" ht="11.25" customHeight="1" x14ac:dyDescent="0.2">
      <c r="A4" s="496"/>
      <c r="B4" s="496"/>
      <c r="C4" s="496"/>
      <c r="D4" s="496"/>
      <c r="E4" s="496"/>
      <c r="F4" s="496"/>
      <c r="G4" s="496"/>
      <c r="H4" s="496"/>
      <c r="I4" s="496"/>
    </row>
    <row r="5" spans="1:9" s="177" customFormat="1" ht="11.25" customHeight="1" x14ac:dyDescent="0.2">
      <c r="A5" s="956" t="s">
        <v>77</v>
      </c>
      <c r="B5" s="957"/>
      <c r="C5" s="536" t="s">
        <v>25</v>
      </c>
      <c r="D5" s="958" t="s">
        <v>112</v>
      </c>
      <c r="E5" s="958"/>
      <c r="F5" s="958"/>
      <c r="G5" s="958"/>
      <c r="H5" s="958"/>
      <c r="I5" s="958"/>
    </row>
    <row r="6" spans="1:9" s="176" customFormat="1" ht="11.25" customHeight="1" x14ac:dyDescent="0.2">
      <c r="A6" s="959" t="s">
        <v>134</v>
      </c>
      <c r="B6" s="959"/>
      <c r="C6" s="510">
        <f>C9</f>
        <v>34771.679999999993</v>
      </c>
      <c r="D6" s="962"/>
      <c r="E6" s="963"/>
      <c r="F6" s="963"/>
      <c r="G6" s="963"/>
      <c r="H6" s="963"/>
      <c r="I6" s="963"/>
    </row>
    <row r="7" spans="1:9" s="176" customFormat="1" ht="46.5" customHeight="1" x14ac:dyDescent="0.2">
      <c r="A7" s="976" t="s">
        <v>78</v>
      </c>
      <c r="B7" s="977"/>
      <c r="C7" s="721">
        <v>397576.16</v>
      </c>
      <c r="D7" s="972" t="s">
        <v>803</v>
      </c>
      <c r="E7" s="972"/>
      <c r="F7" s="972"/>
      <c r="G7" s="972"/>
      <c r="H7" s="972"/>
      <c r="I7" s="973"/>
    </row>
    <row r="8" spans="1:9" s="176" customFormat="1" ht="10.5" customHeight="1" x14ac:dyDescent="0.2">
      <c r="A8" s="978"/>
      <c r="B8" s="979"/>
      <c r="C8" s="720">
        <v>-362804.47999999998</v>
      </c>
      <c r="D8" s="972"/>
      <c r="E8" s="972"/>
      <c r="F8" s="972"/>
      <c r="G8" s="972"/>
      <c r="H8" s="972"/>
      <c r="I8" s="973"/>
    </row>
    <row r="9" spans="1:9" s="175" customFormat="1" ht="58.5" customHeight="1" x14ac:dyDescent="0.15">
      <c r="A9" s="960" t="s">
        <v>113</v>
      </c>
      <c r="B9" s="961"/>
      <c r="C9" s="722">
        <f>SUM(C7:C8)</f>
        <v>34771.679999999993</v>
      </c>
      <c r="D9" s="974"/>
      <c r="E9" s="974"/>
      <c r="F9" s="974"/>
      <c r="G9" s="974"/>
      <c r="H9" s="974"/>
      <c r="I9" s="975"/>
    </row>
    <row r="10" spans="1:9" s="175" customFormat="1" ht="11.25" customHeight="1" x14ac:dyDescent="0.15">
      <c r="A10" s="959" t="s">
        <v>114</v>
      </c>
      <c r="B10" s="959"/>
      <c r="C10" s="510">
        <v>0</v>
      </c>
      <c r="D10" s="1012"/>
      <c r="E10" s="1012"/>
      <c r="F10" s="1012"/>
      <c r="G10" s="1012"/>
      <c r="H10" s="1012"/>
      <c r="I10" s="1013"/>
    </row>
    <row r="11" spans="1:9" s="175" customFormat="1" ht="11.25" customHeight="1" x14ac:dyDescent="0.2">
      <c r="A11" s="496"/>
      <c r="B11" s="496"/>
      <c r="C11" s="497"/>
      <c r="D11" s="496"/>
      <c r="E11" s="496"/>
      <c r="F11" s="496"/>
      <c r="G11" s="496"/>
      <c r="H11" s="496"/>
      <c r="I11" s="496"/>
    </row>
    <row r="12" spans="1:9" s="175" customFormat="1" ht="11.25" customHeight="1" x14ac:dyDescent="0.15">
      <c r="A12" s="955" t="s">
        <v>135</v>
      </c>
      <c r="B12" s="955"/>
      <c r="C12" s="955"/>
      <c r="D12" s="955"/>
      <c r="E12" s="955"/>
      <c r="F12" s="955"/>
      <c r="G12" s="955"/>
      <c r="H12" s="955"/>
      <c r="I12" s="955"/>
    </row>
    <row r="13" spans="1:9" s="176" customFormat="1" ht="11.25" customHeight="1" x14ac:dyDescent="0.2">
      <c r="A13" s="496"/>
      <c r="B13" s="496"/>
      <c r="C13" s="497"/>
      <c r="D13" s="523"/>
      <c r="E13" s="523"/>
      <c r="F13" s="523"/>
      <c r="G13" s="523"/>
      <c r="H13" s="523"/>
      <c r="I13" s="523"/>
    </row>
    <row r="14" spans="1:9" s="176" customFormat="1" ht="11.25" customHeight="1" x14ac:dyDescent="0.2">
      <c r="A14" s="536" t="s">
        <v>77</v>
      </c>
      <c r="B14" s="536" t="s">
        <v>79</v>
      </c>
      <c r="C14" s="536" t="s">
        <v>25</v>
      </c>
      <c r="D14" s="525"/>
      <c r="E14" s="526"/>
      <c r="F14" s="526"/>
      <c r="G14" s="526"/>
      <c r="H14" s="526"/>
      <c r="I14" s="526"/>
    </row>
    <row r="15" spans="1:9" s="176" customFormat="1" ht="11.25" customHeight="1" x14ac:dyDescent="0.2">
      <c r="A15" s="505" t="s">
        <v>136</v>
      </c>
      <c r="B15" s="513"/>
      <c r="C15" s="506">
        <v>0</v>
      </c>
      <c r="D15" s="527"/>
      <c r="E15" s="528"/>
      <c r="F15" s="528"/>
      <c r="G15" s="528"/>
      <c r="H15" s="528"/>
      <c r="I15" s="528"/>
    </row>
    <row r="16" spans="1:9" s="181" customFormat="1" ht="11.25" customHeight="1" x14ac:dyDescent="0.2">
      <c r="A16" s="964" t="s">
        <v>137</v>
      </c>
      <c r="B16" s="501" t="s">
        <v>80</v>
      </c>
      <c r="C16" s="507">
        <v>34771.68</v>
      </c>
      <c r="D16" s="520"/>
      <c r="E16" s="521"/>
      <c r="F16" s="521"/>
      <c r="G16" s="521"/>
      <c r="H16" s="521"/>
      <c r="I16" s="521"/>
    </row>
    <row r="17" spans="1:9" s="176" customFormat="1" ht="11.25" customHeight="1" x14ac:dyDescent="0.2">
      <c r="A17" s="965"/>
      <c r="B17" s="503" t="s">
        <v>81</v>
      </c>
      <c r="C17" s="517">
        <v>0</v>
      </c>
      <c r="D17" s="529"/>
      <c r="E17" s="530"/>
      <c r="F17" s="530"/>
      <c r="G17" s="530"/>
      <c r="H17" s="530"/>
      <c r="I17" s="530"/>
    </row>
    <row r="18" spans="1:9" s="176" customFormat="1" ht="11.25" customHeight="1" x14ac:dyDescent="0.2">
      <c r="A18" s="518" t="s">
        <v>134</v>
      </c>
      <c r="B18" s="519"/>
      <c r="C18" s="534">
        <f>SUM(C15:C17)</f>
        <v>34771.68</v>
      </c>
      <c r="D18" s="522"/>
      <c r="E18" s="522"/>
      <c r="F18" s="522"/>
      <c r="G18" s="522"/>
      <c r="H18" s="522"/>
      <c r="I18" s="522"/>
    </row>
    <row r="19" spans="1:9" s="176" customFormat="1" ht="11.25" customHeight="1" x14ac:dyDescent="0.2">
      <c r="A19" s="516"/>
      <c r="B19" s="514"/>
      <c r="C19" s="515"/>
      <c r="D19" s="524"/>
      <c r="E19" s="524"/>
      <c r="F19" s="524"/>
      <c r="G19" s="524"/>
      <c r="H19" s="524"/>
      <c r="I19" s="524"/>
    </row>
    <row r="20" spans="1:9" s="176" customFormat="1" ht="11.25" customHeight="1" x14ac:dyDescent="0.2">
      <c r="A20" s="955" t="s">
        <v>138</v>
      </c>
      <c r="B20" s="955"/>
      <c r="C20" s="955"/>
      <c r="D20" s="955"/>
      <c r="E20" s="955"/>
      <c r="F20" s="955"/>
      <c r="G20" s="955"/>
      <c r="H20" s="955"/>
      <c r="I20" s="955"/>
    </row>
    <row r="21" spans="1:9" s="175" customFormat="1" ht="11.25" customHeight="1" x14ac:dyDescent="0.2">
      <c r="A21" s="496"/>
      <c r="B21" s="496"/>
      <c r="C21" s="497"/>
      <c r="D21" s="496"/>
      <c r="E21" s="496"/>
      <c r="F21" s="496"/>
      <c r="G21" s="496"/>
      <c r="H21" s="496"/>
      <c r="I21" s="496"/>
    </row>
    <row r="22" spans="1:9" s="176" customFormat="1" ht="11.25" customHeight="1" x14ac:dyDescent="0.2">
      <c r="A22" s="536" t="s">
        <v>79</v>
      </c>
      <c r="B22" s="536" t="s">
        <v>139</v>
      </c>
      <c r="C22" s="537" t="s">
        <v>140</v>
      </c>
      <c r="D22" s="536" t="s">
        <v>141</v>
      </c>
      <c r="E22" s="536" t="s">
        <v>142</v>
      </c>
      <c r="F22" s="958" t="s">
        <v>115</v>
      </c>
      <c r="G22" s="958"/>
      <c r="H22" s="958"/>
      <c r="I22" s="958"/>
    </row>
    <row r="23" spans="1:9" s="176" customFormat="1" ht="31.5" customHeight="1" x14ac:dyDescent="0.2">
      <c r="A23" s="499" t="s">
        <v>116</v>
      </c>
      <c r="B23" s="531">
        <v>129837.45</v>
      </c>
      <c r="C23" s="531">
        <v>140410.4</v>
      </c>
      <c r="D23" s="531">
        <v>122638.5</v>
      </c>
      <c r="E23" s="500">
        <v>147609.34999999998</v>
      </c>
      <c r="F23" s="966" t="s">
        <v>309</v>
      </c>
      <c r="G23" s="967"/>
      <c r="H23" s="967"/>
      <c r="I23" s="968"/>
    </row>
    <row r="24" spans="1:9" s="176" customFormat="1" ht="22.5" customHeight="1" x14ac:dyDescent="0.2">
      <c r="A24" s="501" t="s">
        <v>143</v>
      </c>
      <c r="B24" s="532">
        <v>302336.63</v>
      </c>
      <c r="C24" s="532">
        <v>481672.48</v>
      </c>
      <c r="D24" s="532">
        <v>568340.47999999998</v>
      </c>
      <c r="E24" s="502">
        <v>215668.63</v>
      </c>
      <c r="F24" s="969" t="s">
        <v>310</v>
      </c>
      <c r="G24" s="970"/>
      <c r="H24" s="970"/>
      <c r="I24" s="971"/>
    </row>
    <row r="25" spans="1:9" s="188" customFormat="1" ht="32.25" customHeight="1" x14ac:dyDescent="0.2">
      <c r="A25" s="501" t="s">
        <v>81</v>
      </c>
      <c r="B25" s="532">
        <v>102116.12</v>
      </c>
      <c r="C25" s="532">
        <v>0</v>
      </c>
      <c r="D25" s="532">
        <v>0</v>
      </c>
      <c r="E25" s="502">
        <v>102116.12</v>
      </c>
      <c r="F25" s="969" t="s">
        <v>312</v>
      </c>
      <c r="G25" s="970"/>
      <c r="H25" s="970"/>
      <c r="I25" s="971"/>
    </row>
    <row r="26" spans="1:9" s="176" customFormat="1" ht="33" customHeight="1" x14ac:dyDescent="0.2">
      <c r="A26" s="503" t="s">
        <v>82</v>
      </c>
      <c r="B26" s="533">
        <v>170231.62</v>
      </c>
      <c r="C26" s="533">
        <v>198199</v>
      </c>
      <c r="D26" s="533">
        <v>192354.9</v>
      </c>
      <c r="E26" s="504">
        <v>176075.72</v>
      </c>
      <c r="F26" s="1007" t="s">
        <v>311</v>
      </c>
      <c r="G26" s="1008"/>
      <c r="H26" s="1008"/>
      <c r="I26" s="1009"/>
    </row>
    <row r="27" spans="1:9" s="176" customFormat="1" ht="11.25" customHeight="1" x14ac:dyDescent="0.2">
      <c r="A27" s="509" t="s">
        <v>34</v>
      </c>
      <c r="B27" s="510">
        <f>SUM(B23:B26)</f>
        <v>704521.82</v>
      </c>
      <c r="C27" s="510">
        <f>SUM(C23:C26)</f>
        <v>820281.88</v>
      </c>
      <c r="D27" s="510">
        <f>SUM(D23:D26)</f>
        <v>883333.88</v>
      </c>
      <c r="E27" s="510">
        <f>SUM(E23:E26)</f>
        <v>641469.81999999995</v>
      </c>
      <c r="F27" s="1010"/>
      <c r="G27" s="1010"/>
      <c r="H27" s="1010"/>
      <c r="I27" s="1011"/>
    </row>
    <row r="28" spans="1:9" s="176" customFormat="1" ht="11.25" customHeight="1" x14ac:dyDescent="0.2">
      <c r="A28" s="496"/>
      <c r="B28" s="496"/>
      <c r="C28" s="497"/>
      <c r="D28" s="496"/>
      <c r="E28" s="496"/>
      <c r="F28" s="496"/>
      <c r="G28" s="496"/>
      <c r="H28" s="496"/>
      <c r="I28" s="496"/>
    </row>
    <row r="29" spans="1:9" s="176" customFormat="1" ht="11.25" customHeight="1" x14ac:dyDescent="0.2">
      <c r="A29" s="955" t="s">
        <v>144</v>
      </c>
      <c r="B29" s="955"/>
      <c r="C29" s="955"/>
      <c r="D29" s="955"/>
      <c r="E29" s="955"/>
      <c r="F29" s="955"/>
      <c r="G29" s="955"/>
      <c r="H29" s="955"/>
      <c r="I29" s="955"/>
    </row>
    <row r="30" spans="1:9" s="175" customFormat="1" ht="11.25" customHeight="1" x14ac:dyDescent="0.2">
      <c r="A30" s="496"/>
      <c r="B30" s="496"/>
      <c r="C30" s="497"/>
      <c r="D30" s="496"/>
      <c r="E30" s="496"/>
      <c r="F30" s="496"/>
      <c r="G30" s="496"/>
      <c r="H30" s="496"/>
      <c r="I30" s="496"/>
    </row>
    <row r="31" spans="1:9" s="176" customFormat="1" ht="11.25" customHeight="1" x14ac:dyDescent="0.2">
      <c r="A31" s="536" t="s">
        <v>83</v>
      </c>
      <c r="B31" s="536" t="s">
        <v>25</v>
      </c>
      <c r="C31" s="537" t="s">
        <v>84</v>
      </c>
      <c r="D31" s="958" t="s">
        <v>117</v>
      </c>
      <c r="E31" s="958"/>
      <c r="F31" s="958"/>
      <c r="G31" s="958"/>
      <c r="H31" s="958"/>
      <c r="I31" s="958"/>
    </row>
    <row r="32" spans="1:9" s="176" customFormat="1" ht="11.25" customHeight="1" x14ac:dyDescent="0.2">
      <c r="A32" s="512"/>
      <c r="B32" s="500">
        <v>0</v>
      </c>
      <c r="C32" s="508"/>
      <c r="D32" s="1016"/>
      <c r="E32" s="1017"/>
      <c r="F32" s="1017"/>
      <c r="G32" s="1017"/>
      <c r="H32" s="1017"/>
      <c r="I32" s="1018"/>
    </row>
    <row r="33" spans="1:9" s="176" customFormat="1" ht="11.25" customHeight="1" x14ac:dyDescent="0.2">
      <c r="A33" s="509" t="s">
        <v>34</v>
      </c>
      <c r="B33" s="510">
        <v>0</v>
      </c>
      <c r="C33" s="1002"/>
      <c r="D33" s="1002"/>
      <c r="E33" s="1002"/>
      <c r="F33" s="1002"/>
      <c r="G33" s="1002"/>
      <c r="H33" s="1002"/>
      <c r="I33" s="1003"/>
    </row>
    <row r="34" spans="1:9" s="176" customFormat="1" ht="11.25" customHeight="1" x14ac:dyDescent="0.2">
      <c r="A34" s="496"/>
      <c r="B34" s="496"/>
      <c r="C34" s="497"/>
      <c r="D34" s="496"/>
      <c r="E34" s="496"/>
      <c r="F34" s="496"/>
      <c r="G34" s="496"/>
      <c r="H34" s="496"/>
      <c r="I34" s="496"/>
    </row>
    <row r="35" spans="1:9" s="175" customFormat="1" ht="11.25" customHeight="1" x14ac:dyDescent="0.15">
      <c r="A35" s="955" t="s">
        <v>145</v>
      </c>
      <c r="B35" s="955"/>
      <c r="C35" s="955"/>
      <c r="D35" s="955"/>
      <c r="E35" s="955"/>
      <c r="F35" s="955"/>
      <c r="G35" s="955"/>
      <c r="H35" s="955"/>
      <c r="I35" s="955"/>
    </row>
    <row r="36" spans="1:9" s="176" customFormat="1" ht="11.25" customHeight="1" x14ac:dyDescent="0.2">
      <c r="A36" s="496"/>
      <c r="B36" s="496"/>
      <c r="C36" s="497"/>
      <c r="D36" s="496"/>
      <c r="E36" s="496"/>
      <c r="F36" s="496"/>
      <c r="G36" s="496"/>
      <c r="H36" s="496"/>
      <c r="I36" s="496"/>
    </row>
    <row r="37" spans="1:9" s="176" customFormat="1" ht="11.25" customHeight="1" x14ac:dyDescent="0.2">
      <c r="A37" s="536" t="s">
        <v>83</v>
      </c>
      <c r="B37" s="536" t="s">
        <v>25</v>
      </c>
      <c r="C37" s="537" t="s">
        <v>84</v>
      </c>
      <c r="D37" s="958" t="s">
        <v>117</v>
      </c>
      <c r="E37" s="958"/>
      <c r="F37" s="958"/>
      <c r="G37" s="958"/>
      <c r="H37" s="958"/>
      <c r="I37" s="1020"/>
    </row>
    <row r="38" spans="1:9" s="176" customFormat="1" ht="11.25" customHeight="1" x14ac:dyDescent="0.2">
      <c r="A38" s="512"/>
      <c r="B38" s="500">
        <v>0</v>
      </c>
      <c r="C38" s="508"/>
      <c r="D38" s="1016"/>
      <c r="E38" s="1017"/>
      <c r="F38" s="1017"/>
      <c r="G38" s="1017"/>
      <c r="H38" s="1017"/>
      <c r="I38" s="1018"/>
    </row>
    <row r="39" spans="1:9" s="176" customFormat="1" ht="11.25" customHeight="1" x14ac:dyDescent="0.2">
      <c r="A39" s="509" t="s">
        <v>34</v>
      </c>
      <c r="B39" s="510">
        <v>0</v>
      </c>
      <c r="C39" s="1019"/>
      <c r="D39" s="1019"/>
      <c r="E39" s="1019"/>
      <c r="F39" s="1019"/>
      <c r="G39" s="1019"/>
      <c r="H39" s="1019"/>
      <c r="I39" s="1019"/>
    </row>
    <row r="40" spans="1:9" s="175" customFormat="1" ht="11.25" customHeight="1" x14ac:dyDescent="0.2">
      <c r="A40" s="496"/>
      <c r="B40" s="496"/>
      <c r="C40" s="497"/>
      <c r="D40" s="496"/>
      <c r="E40" s="496"/>
      <c r="F40" s="496"/>
      <c r="G40" s="496"/>
      <c r="H40" s="496"/>
      <c r="I40" s="496"/>
    </row>
    <row r="41" spans="1:9" s="176" customFormat="1" ht="11.25" customHeight="1" x14ac:dyDescent="0.2">
      <c r="A41" s="955" t="s">
        <v>146</v>
      </c>
      <c r="B41" s="955"/>
      <c r="C41" s="955"/>
      <c r="D41" s="955"/>
      <c r="E41" s="955"/>
      <c r="F41" s="955"/>
      <c r="G41" s="955"/>
      <c r="H41" s="955"/>
      <c r="I41" s="955"/>
    </row>
    <row r="42" spans="1:9" s="176" customFormat="1" ht="11.25" customHeight="1" x14ac:dyDescent="0.2">
      <c r="A42" s="496"/>
      <c r="B42" s="496"/>
      <c r="C42" s="498"/>
      <c r="D42" s="496"/>
      <c r="E42" s="496"/>
      <c r="F42" s="496"/>
      <c r="G42" s="496"/>
      <c r="H42" s="496"/>
      <c r="I42" s="496"/>
    </row>
    <row r="43" spans="1:9" s="176" customFormat="1" ht="11.25" customHeight="1" x14ac:dyDescent="0.2">
      <c r="A43" s="536" t="s">
        <v>25</v>
      </c>
      <c r="B43" s="537" t="s">
        <v>147</v>
      </c>
      <c r="C43" s="1014" t="s">
        <v>85</v>
      </c>
      <c r="D43" s="1014"/>
      <c r="E43" s="1014"/>
      <c r="F43" s="1014"/>
      <c r="G43" s="1014"/>
      <c r="H43" s="1014"/>
      <c r="I43" s="1015"/>
    </row>
    <row r="44" spans="1:9" s="176" customFormat="1" ht="11.25" customHeight="1" x14ac:dyDescent="0.2">
      <c r="A44" s="511">
        <v>0</v>
      </c>
      <c r="B44" s="511">
        <v>0</v>
      </c>
      <c r="C44" s="1004" t="s">
        <v>313</v>
      </c>
      <c r="D44" s="1005"/>
      <c r="E44" s="1005"/>
      <c r="F44" s="1005"/>
      <c r="G44" s="1005"/>
      <c r="H44" s="1005"/>
      <c r="I44" s="1006"/>
    </row>
    <row r="45" spans="1:9" s="176" customFormat="1" ht="11.25" customHeight="1" x14ac:dyDescent="0.2">
      <c r="A45" s="510">
        <v>0</v>
      </c>
      <c r="B45" s="510">
        <v>0</v>
      </c>
      <c r="C45" s="983" t="s">
        <v>34</v>
      </c>
      <c r="D45" s="983"/>
      <c r="E45" s="983"/>
      <c r="F45" s="983"/>
      <c r="G45" s="983"/>
      <c r="H45" s="983"/>
      <c r="I45" s="984"/>
    </row>
    <row r="46" spans="1:9" s="175" customFormat="1" ht="11.25" customHeight="1" x14ac:dyDescent="0.2">
      <c r="A46" s="496"/>
      <c r="B46" s="496"/>
      <c r="C46" s="498"/>
      <c r="D46" s="496"/>
      <c r="E46" s="496"/>
      <c r="F46" s="496"/>
      <c r="G46" s="496"/>
      <c r="H46" s="496"/>
      <c r="I46" s="496"/>
    </row>
    <row r="47" spans="1:9" s="176" customFormat="1" ht="11.25" customHeight="1" x14ac:dyDescent="0.2">
      <c r="A47" s="955" t="s">
        <v>148</v>
      </c>
      <c r="B47" s="955"/>
      <c r="C47" s="955"/>
      <c r="D47" s="955"/>
      <c r="E47" s="955"/>
      <c r="F47" s="955"/>
      <c r="G47" s="955"/>
      <c r="H47" s="955"/>
      <c r="I47" s="955"/>
    </row>
    <row r="48" spans="1:9" s="206" customFormat="1" ht="11.25" customHeight="1" x14ac:dyDescent="0.2">
      <c r="A48" s="514"/>
      <c r="B48" s="514"/>
      <c r="C48" s="535"/>
      <c r="D48" s="514"/>
      <c r="E48" s="514"/>
      <c r="F48" s="514"/>
      <c r="G48" s="237"/>
      <c r="H48" s="237"/>
      <c r="I48" s="237"/>
    </row>
    <row r="49" spans="1:9" s="176" customFormat="1" ht="11.25" x14ac:dyDescent="0.2">
      <c r="A49" s="991" t="s">
        <v>86</v>
      </c>
      <c r="B49" s="992"/>
      <c r="C49" s="993"/>
      <c r="D49" s="537" t="s">
        <v>87</v>
      </c>
      <c r="E49" s="536" t="s">
        <v>88</v>
      </c>
      <c r="F49" s="536" t="s">
        <v>25</v>
      </c>
    </row>
    <row r="50" spans="1:9" s="197" customFormat="1" ht="23.25" customHeight="1" x14ac:dyDescent="0.15">
      <c r="A50" s="980" t="s">
        <v>315</v>
      </c>
      <c r="B50" s="981"/>
      <c r="C50" s="981"/>
      <c r="D50" s="538">
        <v>41660</v>
      </c>
      <c r="E50" s="538">
        <v>41663</v>
      </c>
      <c r="F50" s="539">
        <v>2000</v>
      </c>
    </row>
    <row r="51" spans="1:9" s="176" customFormat="1" ht="23.25" customHeight="1" x14ac:dyDescent="0.2">
      <c r="A51" s="980" t="s">
        <v>333</v>
      </c>
      <c r="B51" s="981"/>
      <c r="C51" s="981"/>
      <c r="D51" s="538">
        <v>41674</v>
      </c>
      <c r="E51" s="538">
        <v>41677</v>
      </c>
      <c r="F51" s="539">
        <v>5390</v>
      </c>
    </row>
    <row r="52" spans="1:9" s="176" customFormat="1" ht="21.75" customHeight="1" x14ac:dyDescent="0.2">
      <c r="A52" s="980" t="s">
        <v>316</v>
      </c>
      <c r="B52" s="981"/>
      <c r="C52" s="982"/>
      <c r="D52" s="538">
        <v>41786</v>
      </c>
      <c r="E52" s="538">
        <v>41792</v>
      </c>
      <c r="F52" s="539">
        <v>11487</v>
      </c>
    </row>
    <row r="53" spans="1:9" s="176" customFormat="1" ht="12.75" customHeight="1" x14ac:dyDescent="0.2">
      <c r="A53" s="980" t="s">
        <v>314</v>
      </c>
      <c r="B53" s="981"/>
      <c r="C53" s="982"/>
      <c r="D53" s="538">
        <v>41786</v>
      </c>
      <c r="E53" s="538">
        <v>41792</v>
      </c>
      <c r="F53" s="539">
        <v>350</v>
      </c>
    </row>
    <row r="54" spans="1:9" s="176" customFormat="1" ht="23.25" customHeight="1" x14ac:dyDescent="0.2">
      <c r="A54" s="1000" t="s">
        <v>334</v>
      </c>
      <c r="B54" s="1001"/>
      <c r="C54" s="1001"/>
      <c r="D54" s="538">
        <v>41786</v>
      </c>
      <c r="E54" s="538">
        <v>41792</v>
      </c>
      <c r="F54" s="539">
        <v>20000</v>
      </c>
    </row>
    <row r="55" spans="1:9" s="176" customFormat="1" ht="24" customHeight="1" x14ac:dyDescent="0.2">
      <c r="A55" s="980" t="s">
        <v>317</v>
      </c>
      <c r="B55" s="981"/>
      <c r="C55" s="982"/>
      <c r="D55" s="538">
        <v>41788</v>
      </c>
      <c r="E55" s="538">
        <v>41789</v>
      </c>
      <c r="F55" s="539">
        <v>200000</v>
      </c>
    </row>
    <row r="56" spans="1:9" s="176" customFormat="1" ht="11.25" customHeight="1" x14ac:dyDescent="0.2">
      <c r="A56" s="980" t="s">
        <v>318</v>
      </c>
      <c r="B56" s="981"/>
      <c r="C56" s="982"/>
      <c r="D56" s="538">
        <v>41789</v>
      </c>
      <c r="E56" s="538">
        <v>41789</v>
      </c>
      <c r="F56" s="539">
        <v>27050</v>
      </c>
    </row>
    <row r="57" spans="1:9" s="176" customFormat="1" ht="12.75" customHeight="1" x14ac:dyDescent="0.2">
      <c r="A57" s="980" t="s">
        <v>332</v>
      </c>
      <c r="B57" s="981"/>
      <c r="C57" s="982"/>
      <c r="D57" s="538">
        <v>41789</v>
      </c>
      <c r="E57" s="538">
        <v>41789</v>
      </c>
      <c r="F57" s="539">
        <v>40000</v>
      </c>
    </row>
    <row r="58" spans="1:9" s="176" customFormat="1" ht="12" customHeight="1" x14ac:dyDescent="0.2">
      <c r="A58" s="980" t="s">
        <v>319</v>
      </c>
      <c r="B58" s="981"/>
      <c r="C58" s="982"/>
      <c r="D58" s="538">
        <v>41789</v>
      </c>
      <c r="E58" s="538">
        <v>41789</v>
      </c>
      <c r="F58" s="539">
        <v>3500</v>
      </c>
    </row>
    <row r="59" spans="1:9" s="176" customFormat="1" ht="22.5" customHeight="1" x14ac:dyDescent="0.2">
      <c r="A59" s="980" t="s">
        <v>320</v>
      </c>
      <c r="B59" s="981"/>
      <c r="C59" s="982"/>
      <c r="D59" s="538">
        <v>41786</v>
      </c>
      <c r="E59" s="538">
        <v>41792</v>
      </c>
      <c r="F59" s="539">
        <v>50000</v>
      </c>
    </row>
    <row r="60" spans="1:9" s="176" customFormat="1" ht="13.5" customHeight="1" x14ac:dyDescent="0.2">
      <c r="A60" s="980" t="s">
        <v>321</v>
      </c>
      <c r="B60" s="981"/>
      <c r="C60" s="982"/>
      <c r="D60" s="538">
        <v>41820</v>
      </c>
      <c r="E60" s="538">
        <v>41820</v>
      </c>
      <c r="F60" s="539">
        <v>3279</v>
      </c>
    </row>
    <row r="61" spans="1:9" s="176" customFormat="1" ht="23.25" customHeight="1" x14ac:dyDescent="0.2">
      <c r="A61" s="980" t="s">
        <v>321</v>
      </c>
      <c r="B61" s="981"/>
      <c r="C61" s="982"/>
      <c r="D61" s="538">
        <v>41820</v>
      </c>
      <c r="E61" s="538">
        <v>41820</v>
      </c>
      <c r="F61" s="539">
        <v>2000</v>
      </c>
    </row>
    <row r="62" spans="1:9" s="176" customFormat="1" ht="22.5" customHeight="1" x14ac:dyDescent="0.2">
      <c r="A62" s="980" t="s">
        <v>322</v>
      </c>
      <c r="B62" s="981"/>
      <c r="C62" s="982"/>
      <c r="D62" s="538">
        <v>41821</v>
      </c>
      <c r="E62" s="538">
        <v>41821</v>
      </c>
      <c r="F62" s="539">
        <v>2836</v>
      </c>
    </row>
    <row r="63" spans="1:9" s="176" customFormat="1" ht="12" customHeight="1" x14ac:dyDescent="0.2">
      <c r="A63" s="980" t="s">
        <v>323</v>
      </c>
      <c r="B63" s="981"/>
      <c r="C63" s="982"/>
      <c r="D63" s="538">
        <v>41830</v>
      </c>
      <c r="E63" s="538">
        <v>41830</v>
      </c>
      <c r="F63" s="539">
        <v>37626</v>
      </c>
    </row>
    <row r="64" spans="1:9" s="176" customFormat="1" ht="24" customHeight="1" x14ac:dyDescent="0.2">
      <c r="A64" s="980" t="s">
        <v>324</v>
      </c>
      <c r="B64" s="981"/>
      <c r="C64" s="982"/>
      <c r="D64" s="538">
        <v>41858</v>
      </c>
      <c r="E64" s="538">
        <v>41858</v>
      </c>
      <c r="F64" s="539">
        <v>57013.5</v>
      </c>
      <c r="G64" s="496"/>
      <c r="H64" s="496"/>
      <c r="I64" s="496"/>
    </row>
    <row r="65" spans="1:9" s="176" customFormat="1" ht="24" customHeight="1" x14ac:dyDescent="0.2">
      <c r="A65" s="980" t="s">
        <v>325</v>
      </c>
      <c r="B65" s="981"/>
      <c r="C65" s="982"/>
      <c r="D65" s="538">
        <v>41926</v>
      </c>
      <c r="E65" s="538">
        <v>41926</v>
      </c>
      <c r="F65" s="539">
        <v>14138</v>
      </c>
      <c r="G65" s="496"/>
      <c r="H65" s="496"/>
      <c r="I65" s="496"/>
    </row>
    <row r="66" spans="1:9" s="176" customFormat="1" ht="24" customHeight="1" x14ac:dyDescent="0.2">
      <c r="A66" s="980" t="s">
        <v>326</v>
      </c>
      <c r="B66" s="981"/>
      <c r="C66" s="981"/>
      <c r="D66" s="538">
        <v>41926</v>
      </c>
      <c r="E66" s="538">
        <v>41926</v>
      </c>
      <c r="F66" s="539">
        <v>6950</v>
      </c>
      <c r="G66" s="496"/>
      <c r="H66" s="496"/>
      <c r="I66" s="496"/>
    </row>
    <row r="67" spans="1:9" s="176" customFormat="1" ht="34.5" customHeight="1" x14ac:dyDescent="0.2">
      <c r="A67" s="980" t="s">
        <v>327</v>
      </c>
      <c r="B67" s="981"/>
      <c r="C67" s="982"/>
      <c r="D67" s="538">
        <v>41919</v>
      </c>
      <c r="E67" s="538">
        <v>41926</v>
      </c>
      <c r="F67" s="539">
        <v>200000</v>
      </c>
      <c r="G67" s="496"/>
      <c r="H67" s="496"/>
      <c r="I67" s="496"/>
    </row>
    <row r="68" spans="1:9" s="176" customFormat="1" ht="48" customHeight="1" x14ac:dyDescent="0.2">
      <c r="A68" s="994" t="s">
        <v>328</v>
      </c>
      <c r="B68" s="995"/>
      <c r="C68" s="996"/>
      <c r="D68" s="538">
        <v>41955</v>
      </c>
      <c r="E68" s="538">
        <v>41955</v>
      </c>
      <c r="F68" s="539">
        <v>200000</v>
      </c>
      <c r="G68" s="496"/>
      <c r="H68" s="496"/>
      <c r="I68" s="496"/>
    </row>
    <row r="69" spans="1:9" s="176" customFormat="1" ht="8.25" customHeight="1" x14ac:dyDescent="0.2">
      <c r="A69" s="997"/>
      <c r="B69" s="998"/>
      <c r="C69" s="999"/>
      <c r="D69" s="540">
        <v>41976</v>
      </c>
      <c r="E69" s="540">
        <v>41976</v>
      </c>
      <c r="F69" s="541">
        <v>227267.95</v>
      </c>
      <c r="G69" s="496"/>
      <c r="H69" s="496"/>
      <c r="I69" s="496"/>
    </row>
    <row r="70" spans="1:9" s="176" customFormat="1" ht="36" customHeight="1" x14ac:dyDescent="0.2">
      <c r="A70" s="989" t="s">
        <v>329</v>
      </c>
      <c r="B70" s="990"/>
      <c r="C70" s="990"/>
      <c r="D70" s="542">
        <v>41983</v>
      </c>
      <c r="E70" s="542">
        <v>41983</v>
      </c>
      <c r="F70" s="543">
        <v>20500</v>
      </c>
      <c r="G70" s="496"/>
      <c r="H70" s="496"/>
      <c r="I70" s="496"/>
    </row>
    <row r="71" spans="1:9" s="176" customFormat="1" ht="11.25" x14ac:dyDescent="0.2">
      <c r="A71" s="496"/>
      <c r="B71" s="496"/>
      <c r="C71" s="498"/>
      <c r="D71" s="496"/>
      <c r="E71" s="496"/>
      <c r="F71" s="496"/>
      <c r="G71" s="496"/>
      <c r="H71" s="496"/>
      <c r="I71" s="496"/>
    </row>
    <row r="72" spans="1:9" s="176" customFormat="1" ht="11.25" x14ac:dyDescent="0.2">
      <c r="A72" s="988" t="s">
        <v>152</v>
      </c>
      <c r="B72" s="988"/>
      <c r="C72" s="988"/>
      <c r="D72" s="988"/>
      <c r="E72" s="988"/>
      <c r="F72" s="988"/>
      <c r="G72" s="988"/>
      <c r="H72" s="988"/>
      <c r="I72" s="988"/>
    </row>
    <row r="73" spans="1:9" s="176" customFormat="1" ht="11.25" x14ac:dyDescent="0.2">
      <c r="A73" s="496"/>
      <c r="B73" s="496"/>
      <c r="C73" s="496"/>
      <c r="D73" s="496"/>
      <c r="E73" s="496"/>
      <c r="F73" s="496"/>
      <c r="G73" s="496"/>
      <c r="H73" s="496"/>
      <c r="I73" s="496"/>
    </row>
    <row r="74" spans="1:9" s="176" customFormat="1" ht="12" customHeight="1" x14ac:dyDescent="0.2">
      <c r="A74" s="985" t="s">
        <v>330</v>
      </c>
      <c r="B74" s="986"/>
      <c r="C74" s="986"/>
      <c r="D74" s="986"/>
      <c r="E74" s="986"/>
      <c r="F74" s="986"/>
      <c r="G74" s="986"/>
      <c r="H74" s="986"/>
      <c r="I74" s="987"/>
    </row>
    <row r="75" spans="1:9" s="176" customFormat="1" ht="22.5" customHeight="1" x14ac:dyDescent="0.2">
      <c r="A75" s="985" t="s">
        <v>813</v>
      </c>
      <c r="B75" s="986"/>
      <c r="C75" s="986"/>
      <c r="D75" s="986"/>
      <c r="E75" s="986"/>
      <c r="F75" s="986"/>
      <c r="G75" s="986"/>
      <c r="H75" s="986"/>
      <c r="I75" s="987"/>
    </row>
    <row r="76" spans="1:9" s="176" customFormat="1" ht="11.25" x14ac:dyDescent="0.2">
      <c r="A76" s="496"/>
      <c r="B76" s="496"/>
      <c r="C76" s="496"/>
      <c r="D76" s="496"/>
      <c r="E76" s="496"/>
      <c r="F76" s="496"/>
      <c r="G76" s="496"/>
      <c r="H76" s="496"/>
      <c r="I76" s="496"/>
    </row>
    <row r="77" spans="1:9" s="175" customFormat="1" ht="10.5" x14ac:dyDescent="0.15">
      <c r="A77" s="955" t="s">
        <v>153</v>
      </c>
      <c r="B77" s="955"/>
      <c r="C77" s="955"/>
      <c r="D77" s="955"/>
      <c r="E77" s="955"/>
      <c r="F77" s="955"/>
      <c r="G77" s="955"/>
      <c r="H77" s="955"/>
      <c r="I77" s="955"/>
    </row>
    <row r="78" spans="1:9" s="176" customFormat="1" ht="11.25" x14ac:dyDescent="0.2">
      <c r="A78" s="496"/>
      <c r="B78" s="496"/>
      <c r="C78" s="496"/>
      <c r="D78" s="496"/>
      <c r="E78" s="496"/>
      <c r="F78" s="496"/>
      <c r="G78" s="496"/>
      <c r="H78" s="496"/>
      <c r="I78" s="496"/>
    </row>
    <row r="79" spans="1:9" s="176" customFormat="1" ht="24" customHeight="1" x14ac:dyDescent="0.2">
      <c r="A79" s="789" t="s">
        <v>331</v>
      </c>
      <c r="B79" s="790"/>
      <c r="C79" s="790"/>
      <c r="D79" s="790"/>
      <c r="E79" s="790"/>
      <c r="F79" s="790"/>
      <c r="G79" s="790"/>
      <c r="H79" s="790"/>
      <c r="I79" s="791"/>
    </row>
    <row r="80" spans="1:9" s="176" customFormat="1" ht="11.25" customHeight="1" x14ac:dyDescent="0.2">
      <c r="A80" s="789" t="s">
        <v>121</v>
      </c>
      <c r="B80" s="790"/>
      <c r="C80" s="790"/>
      <c r="D80" s="790"/>
      <c r="E80" s="790"/>
      <c r="F80" s="790"/>
      <c r="G80" s="790"/>
      <c r="H80" s="790"/>
      <c r="I80" s="791"/>
    </row>
    <row r="81" spans="1:9" s="218" customFormat="1" ht="12.75" customHeight="1" x14ac:dyDescent="0.2">
      <c r="A81" s="789" t="s">
        <v>666</v>
      </c>
      <c r="B81" s="790"/>
      <c r="C81" s="790"/>
      <c r="D81" s="790"/>
      <c r="E81" s="790"/>
      <c r="F81" s="790"/>
      <c r="G81" s="790"/>
      <c r="H81" s="790"/>
      <c r="I81" s="791"/>
    </row>
    <row r="82" spans="1:9" s="128" customFormat="1" x14ac:dyDescent="0.2"/>
  </sheetData>
  <mergeCells count="60">
    <mergeCell ref="A50:C50"/>
    <mergeCell ref="C33:I33"/>
    <mergeCell ref="A10:B10"/>
    <mergeCell ref="C44:I44"/>
    <mergeCell ref="A29:I29"/>
    <mergeCell ref="A35:I35"/>
    <mergeCell ref="A41:I41"/>
    <mergeCell ref="F26:I26"/>
    <mergeCell ref="F27:I27"/>
    <mergeCell ref="D10:I10"/>
    <mergeCell ref="C43:I43"/>
    <mergeCell ref="D32:I32"/>
    <mergeCell ref="D38:I38"/>
    <mergeCell ref="C39:I39"/>
    <mergeCell ref="D37:I37"/>
    <mergeCell ref="A53:C53"/>
    <mergeCell ref="A63:C63"/>
    <mergeCell ref="A64:C64"/>
    <mergeCell ref="A54:C54"/>
    <mergeCell ref="A81:I81"/>
    <mergeCell ref="C45:I45"/>
    <mergeCell ref="A47:I47"/>
    <mergeCell ref="A79:I79"/>
    <mergeCell ref="A77:I77"/>
    <mergeCell ref="A74:I74"/>
    <mergeCell ref="A75:I75"/>
    <mergeCell ref="A72:I72"/>
    <mergeCell ref="A70:C70"/>
    <mergeCell ref="A49:C49"/>
    <mergeCell ref="A68:C69"/>
    <mergeCell ref="A51:C51"/>
    <mergeCell ref="A55:C55"/>
    <mergeCell ref="A56:C56"/>
    <mergeCell ref="A57:C57"/>
    <mergeCell ref="A58:C58"/>
    <mergeCell ref="A52:C52"/>
    <mergeCell ref="A80:I80"/>
    <mergeCell ref="A59:C59"/>
    <mergeCell ref="A60:C60"/>
    <mergeCell ref="A61:C61"/>
    <mergeCell ref="A67:C67"/>
    <mergeCell ref="A66:C66"/>
    <mergeCell ref="A65:C65"/>
    <mergeCell ref="A62:C62"/>
    <mergeCell ref="A3:I3"/>
    <mergeCell ref="A5:B5"/>
    <mergeCell ref="D5:I5"/>
    <mergeCell ref="A12:I12"/>
    <mergeCell ref="D31:I31"/>
    <mergeCell ref="A6:B6"/>
    <mergeCell ref="A9:B9"/>
    <mergeCell ref="D6:I6"/>
    <mergeCell ref="A16:A17"/>
    <mergeCell ref="A20:I20"/>
    <mergeCell ref="F22:I22"/>
    <mergeCell ref="F23:I23"/>
    <mergeCell ref="F24:I24"/>
    <mergeCell ref="F25:I25"/>
    <mergeCell ref="D7:I9"/>
    <mergeCell ref="A7:B8"/>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15">
      <c r="A1" s="1040" t="s">
        <v>95</v>
      </c>
      <c r="B1" s="1040"/>
      <c r="C1" s="1040"/>
      <c r="D1" s="1040"/>
      <c r="E1" s="1040"/>
      <c r="F1" s="1040"/>
      <c r="G1" s="1040"/>
      <c r="H1" s="1040"/>
      <c r="I1" s="1040"/>
      <c r="J1" s="1040"/>
      <c r="K1" s="1040"/>
      <c r="L1" s="1040"/>
      <c r="M1" s="1040"/>
      <c r="N1" s="1040"/>
      <c r="O1" s="1040"/>
      <c r="P1" s="1040"/>
      <c r="Q1" s="1040"/>
      <c r="R1" s="1040"/>
      <c r="S1" s="1040"/>
      <c r="T1" s="1040"/>
      <c r="U1" s="1040"/>
      <c r="V1" s="1040"/>
      <c r="W1" s="1040"/>
      <c r="X1" s="1040"/>
    </row>
    <row r="3" spans="1:24" s="6" customFormat="1" ht="9.75" customHeight="1" x14ac:dyDescent="0.2">
      <c r="A3" s="1038" t="s">
        <v>40</v>
      </c>
      <c r="B3" s="1044" t="s">
        <v>41</v>
      </c>
      <c r="C3" s="1045"/>
      <c r="D3" s="1050" t="s">
        <v>42</v>
      </c>
      <c r="E3" s="1041" t="s">
        <v>34</v>
      </c>
      <c r="F3" s="1042"/>
      <c r="G3" s="1042"/>
      <c r="H3" s="1042"/>
      <c r="I3" s="1043"/>
      <c r="J3" s="1041" t="s">
        <v>39</v>
      </c>
      <c r="K3" s="1042"/>
      <c r="L3" s="1042"/>
      <c r="M3" s="1042"/>
      <c r="N3" s="1043"/>
      <c r="O3" s="1041" t="s">
        <v>43</v>
      </c>
      <c r="P3" s="1042"/>
      <c r="Q3" s="1042"/>
      <c r="R3" s="1042"/>
      <c r="S3" s="1043"/>
      <c r="T3" s="1041" t="s">
        <v>38</v>
      </c>
      <c r="U3" s="1042"/>
      <c r="V3" s="1042"/>
      <c r="W3" s="1042"/>
      <c r="X3" s="1043"/>
    </row>
    <row r="4" spans="1:24" s="7" customFormat="1" ht="9.75" customHeight="1" x14ac:dyDescent="0.2">
      <c r="A4" s="1053"/>
      <c r="B4" s="1046"/>
      <c r="C4" s="1047"/>
      <c r="D4" s="1051"/>
      <c r="E4" s="1033" t="s">
        <v>44</v>
      </c>
      <c r="F4" s="1035" t="s">
        <v>129</v>
      </c>
      <c r="G4" s="1036"/>
      <c r="H4" s="1037"/>
      <c r="I4" s="1038" t="s">
        <v>130</v>
      </c>
      <c r="J4" s="1033" t="s">
        <v>44</v>
      </c>
      <c r="K4" s="1035" t="s">
        <v>129</v>
      </c>
      <c r="L4" s="1036"/>
      <c r="M4" s="1037"/>
      <c r="N4" s="1038" t="s">
        <v>130</v>
      </c>
      <c r="O4" s="1033" t="s">
        <v>44</v>
      </c>
      <c r="P4" s="1035" t="s">
        <v>129</v>
      </c>
      <c r="Q4" s="1036"/>
      <c r="R4" s="1037"/>
      <c r="S4" s="1038" t="s">
        <v>130</v>
      </c>
      <c r="T4" s="1033" t="s">
        <v>44</v>
      </c>
      <c r="U4" s="1035" t="s">
        <v>129</v>
      </c>
      <c r="V4" s="1036"/>
      <c r="W4" s="1037"/>
      <c r="X4" s="1038" t="s">
        <v>130</v>
      </c>
    </row>
    <row r="5" spans="1:24" s="8" customFormat="1" ht="9.75" customHeight="1" x14ac:dyDescent="0.2">
      <c r="A5" s="1054"/>
      <c r="B5" s="1048"/>
      <c r="C5" s="1049"/>
      <c r="D5" s="1052"/>
      <c r="E5" s="1034"/>
      <c r="F5" s="742" t="s">
        <v>35</v>
      </c>
      <c r="G5" s="743" t="s">
        <v>36</v>
      </c>
      <c r="H5" s="742" t="s">
        <v>37</v>
      </c>
      <c r="I5" s="1039"/>
      <c r="J5" s="1034"/>
      <c r="K5" s="742" t="s">
        <v>35</v>
      </c>
      <c r="L5" s="743" t="s">
        <v>36</v>
      </c>
      <c r="M5" s="742" t="s">
        <v>37</v>
      </c>
      <c r="N5" s="1039"/>
      <c r="O5" s="1034"/>
      <c r="P5" s="742" t="s">
        <v>35</v>
      </c>
      <c r="Q5" s="743" t="s">
        <v>36</v>
      </c>
      <c r="R5" s="742" t="s">
        <v>37</v>
      </c>
      <c r="S5" s="1039"/>
      <c r="T5" s="1034"/>
      <c r="U5" s="742" t="s">
        <v>35</v>
      </c>
      <c r="V5" s="743" t="s">
        <v>36</v>
      </c>
      <c r="W5" s="742" t="s">
        <v>37</v>
      </c>
      <c r="X5" s="1039"/>
    </row>
    <row r="6" spans="1:24" s="6" customFormat="1" ht="9.75" customHeight="1" x14ac:dyDescent="0.2">
      <c r="A6" s="33" t="s">
        <v>0</v>
      </c>
      <c r="B6" s="826" t="s">
        <v>1</v>
      </c>
      <c r="C6" s="826"/>
      <c r="D6" s="22" t="s">
        <v>25</v>
      </c>
      <c r="E6" s="67">
        <f>SUM(E7:E9)</f>
        <v>32106184</v>
      </c>
      <c r="F6" s="67">
        <f>SUM(F7:F9)</f>
        <v>32722975</v>
      </c>
      <c r="G6" s="67">
        <f>SUM(G7:G9)</f>
        <v>33115056.780000001</v>
      </c>
      <c r="H6" s="28">
        <f t="shared" ref="H6:H36" si="0">G6/F6*100</f>
        <v>101.19818500610045</v>
      </c>
      <c r="I6" s="67">
        <f>SUM(I7:I9)</f>
        <v>31567463</v>
      </c>
      <c r="J6" s="67">
        <f>SUM(J7:J9)</f>
        <v>5191884</v>
      </c>
      <c r="K6" s="67">
        <f t="shared" ref="K6:X6" si="1">SUM(K7:K9)</f>
        <v>5012198</v>
      </c>
      <c r="L6" s="67">
        <f t="shared" si="1"/>
        <v>5404279.7800000003</v>
      </c>
      <c r="M6" s="28">
        <f t="shared" ref="M6:M33" si="2">L6/K6*100</f>
        <v>107.8225517028657</v>
      </c>
      <c r="N6" s="68">
        <f t="shared" si="1"/>
        <v>5207263</v>
      </c>
      <c r="O6" s="67">
        <f t="shared" si="1"/>
        <v>26914300</v>
      </c>
      <c r="P6" s="67">
        <f t="shared" si="1"/>
        <v>27710777</v>
      </c>
      <c r="Q6" s="67">
        <f t="shared" si="1"/>
        <v>27710777</v>
      </c>
      <c r="R6" s="28">
        <f t="shared" ref="R6:R33" si="3">Q6/P6*100</f>
        <v>100</v>
      </c>
      <c r="S6" s="67">
        <f t="shared" si="1"/>
        <v>26360200</v>
      </c>
      <c r="T6" s="67">
        <f t="shared" si="1"/>
        <v>0</v>
      </c>
      <c r="U6" s="67">
        <f t="shared" si="1"/>
        <v>350000</v>
      </c>
      <c r="V6" s="67">
        <f t="shared" si="1"/>
        <v>503603</v>
      </c>
      <c r="W6" s="28">
        <f t="shared" ref="W6:W33" si="4">V6/U6*100</f>
        <v>143.88657142857141</v>
      </c>
      <c r="X6" s="67">
        <f t="shared" si="1"/>
        <v>0</v>
      </c>
    </row>
    <row r="7" spans="1:24" s="6" customFormat="1" ht="9.9499999999999993" customHeight="1" x14ac:dyDescent="0.2">
      <c r="A7" s="34" t="s">
        <v>2</v>
      </c>
      <c r="B7" s="827" t="s">
        <v>47</v>
      </c>
      <c r="C7" s="828"/>
      <c r="D7" s="55" t="s">
        <v>25</v>
      </c>
      <c r="E7" s="70">
        <f t="shared" ref="E7:G10" si="5">SUM(J7,O7)</f>
        <v>800000</v>
      </c>
      <c r="F7" s="71">
        <f t="shared" si="5"/>
        <v>570314</v>
      </c>
      <c r="G7" s="71">
        <f t="shared" si="5"/>
        <v>969327.78</v>
      </c>
      <c r="H7" s="10">
        <f t="shared" si="0"/>
        <v>169.96387604021646</v>
      </c>
      <c r="I7" s="72">
        <f>SUM(N7,S7)</f>
        <v>1081808</v>
      </c>
      <c r="J7" s="73">
        <v>800000</v>
      </c>
      <c r="K7" s="74">
        <v>570314</v>
      </c>
      <c r="L7" s="74">
        <f>468564+82638.5+17644.8+37676+362804.48</f>
        <v>969327.78</v>
      </c>
      <c r="M7" s="10">
        <f t="shared" si="2"/>
        <v>169.96387604021646</v>
      </c>
      <c r="N7" s="75">
        <v>1081808</v>
      </c>
      <c r="O7" s="76">
        <v>0</v>
      </c>
      <c r="P7" s="74">
        <v>0</v>
      </c>
      <c r="Q7" s="74">
        <v>0</v>
      </c>
      <c r="R7" s="10" t="e">
        <f t="shared" si="3"/>
        <v>#DIV/0!</v>
      </c>
      <c r="S7" s="75">
        <v>0</v>
      </c>
      <c r="T7" s="76">
        <v>0</v>
      </c>
      <c r="U7" s="74">
        <v>350000</v>
      </c>
      <c r="V7" s="74">
        <f>472803+30800</f>
        <v>503603</v>
      </c>
      <c r="W7" s="10">
        <f t="shared" si="4"/>
        <v>143.88657142857141</v>
      </c>
      <c r="X7" s="122">
        <v>0</v>
      </c>
    </row>
    <row r="8" spans="1:24" s="6" customFormat="1" ht="9.9499999999999993" customHeight="1" x14ac:dyDescent="0.2">
      <c r="A8" s="35" t="s">
        <v>3</v>
      </c>
      <c r="B8" s="829" t="s">
        <v>48</v>
      </c>
      <c r="C8" s="830"/>
      <c r="D8" s="56" t="s">
        <v>25</v>
      </c>
      <c r="E8" s="77">
        <f t="shared" si="5"/>
        <v>15000</v>
      </c>
      <c r="F8" s="78">
        <f t="shared" si="5"/>
        <v>15000</v>
      </c>
      <c r="G8" s="78">
        <f t="shared" si="5"/>
        <v>8068</v>
      </c>
      <c r="H8" s="11">
        <f t="shared" si="0"/>
        <v>53.786666666666669</v>
      </c>
      <c r="I8" s="79">
        <f>SUM(N8,S8)</f>
        <v>14055</v>
      </c>
      <c r="J8" s="80">
        <v>15000</v>
      </c>
      <c r="K8" s="78">
        <v>15000</v>
      </c>
      <c r="L8" s="78">
        <v>8068</v>
      </c>
      <c r="M8" s="11">
        <f t="shared" si="2"/>
        <v>53.786666666666669</v>
      </c>
      <c r="N8" s="79">
        <v>14055</v>
      </c>
      <c r="O8" s="77">
        <v>0</v>
      </c>
      <c r="P8" s="78">
        <v>0</v>
      </c>
      <c r="Q8" s="78">
        <v>0</v>
      </c>
      <c r="R8" s="11" t="e">
        <f t="shared" si="3"/>
        <v>#DIV/0!</v>
      </c>
      <c r="S8" s="79">
        <v>0</v>
      </c>
      <c r="T8" s="77">
        <v>0</v>
      </c>
      <c r="U8" s="78">
        <v>0</v>
      </c>
      <c r="V8" s="78">
        <v>0</v>
      </c>
      <c r="W8" s="11" t="e">
        <f t="shared" si="4"/>
        <v>#DIV/0!</v>
      </c>
      <c r="X8" s="81">
        <v>0</v>
      </c>
    </row>
    <row r="9" spans="1:24" s="6" customFormat="1" ht="9.9499999999999993" customHeight="1" x14ac:dyDescent="0.2">
      <c r="A9" s="36" t="s">
        <v>4</v>
      </c>
      <c r="B9" s="44" t="s">
        <v>66</v>
      </c>
      <c r="C9" s="45"/>
      <c r="D9" s="57" t="s">
        <v>25</v>
      </c>
      <c r="E9" s="82">
        <f t="shared" si="5"/>
        <v>31291184</v>
      </c>
      <c r="F9" s="83">
        <f t="shared" si="5"/>
        <v>32137661</v>
      </c>
      <c r="G9" s="83">
        <f t="shared" si="5"/>
        <v>32137661</v>
      </c>
      <c r="H9" s="31">
        <f t="shared" si="0"/>
        <v>100</v>
      </c>
      <c r="I9" s="84">
        <f>SUM(N9,S9)</f>
        <v>30471600</v>
      </c>
      <c r="J9" s="85">
        <v>4376884</v>
      </c>
      <c r="K9" s="83">
        <v>4426884</v>
      </c>
      <c r="L9" s="83">
        <v>4426884</v>
      </c>
      <c r="M9" s="31">
        <f t="shared" si="2"/>
        <v>100</v>
      </c>
      <c r="N9" s="84">
        <v>4111400</v>
      </c>
      <c r="O9" s="82">
        <v>26914300</v>
      </c>
      <c r="P9" s="83">
        <v>27710777</v>
      </c>
      <c r="Q9" s="83">
        <v>27710777</v>
      </c>
      <c r="R9" s="31">
        <f t="shared" si="3"/>
        <v>100</v>
      </c>
      <c r="S9" s="84">
        <v>26360200</v>
      </c>
      <c r="T9" s="82">
        <v>0</v>
      </c>
      <c r="U9" s="83">
        <v>0</v>
      </c>
      <c r="V9" s="83">
        <v>0</v>
      </c>
      <c r="W9" s="31" t="e">
        <f t="shared" si="4"/>
        <v>#DIV/0!</v>
      </c>
      <c r="X9" s="86">
        <v>0</v>
      </c>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v>0</v>
      </c>
      <c r="K10" s="87">
        <v>0</v>
      </c>
      <c r="L10" s="87">
        <v>0</v>
      </c>
      <c r="M10" s="28" t="e">
        <f t="shared" si="2"/>
        <v>#DIV/0!</v>
      </c>
      <c r="N10" s="88">
        <v>0</v>
      </c>
      <c r="O10" s="87">
        <v>0</v>
      </c>
      <c r="P10" s="87">
        <v>0</v>
      </c>
      <c r="Q10" s="87">
        <v>0</v>
      </c>
      <c r="R10" s="28" t="e">
        <f t="shared" si="3"/>
        <v>#DIV/0!</v>
      </c>
      <c r="S10" s="88">
        <v>0</v>
      </c>
      <c r="T10" s="87">
        <v>0</v>
      </c>
      <c r="U10" s="87">
        <v>0</v>
      </c>
      <c r="V10" s="87">
        <v>0</v>
      </c>
      <c r="W10" s="28" t="e">
        <f t="shared" si="4"/>
        <v>#DIV/0!</v>
      </c>
      <c r="X10" s="87">
        <v>0</v>
      </c>
    </row>
    <row r="11" spans="1:24" s="6" customFormat="1" ht="9.9499999999999993" customHeight="1" x14ac:dyDescent="0.2">
      <c r="A11" s="33" t="s">
        <v>6</v>
      </c>
      <c r="B11" s="826" t="s">
        <v>9</v>
      </c>
      <c r="C11" s="826"/>
      <c r="D11" s="23" t="s">
        <v>25</v>
      </c>
      <c r="E11" s="67">
        <f>SUM(E12:E30)</f>
        <v>32106184</v>
      </c>
      <c r="F11" s="67">
        <f>SUM(F12:F30)</f>
        <v>32782074.500000004</v>
      </c>
      <c r="G11" s="67">
        <f>SUM(G12:G30)</f>
        <v>33018358.590000004</v>
      </c>
      <c r="H11" s="28">
        <f t="shared" si="0"/>
        <v>100.72077223178783</v>
      </c>
      <c r="I11" s="68">
        <f>SUM(I12:I30)</f>
        <v>31427052</v>
      </c>
      <c r="J11" s="67">
        <f>SUM(J12:J30)</f>
        <v>5191884</v>
      </c>
      <c r="K11" s="67">
        <f>SUM(K12:K30)</f>
        <v>5071297.5</v>
      </c>
      <c r="L11" s="67">
        <f>SUM(L12:L30)</f>
        <v>5307581.59</v>
      </c>
      <c r="M11" s="28">
        <f t="shared" si="2"/>
        <v>104.65924331988018</v>
      </c>
      <c r="N11" s="68">
        <f>SUM(N12:N30)</f>
        <v>5066852</v>
      </c>
      <c r="O11" s="67">
        <f>SUM(O12:O30)</f>
        <v>26914300</v>
      </c>
      <c r="P11" s="67">
        <f>SUM(P12:P30)</f>
        <v>27710777</v>
      </c>
      <c r="Q11" s="67">
        <f>SUM(Q12:Q30)</f>
        <v>27710777</v>
      </c>
      <c r="R11" s="28">
        <f t="shared" si="3"/>
        <v>100</v>
      </c>
      <c r="S11" s="68">
        <f>SUM(S12:S30)</f>
        <v>26360200</v>
      </c>
      <c r="T11" s="67">
        <f>SUM(T12:T30)</f>
        <v>0</v>
      </c>
      <c r="U11" s="67">
        <f>SUM(U12:U30)</f>
        <v>290900</v>
      </c>
      <c r="V11" s="67">
        <f>SUM(V12:V30)</f>
        <v>202725</v>
      </c>
      <c r="W11" s="28">
        <f t="shared" si="4"/>
        <v>69.6888965280165</v>
      </c>
      <c r="X11" s="67">
        <f>SUM(X12:X30)</f>
        <v>0</v>
      </c>
    </row>
    <row r="12" spans="1:24" s="6" customFormat="1" ht="9.9499999999999993" customHeight="1" x14ac:dyDescent="0.2">
      <c r="A12" s="37" t="s">
        <v>8</v>
      </c>
      <c r="B12" s="831" t="s">
        <v>28</v>
      </c>
      <c r="C12" s="832"/>
      <c r="D12" s="58" t="s">
        <v>25</v>
      </c>
      <c r="E12" s="70">
        <f t="shared" ref="E12:I27" si="6">SUM(J12,O12)</f>
        <v>583284</v>
      </c>
      <c r="F12" s="71">
        <f t="shared" si="6"/>
        <v>746967.93</v>
      </c>
      <c r="G12" s="71">
        <f t="shared" si="6"/>
        <v>953117.68</v>
      </c>
      <c r="H12" s="10">
        <f t="shared" si="0"/>
        <v>127.59820625766356</v>
      </c>
      <c r="I12" s="72">
        <f t="shared" si="6"/>
        <v>622601</v>
      </c>
      <c r="J12" s="89">
        <v>385984</v>
      </c>
      <c r="K12" s="90">
        <v>554536.93000000005</v>
      </c>
      <c r="L12" s="90">
        <v>760686.68</v>
      </c>
      <c r="M12" s="10">
        <f t="shared" si="2"/>
        <v>137.17511654273414</v>
      </c>
      <c r="N12" s="91">
        <v>429513</v>
      </c>
      <c r="O12" s="92">
        <v>197300</v>
      </c>
      <c r="P12" s="90">
        <v>192431</v>
      </c>
      <c r="Q12" s="90">
        <f>165829+26125+477</f>
        <v>192431</v>
      </c>
      <c r="R12" s="10">
        <f t="shared" si="3"/>
        <v>100</v>
      </c>
      <c r="S12" s="93">
        <v>193088</v>
      </c>
      <c r="T12" s="92">
        <v>0</v>
      </c>
      <c r="U12" s="90">
        <v>40000</v>
      </c>
      <c r="V12" s="90">
        <f>7324+1372</f>
        <v>8696</v>
      </c>
      <c r="W12" s="10">
        <f t="shared" si="4"/>
        <v>21.740000000000002</v>
      </c>
      <c r="X12" s="94">
        <v>0</v>
      </c>
    </row>
    <row r="13" spans="1:24" s="6" customFormat="1" ht="9.9499999999999993" customHeight="1" x14ac:dyDescent="0.2">
      <c r="A13" s="38" t="s">
        <v>10</v>
      </c>
      <c r="B13" s="815" t="s">
        <v>29</v>
      </c>
      <c r="C13" s="816"/>
      <c r="D13" s="56" t="s">
        <v>25</v>
      </c>
      <c r="E13" s="77">
        <f t="shared" si="6"/>
        <v>3590500</v>
      </c>
      <c r="F13" s="78">
        <f t="shared" si="6"/>
        <v>2763232.05</v>
      </c>
      <c r="G13" s="78">
        <f t="shared" si="6"/>
        <v>2763232.05</v>
      </c>
      <c r="H13" s="11">
        <f t="shared" si="0"/>
        <v>100</v>
      </c>
      <c r="I13" s="79">
        <f t="shared" si="6"/>
        <v>3337668</v>
      </c>
      <c r="J13" s="95">
        <v>3590500</v>
      </c>
      <c r="K13" s="78">
        <v>2763232.05</v>
      </c>
      <c r="L13" s="78">
        <f>580198.95+393723+1789310.1</f>
        <v>2763232.05</v>
      </c>
      <c r="M13" s="11">
        <f t="shared" si="2"/>
        <v>100</v>
      </c>
      <c r="N13" s="79">
        <v>3337668</v>
      </c>
      <c r="O13" s="77">
        <v>0</v>
      </c>
      <c r="P13" s="78">
        <v>0</v>
      </c>
      <c r="Q13" s="78">
        <v>0</v>
      </c>
      <c r="R13" s="11" t="e">
        <f t="shared" si="3"/>
        <v>#DIV/0!</v>
      </c>
      <c r="S13" s="79">
        <v>0</v>
      </c>
      <c r="T13" s="77">
        <v>0</v>
      </c>
      <c r="U13" s="78">
        <v>200000</v>
      </c>
      <c r="V13" s="78">
        <f>39769+17989+96739</f>
        <v>154497</v>
      </c>
      <c r="W13" s="11">
        <f t="shared" si="4"/>
        <v>77.248499999999993</v>
      </c>
      <c r="X13" s="81">
        <v>0</v>
      </c>
    </row>
    <row r="14" spans="1:24" s="6" customFormat="1" ht="9.9499999999999993" customHeight="1" x14ac:dyDescent="0.2">
      <c r="A14" s="38" t="s">
        <v>11</v>
      </c>
      <c r="B14" s="727" t="s">
        <v>67</v>
      </c>
      <c r="C14" s="728"/>
      <c r="D14" s="56" t="s">
        <v>25</v>
      </c>
      <c r="E14" s="77">
        <f t="shared" si="6"/>
        <v>0</v>
      </c>
      <c r="F14" s="78">
        <f t="shared" si="6"/>
        <v>0</v>
      </c>
      <c r="G14" s="78">
        <f t="shared" si="6"/>
        <v>0</v>
      </c>
      <c r="H14" s="11" t="e">
        <f t="shared" si="0"/>
        <v>#DIV/0!</v>
      </c>
      <c r="I14" s="79">
        <f t="shared" si="6"/>
        <v>0</v>
      </c>
      <c r="J14" s="95">
        <v>0</v>
      </c>
      <c r="K14" s="78">
        <v>0</v>
      </c>
      <c r="L14" s="78">
        <v>0</v>
      </c>
      <c r="M14" s="11" t="e">
        <f t="shared" si="2"/>
        <v>#DIV/0!</v>
      </c>
      <c r="N14" s="79">
        <v>0</v>
      </c>
      <c r="O14" s="77">
        <v>0</v>
      </c>
      <c r="P14" s="78">
        <v>0</v>
      </c>
      <c r="Q14" s="78">
        <v>0</v>
      </c>
      <c r="R14" s="11" t="e">
        <f t="shared" si="3"/>
        <v>#DIV/0!</v>
      </c>
      <c r="S14" s="79">
        <v>0</v>
      </c>
      <c r="T14" s="77">
        <v>0</v>
      </c>
      <c r="U14" s="78">
        <v>0</v>
      </c>
      <c r="V14" s="78">
        <v>0</v>
      </c>
      <c r="W14" s="11" t="e">
        <f t="shared" si="4"/>
        <v>#DIV/0!</v>
      </c>
      <c r="X14" s="81">
        <v>0</v>
      </c>
    </row>
    <row r="15" spans="1:24" s="6" customFormat="1" ht="9.9499999999999993" customHeight="1" x14ac:dyDescent="0.2">
      <c r="A15" s="38" t="s">
        <v>12</v>
      </c>
      <c r="B15" s="815" t="s">
        <v>68</v>
      </c>
      <c r="C15" s="816"/>
      <c r="D15" s="56" t="s">
        <v>25</v>
      </c>
      <c r="E15" s="77">
        <f t="shared" si="6"/>
        <v>495000</v>
      </c>
      <c r="F15" s="78">
        <f t="shared" si="6"/>
        <v>445733</v>
      </c>
      <c r="G15" s="78">
        <f t="shared" si="6"/>
        <v>457251.2</v>
      </c>
      <c r="H15" s="11">
        <f t="shared" si="0"/>
        <v>102.58410303926343</v>
      </c>
      <c r="I15" s="79">
        <f t="shared" si="6"/>
        <v>425106</v>
      </c>
      <c r="J15" s="95">
        <v>495000</v>
      </c>
      <c r="K15" s="78">
        <v>445733</v>
      </c>
      <c r="L15" s="78">
        <f>443898.2+12754+599</f>
        <v>457251.2</v>
      </c>
      <c r="M15" s="11">
        <f t="shared" si="2"/>
        <v>102.58410303926343</v>
      </c>
      <c r="N15" s="79">
        <v>425106</v>
      </c>
      <c r="O15" s="77">
        <v>0</v>
      </c>
      <c r="P15" s="78">
        <v>0</v>
      </c>
      <c r="Q15" s="78">
        <v>0</v>
      </c>
      <c r="R15" s="11" t="e">
        <f t="shared" si="3"/>
        <v>#DIV/0!</v>
      </c>
      <c r="S15" s="79">
        <v>0</v>
      </c>
      <c r="T15" s="77">
        <v>0</v>
      </c>
      <c r="U15" s="78">
        <v>3500</v>
      </c>
      <c r="V15" s="78">
        <v>33</v>
      </c>
      <c r="W15" s="11">
        <f t="shared" si="4"/>
        <v>0.94285714285714284</v>
      </c>
      <c r="X15" s="81">
        <v>0</v>
      </c>
    </row>
    <row r="16" spans="1:24" s="6" customFormat="1" ht="9.9499999999999993" customHeight="1" x14ac:dyDescent="0.2">
      <c r="A16" s="38" t="s">
        <v>13</v>
      </c>
      <c r="B16" s="815" t="s">
        <v>30</v>
      </c>
      <c r="C16" s="816"/>
      <c r="D16" s="56" t="s">
        <v>25</v>
      </c>
      <c r="E16" s="77">
        <f t="shared" si="6"/>
        <v>32000</v>
      </c>
      <c r="F16" s="78">
        <f t="shared" si="6"/>
        <v>29650</v>
      </c>
      <c r="G16" s="78">
        <f t="shared" si="6"/>
        <v>29650</v>
      </c>
      <c r="H16" s="11">
        <f t="shared" si="0"/>
        <v>100</v>
      </c>
      <c r="I16" s="79">
        <f t="shared" si="6"/>
        <v>17042</v>
      </c>
      <c r="J16" s="95">
        <v>2000</v>
      </c>
      <c r="K16" s="78">
        <v>2024</v>
      </c>
      <c r="L16" s="78">
        <v>2024</v>
      </c>
      <c r="M16" s="11">
        <f t="shared" si="2"/>
        <v>100</v>
      </c>
      <c r="N16" s="79">
        <v>1409</v>
      </c>
      <c r="O16" s="77">
        <v>30000</v>
      </c>
      <c r="P16" s="78">
        <v>27626</v>
      </c>
      <c r="Q16" s="78">
        <v>27626</v>
      </c>
      <c r="R16" s="11">
        <f t="shared" si="3"/>
        <v>100</v>
      </c>
      <c r="S16" s="79">
        <v>15633</v>
      </c>
      <c r="T16" s="77">
        <v>0</v>
      </c>
      <c r="U16" s="78">
        <v>0</v>
      </c>
      <c r="V16" s="78">
        <v>0</v>
      </c>
      <c r="W16" s="11" t="e">
        <f t="shared" si="4"/>
        <v>#DIV/0!</v>
      </c>
      <c r="X16" s="81">
        <v>0</v>
      </c>
    </row>
    <row r="17" spans="1:24" s="6" customFormat="1" ht="9.9499999999999993" customHeight="1" x14ac:dyDescent="0.2">
      <c r="A17" s="38" t="s">
        <v>14</v>
      </c>
      <c r="B17" s="727" t="s">
        <v>49</v>
      </c>
      <c r="C17" s="728"/>
      <c r="D17" s="56" t="s">
        <v>25</v>
      </c>
      <c r="E17" s="77">
        <f t="shared" si="6"/>
        <v>2000</v>
      </c>
      <c r="F17" s="78">
        <f t="shared" si="6"/>
        <v>1678</v>
      </c>
      <c r="G17" s="78">
        <f t="shared" si="6"/>
        <v>1678</v>
      </c>
      <c r="H17" s="11">
        <f t="shared" si="0"/>
        <v>100</v>
      </c>
      <c r="I17" s="79">
        <f t="shared" si="6"/>
        <v>1123</v>
      </c>
      <c r="J17" s="95">
        <v>2000</v>
      </c>
      <c r="K17" s="78">
        <v>1678</v>
      </c>
      <c r="L17" s="78">
        <v>1678</v>
      </c>
      <c r="M17" s="11">
        <f t="shared" si="2"/>
        <v>100</v>
      </c>
      <c r="N17" s="79">
        <v>1123</v>
      </c>
      <c r="O17" s="77">
        <v>0</v>
      </c>
      <c r="P17" s="78">
        <v>0</v>
      </c>
      <c r="Q17" s="78">
        <v>0</v>
      </c>
      <c r="R17" s="11" t="e">
        <f t="shared" si="3"/>
        <v>#DIV/0!</v>
      </c>
      <c r="S17" s="79">
        <v>0</v>
      </c>
      <c r="T17" s="77">
        <v>0</v>
      </c>
      <c r="U17" s="78">
        <v>0</v>
      </c>
      <c r="V17" s="78">
        <v>0</v>
      </c>
      <c r="W17" s="11" t="e">
        <f t="shared" si="4"/>
        <v>#DIV/0!</v>
      </c>
      <c r="X17" s="81">
        <v>0</v>
      </c>
    </row>
    <row r="18" spans="1:24" s="6" customFormat="1" ht="9.9499999999999993" customHeight="1" x14ac:dyDescent="0.2">
      <c r="A18" s="38" t="s">
        <v>15</v>
      </c>
      <c r="B18" s="815" t="s">
        <v>31</v>
      </c>
      <c r="C18" s="816"/>
      <c r="D18" s="56" t="s">
        <v>25</v>
      </c>
      <c r="E18" s="77">
        <f t="shared" si="6"/>
        <v>573900</v>
      </c>
      <c r="F18" s="78">
        <f t="shared" si="6"/>
        <v>475503</v>
      </c>
      <c r="G18" s="78">
        <f t="shared" si="6"/>
        <v>475502.17</v>
      </c>
      <c r="H18" s="11">
        <f t="shared" si="0"/>
        <v>99.999825447999271</v>
      </c>
      <c r="I18" s="79">
        <f t="shared" si="6"/>
        <v>587691</v>
      </c>
      <c r="J18" s="95">
        <v>403900</v>
      </c>
      <c r="K18" s="78">
        <v>389539</v>
      </c>
      <c r="L18" s="78">
        <v>389538.17</v>
      </c>
      <c r="M18" s="11">
        <f t="shared" si="2"/>
        <v>99.999786927624697</v>
      </c>
      <c r="N18" s="79">
        <v>456111</v>
      </c>
      <c r="O18" s="77">
        <v>170000</v>
      </c>
      <c r="P18" s="78">
        <v>85964</v>
      </c>
      <c r="Q18" s="78">
        <f>70108+15856</f>
        <v>85964</v>
      </c>
      <c r="R18" s="11">
        <f t="shared" si="3"/>
        <v>100</v>
      </c>
      <c r="S18" s="79">
        <v>131580</v>
      </c>
      <c r="T18" s="77">
        <v>0</v>
      </c>
      <c r="U18" s="78">
        <v>0</v>
      </c>
      <c r="V18" s="78">
        <v>0</v>
      </c>
      <c r="W18" s="11" t="e">
        <f t="shared" si="4"/>
        <v>#DIV/0!</v>
      </c>
      <c r="X18" s="81">
        <v>0</v>
      </c>
    </row>
    <row r="19" spans="1:24" s="12" customFormat="1" ht="9.9499999999999993" customHeight="1" x14ac:dyDescent="0.2">
      <c r="A19" s="38" t="s">
        <v>16</v>
      </c>
      <c r="B19" s="815" t="s">
        <v>32</v>
      </c>
      <c r="C19" s="816"/>
      <c r="D19" s="56" t="s">
        <v>25</v>
      </c>
      <c r="E19" s="77">
        <f t="shared" si="6"/>
        <v>19619000</v>
      </c>
      <c r="F19" s="78">
        <f t="shared" si="6"/>
        <v>20208371</v>
      </c>
      <c r="G19" s="78">
        <f t="shared" si="6"/>
        <v>20208371</v>
      </c>
      <c r="H19" s="11">
        <f t="shared" si="0"/>
        <v>100</v>
      </c>
      <c r="I19" s="79">
        <f t="shared" si="6"/>
        <v>19244000</v>
      </c>
      <c r="J19" s="96">
        <v>150000</v>
      </c>
      <c r="K19" s="78">
        <v>150000</v>
      </c>
      <c r="L19" s="78">
        <v>150000</v>
      </c>
      <c r="M19" s="11">
        <f t="shared" si="2"/>
        <v>100</v>
      </c>
      <c r="N19" s="79">
        <v>150000</v>
      </c>
      <c r="O19" s="77">
        <v>19469000</v>
      </c>
      <c r="P19" s="78">
        <v>20058371</v>
      </c>
      <c r="Q19" s="78">
        <f>19835942+136000+86429</f>
        <v>20058371</v>
      </c>
      <c r="R19" s="11">
        <f t="shared" si="3"/>
        <v>100</v>
      </c>
      <c r="S19" s="79">
        <v>19094000</v>
      </c>
      <c r="T19" s="77">
        <v>0</v>
      </c>
      <c r="U19" s="97">
        <v>35000</v>
      </c>
      <c r="V19" s="97">
        <v>29167</v>
      </c>
      <c r="W19" s="11">
        <f t="shared" si="4"/>
        <v>83.334285714285713</v>
      </c>
      <c r="X19" s="81">
        <v>0</v>
      </c>
    </row>
    <row r="20" spans="1:24" s="6" customFormat="1" ht="9.9499999999999993" customHeight="1" x14ac:dyDescent="0.2">
      <c r="A20" s="38" t="s">
        <v>17</v>
      </c>
      <c r="B20" s="815" t="s">
        <v>50</v>
      </c>
      <c r="C20" s="816"/>
      <c r="D20" s="56" t="s">
        <v>25</v>
      </c>
      <c r="E20" s="77">
        <f t="shared" si="6"/>
        <v>6679190</v>
      </c>
      <c r="F20" s="78">
        <f t="shared" si="6"/>
        <v>6836918</v>
      </c>
      <c r="G20" s="78">
        <f t="shared" si="6"/>
        <v>6836918</v>
      </c>
      <c r="H20" s="11">
        <f t="shared" si="0"/>
        <v>100</v>
      </c>
      <c r="I20" s="79">
        <f t="shared" si="6"/>
        <v>6550653</v>
      </c>
      <c r="J20" s="95">
        <v>0</v>
      </c>
      <c r="K20" s="78">
        <v>0</v>
      </c>
      <c r="L20" s="78">
        <v>0</v>
      </c>
      <c r="M20" s="11" t="e">
        <f t="shared" si="2"/>
        <v>#DIV/0!</v>
      </c>
      <c r="N20" s="79">
        <v>0</v>
      </c>
      <c r="O20" s="77">
        <v>6679190</v>
      </c>
      <c r="P20" s="78">
        <v>6836918</v>
      </c>
      <c r="Q20" s="78">
        <f>1786122+4967385+83411</f>
        <v>6836918</v>
      </c>
      <c r="R20" s="11">
        <f t="shared" si="3"/>
        <v>100</v>
      </c>
      <c r="S20" s="79">
        <v>6550653</v>
      </c>
      <c r="T20" s="77">
        <v>0</v>
      </c>
      <c r="U20" s="78">
        <v>12050</v>
      </c>
      <c r="V20" s="78">
        <f>2625+7292+123</f>
        <v>10040</v>
      </c>
      <c r="W20" s="11">
        <f t="shared" si="4"/>
        <v>83.319502074688799</v>
      </c>
      <c r="X20" s="81">
        <v>0</v>
      </c>
    </row>
    <row r="21" spans="1:24" s="6" customFormat="1" ht="9.9499999999999993" customHeight="1" x14ac:dyDescent="0.2">
      <c r="A21" s="38" t="s">
        <v>18</v>
      </c>
      <c r="B21" s="815" t="s">
        <v>51</v>
      </c>
      <c r="C21" s="816"/>
      <c r="D21" s="56" t="s">
        <v>25</v>
      </c>
      <c r="E21" s="77">
        <f t="shared" si="6"/>
        <v>215310</v>
      </c>
      <c r="F21" s="78">
        <f t="shared" si="6"/>
        <v>221790</v>
      </c>
      <c r="G21" s="78">
        <f t="shared" si="6"/>
        <v>221790</v>
      </c>
      <c r="H21" s="11">
        <f t="shared" si="0"/>
        <v>100</v>
      </c>
      <c r="I21" s="79">
        <f t="shared" si="6"/>
        <v>209460</v>
      </c>
      <c r="J21" s="95">
        <v>16500</v>
      </c>
      <c r="K21" s="78">
        <v>13579</v>
      </c>
      <c r="L21" s="78">
        <v>13579</v>
      </c>
      <c r="M21" s="11">
        <f t="shared" si="2"/>
        <v>100</v>
      </c>
      <c r="N21" s="79">
        <v>14495</v>
      </c>
      <c r="O21" s="77">
        <v>198810</v>
      </c>
      <c r="P21" s="78">
        <v>208211</v>
      </c>
      <c r="Q21" s="78">
        <f>199249+1837+7125</f>
        <v>208211</v>
      </c>
      <c r="R21" s="11">
        <f t="shared" si="3"/>
        <v>100</v>
      </c>
      <c r="S21" s="79">
        <v>194965</v>
      </c>
      <c r="T21" s="77">
        <v>0</v>
      </c>
      <c r="U21" s="78">
        <v>350</v>
      </c>
      <c r="V21" s="78">
        <v>292</v>
      </c>
      <c r="W21" s="11">
        <f t="shared" si="4"/>
        <v>83.428571428571431</v>
      </c>
      <c r="X21" s="81">
        <v>0</v>
      </c>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v>0</v>
      </c>
      <c r="K22" s="78">
        <v>0</v>
      </c>
      <c r="L22" s="78">
        <v>0</v>
      </c>
      <c r="M22" s="11" t="e">
        <f t="shared" si="2"/>
        <v>#DIV/0!</v>
      </c>
      <c r="N22" s="79">
        <v>0</v>
      </c>
      <c r="O22" s="77">
        <v>0</v>
      </c>
      <c r="P22" s="78">
        <v>0</v>
      </c>
      <c r="Q22" s="78">
        <v>0</v>
      </c>
      <c r="R22" s="11" t="e">
        <f t="shared" si="3"/>
        <v>#DIV/0!</v>
      </c>
      <c r="S22" s="79">
        <v>0</v>
      </c>
      <c r="T22" s="77">
        <v>0</v>
      </c>
      <c r="U22" s="78">
        <v>0</v>
      </c>
      <c r="V22" s="78">
        <v>0</v>
      </c>
      <c r="W22" s="11" t="e">
        <f t="shared" si="4"/>
        <v>#DIV/0!</v>
      </c>
      <c r="X22" s="81">
        <v>0</v>
      </c>
    </row>
    <row r="23" spans="1:24" s="6" customFormat="1" ht="9.9499999999999993" customHeight="1" x14ac:dyDescent="0.2">
      <c r="A23" s="38" t="s">
        <v>20</v>
      </c>
      <c r="B23" s="727" t="s">
        <v>70</v>
      </c>
      <c r="C23" s="728"/>
      <c r="D23" s="56" t="s">
        <v>25</v>
      </c>
      <c r="E23" s="77">
        <f t="shared" si="6"/>
        <v>0</v>
      </c>
      <c r="F23" s="78">
        <f t="shared" si="6"/>
        <v>0</v>
      </c>
      <c r="G23" s="78">
        <f t="shared" si="6"/>
        <v>0</v>
      </c>
      <c r="H23" s="11" t="e">
        <f t="shared" si="0"/>
        <v>#DIV/0!</v>
      </c>
      <c r="I23" s="79">
        <f t="shared" si="6"/>
        <v>0</v>
      </c>
      <c r="J23" s="95">
        <v>0</v>
      </c>
      <c r="K23" s="78">
        <v>0</v>
      </c>
      <c r="L23" s="78">
        <v>0</v>
      </c>
      <c r="M23" s="11" t="e">
        <f t="shared" si="2"/>
        <v>#DIV/0!</v>
      </c>
      <c r="N23" s="79">
        <v>0</v>
      </c>
      <c r="O23" s="77">
        <v>0</v>
      </c>
      <c r="P23" s="78">
        <v>0</v>
      </c>
      <c r="Q23" s="78">
        <v>0</v>
      </c>
      <c r="R23" s="11" t="e">
        <f t="shared" si="3"/>
        <v>#DIV/0!</v>
      </c>
      <c r="S23" s="79">
        <v>0</v>
      </c>
      <c r="T23" s="77">
        <v>0</v>
      </c>
      <c r="U23" s="78">
        <v>0</v>
      </c>
      <c r="V23" s="78">
        <v>0</v>
      </c>
      <c r="W23" s="11" t="e">
        <f t="shared" si="4"/>
        <v>#DIV/0!</v>
      </c>
      <c r="X23" s="81">
        <v>0</v>
      </c>
    </row>
    <row r="24" spans="1:24" s="6" customFormat="1" ht="9.9499999999999993" customHeight="1" x14ac:dyDescent="0.2">
      <c r="A24" s="38" t="s">
        <v>21</v>
      </c>
      <c r="B24" s="727" t="s">
        <v>52</v>
      </c>
      <c r="C24" s="728"/>
      <c r="D24" s="56" t="s">
        <v>25</v>
      </c>
      <c r="E24" s="77">
        <f t="shared" si="6"/>
        <v>0</v>
      </c>
      <c r="F24" s="78">
        <f t="shared" si="6"/>
        <v>0</v>
      </c>
      <c r="G24" s="78">
        <f t="shared" si="6"/>
        <v>0</v>
      </c>
      <c r="H24" s="11" t="e">
        <f t="shared" si="0"/>
        <v>#DIV/0!</v>
      </c>
      <c r="I24" s="79">
        <f t="shared" si="6"/>
        <v>0</v>
      </c>
      <c r="J24" s="95">
        <v>0</v>
      </c>
      <c r="K24" s="78">
        <v>0</v>
      </c>
      <c r="L24" s="78">
        <v>0</v>
      </c>
      <c r="M24" s="11" t="e">
        <f t="shared" si="2"/>
        <v>#DIV/0!</v>
      </c>
      <c r="N24" s="79">
        <v>0</v>
      </c>
      <c r="O24" s="77">
        <v>0</v>
      </c>
      <c r="P24" s="78">
        <v>0</v>
      </c>
      <c r="Q24" s="78">
        <v>0</v>
      </c>
      <c r="R24" s="11" t="e">
        <f t="shared" si="3"/>
        <v>#DIV/0!</v>
      </c>
      <c r="S24" s="79">
        <v>0</v>
      </c>
      <c r="T24" s="77">
        <v>0</v>
      </c>
      <c r="U24" s="78">
        <v>0</v>
      </c>
      <c r="V24" s="78">
        <v>0</v>
      </c>
      <c r="W24" s="11" t="e">
        <f t="shared" si="4"/>
        <v>#DIV/0!</v>
      </c>
      <c r="X24" s="81">
        <v>0</v>
      </c>
    </row>
    <row r="25" spans="1:24" s="6" customFormat="1" ht="9.9499999999999993" customHeight="1" x14ac:dyDescent="0.2">
      <c r="A25" s="39" t="s">
        <v>22</v>
      </c>
      <c r="B25" s="729" t="s">
        <v>71</v>
      </c>
      <c r="C25" s="730"/>
      <c r="D25" s="56" t="s">
        <v>25</v>
      </c>
      <c r="E25" s="77">
        <f t="shared" si="6"/>
        <v>0</v>
      </c>
      <c r="F25" s="78">
        <f t="shared" si="6"/>
        <v>0</v>
      </c>
      <c r="G25" s="78">
        <f t="shared" si="6"/>
        <v>0</v>
      </c>
      <c r="H25" s="11" t="e">
        <f t="shared" si="0"/>
        <v>#DIV/0!</v>
      </c>
      <c r="I25" s="79">
        <f t="shared" si="6"/>
        <v>0</v>
      </c>
      <c r="J25" s="95">
        <v>0</v>
      </c>
      <c r="K25" s="98">
        <v>0</v>
      </c>
      <c r="L25" s="98">
        <v>0</v>
      </c>
      <c r="M25" s="11" t="e">
        <f t="shared" si="2"/>
        <v>#DIV/0!</v>
      </c>
      <c r="N25" s="99">
        <v>0</v>
      </c>
      <c r="O25" s="100">
        <v>0</v>
      </c>
      <c r="P25" s="78">
        <v>0</v>
      </c>
      <c r="Q25" s="98">
        <v>0</v>
      </c>
      <c r="R25" s="11" t="e">
        <f t="shared" si="3"/>
        <v>#DIV/0!</v>
      </c>
      <c r="S25" s="101">
        <v>0</v>
      </c>
      <c r="T25" s="77">
        <v>0</v>
      </c>
      <c r="U25" s="98">
        <v>0</v>
      </c>
      <c r="V25" s="98">
        <v>0</v>
      </c>
      <c r="W25" s="11" t="e">
        <f t="shared" si="4"/>
        <v>#DIV/0!</v>
      </c>
      <c r="X25" s="81">
        <v>0</v>
      </c>
    </row>
    <row r="26" spans="1:24" s="14" customFormat="1" ht="9.9499999999999993" customHeight="1" x14ac:dyDescent="0.2">
      <c r="A26" s="38" t="s">
        <v>23</v>
      </c>
      <c r="B26" s="815" t="s">
        <v>72</v>
      </c>
      <c r="C26" s="816"/>
      <c r="D26" s="56" t="s">
        <v>25</v>
      </c>
      <c r="E26" s="77">
        <f t="shared" si="6"/>
        <v>100000</v>
      </c>
      <c r="F26" s="78">
        <f t="shared" si="6"/>
        <v>80000</v>
      </c>
      <c r="G26" s="78">
        <f t="shared" si="6"/>
        <v>78868</v>
      </c>
      <c r="H26" s="15">
        <f t="shared" si="0"/>
        <v>98.584999999999994</v>
      </c>
      <c r="I26" s="79">
        <f t="shared" si="6"/>
        <v>109036</v>
      </c>
      <c r="J26" s="95">
        <v>100000</v>
      </c>
      <c r="K26" s="103">
        <v>80000</v>
      </c>
      <c r="L26" s="103">
        <v>78868</v>
      </c>
      <c r="M26" s="11">
        <f t="shared" si="2"/>
        <v>98.584999999999994</v>
      </c>
      <c r="N26" s="79">
        <v>109036</v>
      </c>
      <c r="O26" s="102">
        <v>0</v>
      </c>
      <c r="P26" s="78">
        <v>0</v>
      </c>
      <c r="Q26" s="103">
        <v>0</v>
      </c>
      <c r="R26" s="11" t="e">
        <f t="shared" si="3"/>
        <v>#DIV/0!</v>
      </c>
      <c r="S26" s="99">
        <v>0</v>
      </c>
      <c r="T26" s="77">
        <v>0</v>
      </c>
      <c r="U26" s="98">
        <v>0</v>
      </c>
      <c r="V26" s="98">
        <v>0</v>
      </c>
      <c r="W26" s="11" t="e">
        <f t="shared" si="4"/>
        <v>#DIV/0!</v>
      </c>
      <c r="X26" s="81">
        <v>0</v>
      </c>
    </row>
    <row r="27" spans="1:24" s="16" customFormat="1" ht="9.9499999999999993" customHeight="1" x14ac:dyDescent="0.2">
      <c r="A27" s="38" t="s">
        <v>45</v>
      </c>
      <c r="B27" s="727" t="s">
        <v>89</v>
      </c>
      <c r="C27" s="728"/>
      <c r="D27" s="56" t="s">
        <v>25</v>
      </c>
      <c r="E27" s="77">
        <f t="shared" si="6"/>
        <v>215000</v>
      </c>
      <c r="F27" s="78">
        <f t="shared" si="6"/>
        <v>933922.35</v>
      </c>
      <c r="G27" s="78">
        <f t="shared" si="6"/>
        <v>953671.35</v>
      </c>
      <c r="H27" s="15">
        <f t="shared" si="0"/>
        <v>102.114629765526</v>
      </c>
      <c r="I27" s="79">
        <f t="shared" si="6"/>
        <v>298781</v>
      </c>
      <c r="J27" s="95">
        <v>45000</v>
      </c>
      <c r="K27" s="103">
        <v>632666.35</v>
      </c>
      <c r="L27" s="103">
        <f>633848.35+5390+4677+8500</f>
        <v>652415.35</v>
      </c>
      <c r="M27" s="11">
        <f t="shared" si="2"/>
        <v>103.12155056136618</v>
      </c>
      <c r="N27" s="99">
        <v>118500</v>
      </c>
      <c r="O27" s="102">
        <v>170000</v>
      </c>
      <c r="P27" s="78">
        <v>301256</v>
      </c>
      <c r="Q27" s="103">
        <f>319823-5390-4677-8500</f>
        <v>301256</v>
      </c>
      <c r="R27" s="11">
        <f t="shared" si="3"/>
        <v>100</v>
      </c>
      <c r="S27" s="99">
        <v>180281</v>
      </c>
      <c r="T27" s="77">
        <v>0</v>
      </c>
      <c r="U27" s="98">
        <v>0</v>
      </c>
      <c r="V27" s="98">
        <v>0</v>
      </c>
      <c r="W27" s="11" t="e">
        <f t="shared" si="4"/>
        <v>#DIV/0!</v>
      </c>
      <c r="X27" s="81">
        <v>0</v>
      </c>
    </row>
    <row r="28" spans="1:24" s="14" customFormat="1" ht="9.9499999999999993" customHeight="1" x14ac:dyDescent="0.2">
      <c r="A28" s="38" t="s">
        <v>53</v>
      </c>
      <c r="B28" s="815" t="s">
        <v>74</v>
      </c>
      <c r="C28" s="816"/>
      <c r="D28" s="56" t="s">
        <v>25</v>
      </c>
      <c r="E28" s="77">
        <f t="shared" ref="E28:G30" si="7">SUM(J28,O28)</f>
        <v>1000</v>
      </c>
      <c r="F28" s="78">
        <f t="shared" si="7"/>
        <v>38309.17</v>
      </c>
      <c r="G28" s="78">
        <f t="shared" si="7"/>
        <v>38309.14</v>
      </c>
      <c r="H28" s="15">
        <f t="shared" si="0"/>
        <v>99.99992168976776</v>
      </c>
      <c r="I28" s="79">
        <f>SUM(N28,S28)</f>
        <v>23891</v>
      </c>
      <c r="J28" s="95">
        <v>1000</v>
      </c>
      <c r="K28" s="103">
        <v>38309.17</v>
      </c>
      <c r="L28" s="103">
        <v>38309.14</v>
      </c>
      <c r="M28" s="11">
        <f t="shared" si="2"/>
        <v>99.99992168976776</v>
      </c>
      <c r="N28" s="99">
        <v>23891</v>
      </c>
      <c r="O28" s="102">
        <v>0</v>
      </c>
      <c r="P28" s="78">
        <v>0</v>
      </c>
      <c r="Q28" s="103">
        <v>0</v>
      </c>
      <c r="R28" s="11" t="e">
        <f t="shared" si="3"/>
        <v>#DIV/0!</v>
      </c>
      <c r="S28" s="99">
        <v>0</v>
      </c>
      <c r="T28" s="77">
        <v>0</v>
      </c>
      <c r="U28" s="98">
        <v>0</v>
      </c>
      <c r="V28" s="98">
        <v>0</v>
      </c>
      <c r="W28" s="11" t="e">
        <f t="shared" si="4"/>
        <v>#DIV/0!</v>
      </c>
      <c r="X28" s="81">
        <v>0</v>
      </c>
    </row>
    <row r="29" spans="1:24" s="6" customFormat="1" ht="9.75" x14ac:dyDescent="0.2">
      <c r="A29" s="38" t="s">
        <v>54</v>
      </c>
      <c r="B29" s="727" t="s">
        <v>55</v>
      </c>
      <c r="C29" s="728"/>
      <c r="D29" s="56" t="s">
        <v>25</v>
      </c>
      <c r="E29" s="77">
        <f t="shared" si="7"/>
        <v>0</v>
      </c>
      <c r="F29" s="78">
        <f t="shared" si="7"/>
        <v>0</v>
      </c>
      <c r="G29" s="78">
        <f t="shared" si="7"/>
        <v>0</v>
      </c>
      <c r="H29" s="15" t="e">
        <f t="shared" si="0"/>
        <v>#DIV/0!</v>
      </c>
      <c r="I29" s="79">
        <f>SUM(N29,S29)</f>
        <v>0</v>
      </c>
      <c r="J29" s="95">
        <v>0</v>
      </c>
      <c r="K29" s="103">
        <v>0</v>
      </c>
      <c r="L29" s="103">
        <v>0</v>
      </c>
      <c r="M29" s="11" t="e">
        <f t="shared" si="2"/>
        <v>#DIV/0!</v>
      </c>
      <c r="N29" s="99">
        <v>0</v>
      </c>
      <c r="O29" s="102">
        <v>0</v>
      </c>
      <c r="P29" s="78">
        <v>0</v>
      </c>
      <c r="Q29" s="103">
        <v>0</v>
      </c>
      <c r="R29" s="11" t="e">
        <f t="shared" si="3"/>
        <v>#DIV/0!</v>
      </c>
      <c r="S29" s="99">
        <v>0</v>
      </c>
      <c r="T29" s="77">
        <v>0</v>
      </c>
      <c r="U29" s="98">
        <v>0</v>
      </c>
      <c r="V29" s="98">
        <v>0</v>
      </c>
      <c r="W29" s="11" t="e">
        <f t="shared" si="4"/>
        <v>#DIV/0!</v>
      </c>
      <c r="X29" s="81">
        <v>0</v>
      </c>
    </row>
    <row r="30" spans="1:24" s="27" customFormat="1" ht="9.75" x14ac:dyDescent="0.2">
      <c r="A30" s="40" t="s">
        <v>56</v>
      </c>
      <c r="B30" s="44" t="s">
        <v>75</v>
      </c>
      <c r="C30" s="50"/>
      <c r="D30" s="59" t="s">
        <v>25</v>
      </c>
      <c r="E30" s="82">
        <f t="shared" si="7"/>
        <v>0</v>
      </c>
      <c r="F30" s="83">
        <f t="shared" si="7"/>
        <v>0</v>
      </c>
      <c r="G30" s="83">
        <f t="shared" si="7"/>
        <v>0</v>
      </c>
      <c r="H30" s="17" t="e">
        <f t="shared" si="0"/>
        <v>#DIV/0!</v>
      </c>
      <c r="I30" s="84">
        <f>SUM(N30,S30)</f>
        <v>0</v>
      </c>
      <c r="J30" s="106">
        <v>0</v>
      </c>
      <c r="K30" s="107">
        <v>0</v>
      </c>
      <c r="L30" s="107">
        <v>0</v>
      </c>
      <c r="M30" s="31" t="e">
        <f t="shared" si="2"/>
        <v>#DIV/0!</v>
      </c>
      <c r="N30" s="108">
        <v>0</v>
      </c>
      <c r="O30" s="109">
        <v>0</v>
      </c>
      <c r="P30" s="78">
        <v>0</v>
      </c>
      <c r="Q30" s="107">
        <v>0</v>
      </c>
      <c r="R30" s="31" t="e">
        <f t="shared" si="3"/>
        <v>#DIV/0!</v>
      </c>
      <c r="S30" s="108">
        <v>0</v>
      </c>
      <c r="T30" s="77">
        <v>0</v>
      </c>
      <c r="U30" s="110">
        <v>0</v>
      </c>
      <c r="V30" s="110">
        <v>0</v>
      </c>
      <c r="W30" s="31" t="e">
        <f t="shared" si="4"/>
        <v>#DIV/0!</v>
      </c>
      <c r="X30" s="81">
        <v>0</v>
      </c>
    </row>
    <row r="31" spans="1:24" s="27" customFormat="1" ht="9.75" x14ac:dyDescent="0.2">
      <c r="A31" s="33" t="s">
        <v>57</v>
      </c>
      <c r="B31" s="817" t="s">
        <v>58</v>
      </c>
      <c r="C31" s="818"/>
      <c r="D31" s="22" t="s">
        <v>25</v>
      </c>
      <c r="E31" s="67">
        <f>SUM(E6-E11)</f>
        <v>0</v>
      </c>
      <c r="F31" s="67">
        <f>SUM(F6-F11)</f>
        <v>-59099.500000003725</v>
      </c>
      <c r="G31" s="67">
        <f>SUM(G6-G11)</f>
        <v>96698.189999997616</v>
      </c>
      <c r="H31" s="29">
        <f t="shared" si="0"/>
        <v>-163.61930303977448</v>
      </c>
      <c r="I31" s="68">
        <f>SUM(I6-I11)</f>
        <v>140411</v>
      </c>
      <c r="J31" s="67">
        <f>SUM(J6-J11)</f>
        <v>0</v>
      </c>
      <c r="K31" s="67">
        <f>SUM(K6-K11)</f>
        <v>-59099.5</v>
      </c>
      <c r="L31" s="67">
        <f>SUM(L6-L11)</f>
        <v>96698.19000000041</v>
      </c>
      <c r="M31" s="21">
        <f t="shared" si="2"/>
        <v>-163.61930303978954</v>
      </c>
      <c r="N31" s="68">
        <f>SUM(N6-N11)</f>
        <v>140411</v>
      </c>
      <c r="O31" s="67">
        <f>SUM(O6-O11)</f>
        <v>0</v>
      </c>
      <c r="P31" s="67">
        <f>SUM(P6-P11)</f>
        <v>0</v>
      </c>
      <c r="Q31" s="67">
        <f>SUM(Q6-Q11)</f>
        <v>0</v>
      </c>
      <c r="R31" s="21" t="e">
        <f t="shared" si="3"/>
        <v>#DIV/0!</v>
      </c>
      <c r="S31" s="68">
        <f>SUM(S6-S11)</f>
        <v>0</v>
      </c>
      <c r="T31" s="67">
        <f>SUM(T6-T11)</f>
        <v>0</v>
      </c>
      <c r="U31" s="67">
        <f>SUM(U6-U11)</f>
        <v>59100</v>
      </c>
      <c r="V31" s="67">
        <f>SUM(V6-V11)</f>
        <v>300878</v>
      </c>
      <c r="W31" s="21">
        <f t="shared" si="4"/>
        <v>509.09983079526222</v>
      </c>
      <c r="X31" s="67">
        <f>SUM(X6-X11)</f>
        <v>0</v>
      </c>
    </row>
    <row r="32" spans="1:24" s="27" customFormat="1" ht="9.75" x14ac:dyDescent="0.2">
      <c r="A32" s="41" t="s">
        <v>59</v>
      </c>
      <c r="B32" s="60" t="s">
        <v>76</v>
      </c>
      <c r="C32" s="61"/>
      <c r="D32" s="22" t="s">
        <v>25</v>
      </c>
      <c r="E32" s="130">
        <f>SUM(J32,O32)</f>
        <v>0</v>
      </c>
      <c r="F32" s="131">
        <f>SUM(K32,P32)</f>
        <v>0</v>
      </c>
      <c r="G32" s="131">
        <f>SUM(L32,Q32)</f>
        <v>0</v>
      </c>
      <c r="H32" s="26" t="e">
        <f t="shared" si="0"/>
        <v>#DIV/0!</v>
      </c>
      <c r="I32" s="132">
        <f>SUM(N32,S32)</f>
        <v>0</v>
      </c>
      <c r="J32" s="112">
        <v>0</v>
      </c>
      <c r="K32" s="113"/>
      <c r="L32" s="113">
        <v>0</v>
      </c>
      <c r="M32" s="9" t="e">
        <f t="shared" si="2"/>
        <v>#DIV/0!</v>
      </c>
      <c r="N32" s="114">
        <v>0</v>
      </c>
      <c r="O32" s="115">
        <v>0</v>
      </c>
      <c r="P32" s="113"/>
      <c r="Q32" s="113">
        <v>0</v>
      </c>
      <c r="R32" s="9" t="e">
        <f t="shared" si="3"/>
        <v>#DIV/0!</v>
      </c>
      <c r="S32" s="114">
        <v>0</v>
      </c>
      <c r="T32" s="115">
        <v>0</v>
      </c>
      <c r="U32" s="113">
        <v>0</v>
      </c>
      <c r="V32" s="113"/>
      <c r="W32" s="9" t="e">
        <f t="shared" si="4"/>
        <v>#DIV/0!</v>
      </c>
      <c r="X32" s="116">
        <v>0</v>
      </c>
    </row>
    <row r="33" spans="1:24" s="27" customFormat="1" ht="9.75" x14ac:dyDescent="0.2">
      <c r="A33" s="33" t="s">
        <v>60</v>
      </c>
      <c r="B33" s="24" t="s">
        <v>61</v>
      </c>
      <c r="C33" s="25"/>
      <c r="D33" s="22" t="s">
        <v>25</v>
      </c>
      <c r="E33" s="67">
        <f>E31-E32</f>
        <v>0</v>
      </c>
      <c r="F33" s="67">
        <f>F31-F32</f>
        <v>-59099.500000003725</v>
      </c>
      <c r="G33" s="67">
        <f>G31-G32</f>
        <v>96698.189999997616</v>
      </c>
      <c r="H33" s="29">
        <f t="shared" si="0"/>
        <v>-163.61930303977448</v>
      </c>
      <c r="I33" s="68">
        <f>I31-I32</f>
        <v>140411</v>
      </c>
      <c r="J33" s="67">
        <f>J31-J32</f>
        <v>0</v>
      </c>
      <c r="K33" s="67">
        <f>K31-K32</f>
        <v>-59099.5</v>
      </c>
      <c r="L33" s="67">
        <f>L31-L32</f>
        <v>96698.19000000041</v>
      </c>
      <c r="M33" s="21">
        <f t="shared" si="2"/>
        <v>-163.61930303978954</v>
      </c>
      <c r="N33" s="68">
        <f>N31-N32</f>
        <v>140411</v>
      </c>
      <c r="O33" s="67">
        <f>O31-O32</f>
        <v>0</v>
      </c>
      <c r="P33" s="67">
        <f>P31-P32</f>
        <v>0</v>
      </c>
      <c r="Q33" s="67">
        <f>Q31-Q32</f>
        <v>0</v>
      </c>
      <c r="R33" s="21" t="e">
        <f t="shared" si="3"/>
        <v>#DIV/0!</v>
      </c>
      <c r="S33" s="68">
        <f>S31-S32</f>
        <v>0</v>
      </c>
      <c r="T33" s="67">
        <f>T31-T32</f>
        <v>0</v>
      </c>
      <c r="U33" s="67">
        <f>U31-U32</f>
        <v>59100</v>
      </c>
      <c r="V33" s="67">
        <f>V31-V32</f>
        <v>300878</v>
      </c>
      <c r="W33" s="21">
        <f t="shared" si="4"/>
        <v>509.09983079526222</v>
      </c>
      <c r="X33" s="67">
        <f>X31-X32</f>
        <v>0</v>
      </c>
    </row>
    <row r="34" spans="1:24" s="4" customFormat="1" ht="9" x14ac:dyDescent="0.2">
      <c r="A34" s="42" t="s">
        <v>62</v>
      </c>
      <c r="B34" s="813" t="s">
        <v>24</v>
      </c>
      <c r="C34" s="814"/>
      <c r="D34" s="62" t="s">
        <v>25</v>
      </c>
      <c r="E34" s="252">
        <f>E19/E35/12</f>
        <v>23355.952380952382</v>
      </c>
      <c r="F34" s="252">
        <f>F19/F35/12</f>
        <v>23705.39015578078</v>
      </c>
      <c r="G34" s="252">
        <f>G19/G35/12</f>
        <v>23705.39015578078</v>
      </c>
      <c r="H34" s="13">
        <f t="shared" si="0"/>
        <v>100</v>
      </c>
      <c r="I34" s="254">
        <v>24149</v>
      </c>
      <c r="J34" s="1021"/>
      <c r="K34" s="1022"/>
      <c r="L34" s="1022"/>
      <c r="M34" s="1022"/>
      <c r="N34" s="1022"/>
      <c r="O34" s="1022"/>
      <c r="P34" s="1022"/>
      <c r="Q34" s="1022"/>
      <c r="R34" s="1022"/>
      <c r="S34" s="1022"/>
      <c r="T34" s="1022"/>
      <c r="U34" s="1022"/>
      <c r="V34" s="1022"/>
      <c r="W34" s="1022"/>
      <c r="X34" s="1023"/>
    </row>
    <row r="35" spans="1:24" s="4" customFormat="1" ht="9" x14ac:dyDescent="0.2">
      <c r="A35" s="32" t="s">
        <v>63</v>
      </c>
      <c r="B35" s="797" t="s">
        <v>33</v>
      </c>
      <c r="C35" s="798"/>
      <c r="D35" s="63" t="s">
        <v>26</v>
      </c>
      <c r="E35" s="255">
        <v>70</v>
      </c>
      <c r="F35" s="256">
        <v>71.040000000000006</v>
      </c>
      <c r="G35" s="256">
        <v>71.040000000000006</v>
      </c>
      <c r="H35" s="15">
        <f t="shared" si="0"/>
        <v>100</v>
      </c>
      <c r="I35" s="257">
        <v>70</v>
      </c>
      <c r="J35" s="1021"/>
      <c r="K35" s="1022"/>
      <c r="L35" s="1022"/>
      <c r="M35" s="1022"/>
      <c r="N35" s="1022"/>
      <c r="O35" s="1022"/>
      <c r="P35" s="1022"/>
      <c r="Q35" s="1022"/>
      <c r="R35" s="1022"/>
      <c r="S35" s="1022"/>
      <c r="T35" s="1022"/>
      <c r="U35" s="1022"/>
      <c r="V35" s="1022"/>
      <c r="W35" s="1022"/>
      <c r="X35" s="1023"/>
    </row>
    <row r="36" spans="1:24" s="4" customFormat="1" ht="9" x14ac:dyDescent="0.2">
      <c r="A36" s="43" t="s">
        <v>64</v>
      </c>
      <c r="B36" s="799" t="s">
        <v>27</v>
      </c>
      <c r="C36" s="800"/>
      <c r="D36" s="64" t="s">
        <v>26</v>
      </c>
      <c r="E36" s="258">
        <v>79</v>
      </c>
      <c r="F36" s="259">
        <v>80</v>
      </c>
      <c r="G36" s="259">
        <v>80</v>
      </c>
      <c r="H36" s="17">
        <f t="shared" si="0"/>
        <v>100</v>
      </c>
      <c r="I36" s="260">
        <v>75</v>
      </c>
      <c r="J36" s="1024"/>
      <c r="K36" s="1025"/>
      <c r="L36" s="1025"/>
      <c r="M36" s="1025"/>
      <c r="N36" s="1025"/>
      <c r="O36" s="1025"/>
      <c r="P36" s="1025"/>
      <c r="Q36" s="1025"/>
      <c r="R36" s="1025"/>
      <c r="S36" s="1025"/>
      <c r="T36" s="1025"/>
      <c r="U36" s="1025"/>
      <c r="V36" s="1025"/>
      <c r="W36" s="1025"/>
      <c r="X36" s="1026"/>
    </row>
    <row r="37" spans="1:24" s="6" customFormat="1" ht="9.75" x14ac:dyDescent="0.2">
      <c r="A37" s="51" t="s">
        <v>65</v>
      </c>
      <c r="B37" s="52" t="s">
        <v>46</v>
      </c>
      <c r="C37" s="52"/>
      <c r="D37" s="20" t="s">
        <v>25</v>
      </c>
      <c r="E37" s="1027"/>
      <c r="F37" s="1028"/>
      <c r="G37" s="1028"/>
      <c r="H37" s="1028"/>
      <c r="I37" s="1029"/>
      <c r="J37" s="117"/>
      <c r="K37" s="118"/>
      <c r="L37" s="118"/>
      <c r="M37" s="30" t="e">
        <f>L37/K37*100</f>
        <v>#DIV/0!</v>
      </c>
      <c r="N37" s="1030"/>
      <c r="O37" s="1031"/>
      <c r="P37" s="1031"/>
      <c r="Q37" s="1031"/>
      <c r="R37" s="1031"/>
      <c r="S37" s="1031"/>
      <c r="T37" s="1031"/>
      <c r="U37" s="1031"/>
      <c r="V37" s="1031"/>
      <c r="W37" s="1031"/>
      <c r="X37" s="1032"/>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9"/>
  <sheetViews>
    <sheetView tabSelected="1" zoomScale="110" zoomScaleNormal="110" workbookViewId="0"/>
  </sheetViews>
  <sheetFormatPr defaultRowHeight="12.75" x14ac:dyDescent="0.2"/>
  <cols>
    <col min="1" max="1" width="58" style="128" customWidth="1"/>
    <col min="2" max="2" width="33.5" style="128" customWidth="1"/>
    <col min="3" max="5" width="25.75" style="128" customWidth="1"/>
    <col min="6" max="6" width="22.75" style="128" customWidth="1"/>
    <col min="7" max="9" width="10" style="128"/>
  </cols>
  <sheetData>
    <row r="1" spans="1:9" s="127" customFormat="1" ht="18.75" x14ac:dyDescent="0.3">
      <c r="A1" s="127" t="s">
        <v>122</v>
      </c>
    </row>
    <row r="2" spans="1:9" s="128" customFormat="1" x14ac:dyDescent="0.2"/>
    <row r="3" spans="1:9" s="175" customFormat="1" ht="10.5" x14ac:dyDescent="0.15">
      <c r="A3" s="1059" t="s">
        <v>133</v>
      </c>
      <c r="B3" s="1059"/>
      <c r="C3" s="1059"/>
      <c r="D3" s="1059"/>
      <c r="E3" s="1059"/>
      <c r="F3" s="1059"/>
      <c r="G3" s="1059"/>
      <c r="H3" s="1059"/>
      <c r="I3" s="1059"/>
    </row>
    <row r="4" spans="1:9" s="176" customFormat="1" ht="11.25" x14ac:dyDescent="0.2">
      <c r="A4" s="561"/>
      <c r="B4" s="561"/>
      <c r="C4" s="561"/>
      <c r="D4" s="561"/>
      <c r="E4" s="561"/>
      <c r="F4" s="561"/>
      <c r="G4" s="561"/>
      <c r="H4" s="561"/>
      <c r="I4" s="561"/>
    </row>
    <row r="5" spans="1:9" s="177" customFormat="1" ht="9.75" x14ac:dyDescent="0.2">
      <c r="A5" s="1062" t="s">
        <v>77</v>
      </c>
      <c r="B5" s="1063"/>
      <c r="C5" s="566" t="s">
        <v>25</v>
      </c>
      <c r="D5" s="1067" t="s">
        <v>112</v>
      </c>
      <c r="E5" s="1067"/>
      <c r="F5" s="1067"/>
      <c r="G5" s="1067"/>
      <c r="H5" s="1067"/>
      <c r="I5" s="1067"/>
    </row>
    <row r="6" spans="1:9" s="176" customFormat="1" ht="15" customHeight="1" x14ac:dyDescent="0.2">
      <c r="A6" s="1064" t="s">
        <v>134</v>
      </c>
      <c r="B6" s="1064"/>
      <c r="C6" s="577">
        <f>SUM(C7:C9)</f>
        <v>185596.08</v>
      </c>
      <c r="D6" s="1068"/>
      <c r="E6" s="1069"/>
      <c r="F6" s="1069"/>
      <c r="G6" s="1069"/>
      <c r="H6" s="1069"/>
      <c r="I6" s="1069"/>
    </row>
    <row r="7" spans="1:9" s="176" customFormat="1" ht="24" customHeight="1" x14ac:dyDescent="0.2">
      <c r="A7" s="1065" t="s">
        <v>78</v>
      </c>
      <c r="B7" s="1066"/>
      <c r="C7" s="570">
        <v>133008.07999999999</v>
      </c>
      <c r="D7" s="1070" t="s">
        <v>377</v>
      </c>
      <c r="E7" s="1070"/>
      <c r="F7" s="1070"/>
      <c r="G7" s="1070"/>
      <c r="H7" s="1070"/>
      <c r="I7" s="1070"/>
    </row>
    <row r="8" spans="1:9" s="175" customFormat="1" ht="12.75" customHeight="1" x14ac:dyDescent="0.15">
      <c r="A8" s="1060" t="s">
        <v>113</v>
      </c>
      <c r="B8" s="1061"/>
      <c r="C8" s="571">
        <v>52588</v>
      </c>
      <c r="D8" s="1070" t="s">
        <v>378</v>
      </c>
      <c r="E8" s="1070"/>
      <c r="F8" s="1070"/>
      <c r="G8" s="1070"/>
      <c r="H8" s="1070"/>
      <c r="I8" s="1070"/>
    </row>
    <row r="9" spans="1:9" s="175" customFormat="1" ht="15" customHeight="1" x14ac:dyDescent="0.15">
      <c r="A9" s="1060" t="s">
        <v>114</v>
      </c>
      <c r="B9" s="1061"/>
      <c r="C9" s="571">
        <v>0</v>
      </c>
      <c r="D9" s="1071"/>
      <c r="E9" s="1072"/>
      <c r="F9" s="1072"/>
      <c r="G9" s="1072"/>
      <c r="H9" s="1072"/>
      <c r="I9" s="1073"/>
    </row>
    <row r="10" spans="1:9" s="175" customFormat="1" ht="15" customHeight="1" x14ac:dyDescent="0.2">
      <c r="A10" s="561"/>
      <c r="B10" s="561"/>
      <c r="C10" s="563"/>
      <c r="D10" s="561"/>
      <c r="E10" s="561"/>
      <c r="F10" s="561"/>
      <c r="G10" s="561"/>
      <c r="H10" s="561"/>
      <c r="I10" s="561"/>
    </row>
    <row r="11" spans="1:9" s="176" customFormat="1" ht="11.25" x14ac:dyDescent="0.2">
      <c r="A11" s="1059" t="s">
        <v>135</v>
      </c>
      <c r="B11" s="1059"/>
      <c r="C11" s="1059"/>
      <c r="D11" s="1059"/>
      <c r="E11" s="1059"/>
      <c r="F11" s="1059"/>
      <c r="G11" s="1059"/>
      <c r="H11" s="1059"/>
      <c r="I11" s="1059"/>
    </row>
    <row r="12" spans="1:9" s="176" customFormat="1" ht="11.25" x14ac:dyDescent="0.2">
      <c r="A12" s="561"/>
      <c r="B12" s="561"/>
      <c r="C12" s="563"/>
      <c r="D12" s="592"/>
      <c r="E12" s="592"/>
      <c r="F12" s="592"/>
      <c r="G12" s="592"/>
      <c r="H12" s="592"/>
      <c r="I12" s="592"/>
    </row>
    <row r="13" spans="1:9" s="176" customFormat="1" ht="11.25" x14ac:dyDescent="0.2">
      <c r="A13" s="566" t="s">
        <v>77</v>
      </c>
      <c r="B13" s="566" t="s">
        <v>79</v>
      </c>
      <c r="C13" s="566" t="s">
        <v>25</v>
      </c>
      <c r="D13" s="594"/>
      <c r="E13" s="595"/>
      <c r="F13" s="595"/>
      <c r="G13" s="595"/>
      <c r="H13" s="595"/>
      <c r="I13" s="595"/>
    </row>
    <row r="14" spans="1:9" s="181" customFormat="1" ht="11.25" x14ac:dyDescent="0.2">
      <c r="A14" s="572" t="s">
        <v>136</v>
      </c>
      <c r="B14" s="582"/>
      <c r="C14" s="573">
        <v>0</v>
      </c>
      <c r="D14" s="596"/>
      <c r="E14" s="597"/>
      <c r="F14" s="597"/>
      <c r="G14" s="597"/>
      <c r="H14" s="597"/>
      <c r="I14" s="597"/>
    </row>
    <row r="15" spans="1:9" s="176" customFormat="1" ht="15" customHeight="1" x14ac:dyDescent="0.2">
      <c r="A15" s="1057" t="s">
        <v>137</v>
      </c>
      <c r="B15" s="568" t="s">
        <v>80</v>
      </c>
      <c r="C15" s="574">
        <v>185596.08</v>
      </c>
      <c r="D15" s="589"/>
      <c r="E15" s="590"/>
      <c r="F15" s="590"/>
      <c r="G15" s="590"/>
      <c r="H15" s="590"/>
      <c r="I15" s="590"/>
    </row>
    <row r="16" spans="1:9" s="176" customFormat="1" ht="15" customHeight="1" x14ac:dyDescent="0.2">
      <c r="A16" s="1058"/>
      <c r="B16" s="569" t="s">
        <v>81</v>
      </c>
      <c r="C16" s="586">
        <v>0</v>
      </c>
      <c r="D16" s="598"/>
      <c r="E16" s="599"/>
      <c r="F16" s="599"/>
      <c r="G16" s="599"/>
      <c r="H16" s="599"/>
      <c r="I16" s="599"/>
    </row>
    <row r="17" spans="1:9" s="176" customFormat="1" ht="13.5" customHeight="1" x14ac:dyDescent="0.2">
      <c r="A17" s="587" t="s">
        <v>134</v>
      </c>
      <c r="B17" s="588"/>
      <c r="C17" s="577">
        <v>185596.08</v>
      </c>
      <c r="D17" s="591"/>
      <c r="E17" s="591"/>
      <c r="F17" s="591"/>
      <c r="G17" s="591"/>
      <c r="H17" s="591"/>
      <c r="I17" s="591"/>
    </row>
    <row r="18" spans="1:9" s="176" customFormat="1" ht="15" customHeight="1" x14ac:dyDescent="0.2">
      <c r="A18" s="585"/>
      <c r="B18" s="583"/>
      <c r="C18" s="584"/>
      <c r="D18" s="593"/>
      <c r="E18" s="593"/>
      <c r="F18" s="593"/>
      <c r="G18" s="593"/>
      <c r="H18" s="593"/>
      <c r="I18" s="593"/>
    </row>
    <row r="19" spans="1:9" s="175" customFormat="1" ht="15" customHeight="1" x14ac:dyDescent="0.15">
      <c r="A19" s="1059" t="s">
        <v>138</v>
      </c>
      <c r="B19" s="1059"/>
      <c r="C19" s="1059"/>
      <c r="D19" s="1059"/>
      <c r="E19" s="1059"/>
      <c r="F19" s="1059"/>
      <c r="G19" s="1059"/>
      <c r="H19" s="1059"/>
      <c r="I19" s="1059"/>
    </row>
    <row r="20" spans="1:9" s="176" customFormat="1" ht="11.25" x14ac:dyDescent="0.2">
      <c r="A20" s="561"/>
      <c r="B20" s="561"/>
      <c r="C20" s="563"/>
      <c r="D20" s="561"/>
      <c r="E20" s="561"/>
      <c r="F20" s="561"/>
      <c r="G20" s="561"/>
      <c r="H20" s="561"/>
      <c r="I20" s="561"/>
    </row>
    <row r="21" spans="1:9" s="176" customFormat="1" ht="11.25" x14ac:dyDescent="0.2">
      <c r="A21" s="566" t="s">
        <v>79</v>
      </c>
      <c r="B21" s="566" t="s">
        <v>139</v>
      </c>
      <c r="C21" s="565" t="s">
        <v>140</v>
      </c>
      <c r="D21" s="566" t="s">
        <v>141</v>
      </c>
      <c r="E21" s="566" t="s">
        <v>142</v>
      </c>
      <c r="F21" s="1067" t="s">
        <v>115</v>
      </c>
      <c r="G21" s="1067"/>
      <c r="H21" s="1067"/>
      <c r="I21" s="1067"/>
    </row>
    <row r="22" spans="1:9" s="176" customFormat="1" ht="37.5" customHeight="1" x14ac:dyDescent="0.2">
      <c r="A22" s="731" t="s">
        <v>116</v>
      </c>
      <c r="B22" s="732">
        <v>89617.45</v>
      </c>
      <c r="C22" s="732">
        <v>273123.02</v>
      </c>
      <c r="D22" s="732">
        <v>229155</v>
      </c>
      <c r="E22" s="732">
        <v>133585.47000000003</v>
      </c>
      <c r="F22" s="1074" t="s">
        <v>379</v>
      </c>
      <c r="G22" s="1074"/>
      <c r="H22" s="1074"/>
      <c r="I22" s="1074"/>
    </row>
    <row r="23" spans="1:9" s="176" customFormat="1" ht="24" customHeight="1" x14ac:dyDescent="0.2">
      <c r="A23" s="568" t="s">
        <v>143</v>
      </c>
      <c r="B23" s="733">
        <v>234159.94</v>
      </c>
      <c r="C23" s="733">
        <v>209803</v>
      </c>
      <c r="D23" s="733">
        <v>315053</v>
      </c>
      <c r="E23" s="733">
        <v>128909.94</v>
      </c>
      <c r="F23" s="1070" t="s">
        <v>350</v>
      </c>
      <c r="G23" s="1070"/>
      <c r="H23" s="1070"/>
      <c r="I23" s="1070"/>
    </row>
    <row r="24" spans="1:9" s="176" customFormat="1" ht="25.5" customHeight="1" x14ac:dyDescent="0.2">
      <c r="A24" s="568" t="s">
        <v>81</v>
      </c>
      <c r="B24" s="733">
        <v>53787.15</v>
      </c>
      <c r="C24" s="733">
        <v>20000</v>
      </c>
      <c r="D24" s="733">
        <v>0</v>
      </c>
      <c r="E24" s="733">
        <v>73787.149999999994</v>
      </c>
      <c r="F24" s="1070" t="s">
        <v>814</v>
      </c>
      <c r="G24" s="1070"/>
      <c r="H24" s="1070"/>
      <c r="I24" s="1070"/>
    </row>
    <row r="25" spans="1:9" s="176" customFormat="1" ht="36.75" customHeight="1" x14ac:dyDescent="0.2">
      <c r="A25" s="734" t="s">
        <v>82</v>
      </c>
      <c r="B25" s="735">
        <v>200451.91</v>
      </c>
      <c r="C25" s="735">
        <v>135586</v>
      </c>
      <c r="D25" s="735">
        <v>120918.6</v>
      </c>
      <c r="E25" s="735">
        <v>215119.31000000003</v>
      </c>
      <c r="F25" s="1078" t="s">
        <v>380</v>
      </c>
      <c r="G25" s="1078"/>
      <c r="H25" s="1078"/>
      <c r="I25" s="1078"/>
    </row>
    <row r="26" spans="1:9" s="175" customFormat="1" ht="10.5" x14ac:dyDescent="0.15">
      <c r="A26" s="576" t="s">
        <v>34</v>
      </c>
      <c r="B26" s="577">
        <f>SUM(B22:B25)</f>
        <v>578016.45000000007</v>
      </c>
      <c r="C26" s="577">
        <f t="shared" ref="C26:E26" si="0">SUM(C22:C25)</f>
        <v>638512.02</v>
      </c>
      <c r="D26" s="577">
        <f t="shared" si="0"/>
        <v>665126.6</v>
      </c>
      <c r="E26" s="577">
        <f t="shared" si="0"/>
        <v>551401.87000000011</v>
      </c>
      <c r="F26" s="1079"/>
      <c r="G26" s="1079"/>
      <c r="H26" s="1079"/>
      <c r="I26" s="1080"/>
    </row>
    <row r="27" spans="1:9" s="176" customFormat="1" ht="11.25" x14ac:dyDescent="0.2">
      <c r="A27" s="561"/>
      <c r="B27" s="561"/>
      <c r="C27" s="563"/>
      <c r="D27" s="561"/>
      <c r="E27" s="561"/>
      <c r="F27" s="561"/>
      <c r="G27" s="561"/>
      <c r="H27" s="561"/>
      <c r="I27" s="561"/>
    </row>
    <row r="28" spans="1:9" s="176" customFormat="1" ht="11.25" x14ac:dyDescent="0.2">
      <c r="A28" s="1059" t="s">
        <v>144</v>
      </c>
      <c r="B28" s="1059"/>
      <c r="C28" s="1059"/>
      <c r="D28" s="1059"/>
      <c r="E28" s="1059"/>
      <c r="F28" s="1059"/>
      <c r="G28" s="1059"/>
      <c r="H28" s="1059"/>
      <c r="I28" s="1059"/>
    </row>
    <row r="29" spans="1:9" s="176" customFormat="1" ht="11.25" x14ac:dyDescent="0.2">
      <c r="A29" s="561"/>
      <c r="B29" s="561"/>
      <c r="C29" s="563"/>
      <c r="D29" s="561"/>
      <c r="E29" s="561"/>
      <c r="F29" s="561"/>
      <c r="G29" s="561"/>
      <c r="H29" s="561"/>
      <c r="I29" s="561"/>
    </row>
    <row r="30" spans="1:9" s="176" customFormat="1" ht="11.25" x14ac:dyDescent="0.2">
      <c r="A30" s="566" t="s">
        <v>83</v>
      </c>
      <c r="B30" s="566" t="s">
        <v>25</v>
      </c>
      <c r="C30" s="565" t="s">
        <v>84</v>
      </c>
      <c r="D30" s="1067" t="s">
        <v>117</v>
      </c>
      <c r="E30" s="1067"/>
      <c r="F30" s="1067"/>
      <c r="G30" s="1067"/>
      <c r="H30" s="1067"/>
      <c r="I30" s="1067"/>
    </row>
    <row r="31" spans="1:9" s="176" customFormat="1" ht="11.25" customHeight="1" x14ac:dyDescent="0.2">
      <c r="A31" s="581"/>
      <c r="B31" s="567">
        <v>0</v>
      </c>
      <c r="C31" s="575"/>
      <c r="D31" s="1087"/>
      <c r="E31" s="1088"/>
      <c r="F31" s="1088"/>
      <c r="G31" s="1088"/>
      <c r="H31" s="1088"/>
      <c r="I31" s="1089"/>
    </row>
    <row r="32" spans="1:9" s="176" customFormat="1" ht="11.25" x14ac:dyDescent="0.2">
      <c r="A32" s="576" t="s">
        <v>34</v>
      </c>
      <c r="B32" s="577">
        <v>0</v>
      </c>
      <c r="C32" s="1083"/>
      <c r="D32" s="1083"/>
      <c r="E32" s="1083"/>
      <c r="F32" s="1083"/>
      <c r="G32" s="1083"/>
      <c r="H32" s="1083"/>
      <c r="I32" s="1084"/>
    </row>
    <row r="33" spans="1:9" s="176" customFormat="1" ht="11.25" x14ac:dyDescent="0.2">
      <c r="A33" s="561"/>
      <c r="B33" s="561"/>
      <c r="C33" s="563"/>
      <c r="D33" s="561"/>
      <c r="E33" s="561"/>
      <c r="F33" s="561"/>
      <c r="G33" s="561"/>
      <c r="H33" s="561"/>
      <c r="I33" s="561"/>
    </row>
    <row r="34" spans="1:9" s="176" customFormat="1" ht="15" customHeight="1" x14ac:dyDescent="0.2">
      <c r="A34" s="1059" t="s">
        <v>145</v>
      </c>
      <c r="B34" s="1059"/>
      <c r="C34" s="1059"/>
      <c r="D34" s="1059"/>
      <c r="E34" s="1059"/>
      <c r="F34" s="1059"/>
      <c r="G34" s="1059"/>
      <c r="H34" s="1059"/>
      <c r="I34" s="1059"/>
    </row>
    <row r="35" spans="1:9" s="175" customFormat="1" ht="11.25" x14ac:dyDescent="0.2">
      <c r="A35" s="561"/>
      <c r="B35" s="561"/>
      <c r="C35" s="563"/>
      <c r="D35" s="561"/>
      <c r="E35" s="561"/>
      <c r="F35" s="561"/>
      <c r="G35" s="561"/>
      <c r="H35" s="561"/>
      <c r="I35" s="561"/>
    </row>
    <row r="36" spans="1:9" s="176" customFormat="1" ht="11.25" x14ac:dyDescent="0.2">
      <c r="A36" s="566" t="s">
        <v>83</v>
      </c>
      <c r="B36" s="566" t="s">
        <v>25</v>
      </c>
      <c r="C36" s="565" t="s">
        <v>84</v>
      </c>
      <c r="D36" s="1067" t="s">
        <v>117</v>
      </c>
      <c r="E36" s="1067"/>
      <c r="F36" s="1067"/>
      <c r="G36" s="1067"/>
      <c r="H36" s="1067"/>
      <c r="I36" s="1085"/>
    </row>
    <row r="37" spans="1:9" s="176" customFormat="1" ht="11.25" x14ac:dyDescent="0.2">
      <c r="A37" s="581"/>
      <c r="B37" s="567">
        <v>0</v>
      </c>
      <c r="C37" s="575"/>
      <c r="D37" s="1087"/>
      <c r="E37" s="1088"/>
      <c r="F37" s="1088"/>
      <c r="G37" s="1088"/>
      <c r="H37" s="1088"/>
      <c r="I37" s="1089"/>
    </row>
    <row r="38" spans="1:9" s="176" customFormat="1" ht="11.25" x14ac:dyDescent="0.2">
      <c r="A38" s="576" t="s">
        <v>34</v>
      </c>
      <c r="B38" s="577">
        <v>0</v>
      </c>
      <c r="C38" s="1086"/>
      <c r="D38" s="1086"/>
      <c r="E38" s="1086"/>
      <c r="F38" s="1086"/>
      <c r="G38" s="1086"/>
      <c r="H38" s="1086"/>
      <c r="I38" s="1086"/>
    </row>
    <row r="39" spans="1:9" s="176" customFormat="1" ht="11.25" customHeight="1" x14ac:dyDescent="0.2">
      <c r="A39" s="561"/>
      <c r="B39" s="561"/>
      <c r="C39" s="563"/>
      <c r="D39" s="561"/>
      <c r="E39" s="561"/>
      <c r="F39" s="561"/>
      <c r="G39" s="561"/>
      <c r="H39" s="561"/>
      <c r="I39" s="561"/>
    </row>
    <row r="40" spans="1:9" s="175" customFormat="1" ht="10.5" x14ac:dyDescent="0.15">
      <c r="A40" s="1059" t="s">
        <v>146</v>
      </c>
      <c r="B40" s="1059"/>
      <c r="C40" s="1059"/>
      <c r="D40" s="1059"/>
      <c r="E40" s="1059"/>
      <c r="F40" s="1059"/>
      <c r="G40" s="1059"/>
      <c r="H40" s="1059"/>
      <c r="I40" s="1059"/>
    </row>
    <row r="41" spans="1:9" s="176" customFormat="1" ht="11.25" x14ac:dyDescent="0.2">
      <c r="A41" s="561"/>
      <c r="B41" s="561"/>
      <c r="C41" s="564"/>
      <c r="D41" s="561"/>
      <c r="E41" s="561"/>
      <c r="F41" s="561"/>
      <c r="G41" s="561"/>
      <c r="H41" s="561"/>
      <c r="I41" s="561"/>
    </row>
    <row r="42" spans="1:9" s="176" customFormat="1" ht="11.25" x14ac:dyDescent="0.2">
      <c r="A42" s="566" t="s">
        <v>25</v>
      </c>
      <c r="B42" s="565" t="s">
        <v>147</v>
      </c>
      <c r="C42" s="1081" t="s">
        <v>85</v>
      </c>
      <c r="D42" s="1081"/>
      <c r="E42" s="1081"/>
      <c r="F42" s="1081"/>
      <c r="G42" s="1081"/>
      <c r="H42" s="1081"/>
      <c r="I42" s="1082"/>
    </row>
    <row r="43" spans="1:9" s="176" customFormat="1" ht="11.25" x14ac:dyDescent="0.2">
      <c r="A43" s="578">
        <v>14000</v>
      </c>
      <c r="B43" s="578">
        <v>14000</v>
      </c>
      <c r="C43" s="1075" t="s">
        <v>351</v>
      </c>
      <c r="D43" s="1076"/>
      <c r="E43" s="1076"/>
      <c r="F43" s="1076"/>
      <c r="G43" s="1076"/>
      <c r="H43" s="1076"/>
      <c r="I43" s="1077"/>
    </row>
    <row r="44" spans="1:9" s="197" customFormat="1" ht="10.5" x14ac:dyDescent="0.15">
      <c r="A44" s="577">
        <v>14000</v>
      </c>
      <c r="B44" s="577">
        <v>14000</v>
      </c>
      <c r="C44" s="1090" t="s">
        <v>34</v>
      </c>
      <c r="D44" s="1090"/>
      <c r="E44" s="1090"/>
      <c r="F44" s="1090"/>
      <c r="G44" s="1090"/>
      <c r="H44" s="1090"/>
      <c r="I44" s="1091"/>
    </row>
    <row r="45" spans="1:9" s="176" customFormat="1" ht="21.75" customHeight="1" x14ac:dyDescent="0.2">
      <c r="A45" s="561"/>
      <c r="B45" s="561"/>
      <c r="C45" s="564"/>
      <c r="D45" s="561"/>
      <c r="E45" s="561"/>
      <c r="F45" s="561"/>
      <c r="G45" s="561"/>
      <c r="H45" s="561"/>
      <c r="I45" s="561"/>
    </row>
    <row r="46" spans="1:9" s="176" customFormat="1" ht="11.25" x14ac:dyDescent="0.2">
      <c r="A46" s="1059" t="s">
        <v>148</v>
      </c>
      <c r="B46" s="1059"/>
      <c r="C46" s="1059"/>
      <c r="D46" s="1059"/>
      <c r="E46" s="1059"/>
      <c r="F46" s="1059"/>
      <c r="G46" s="1059"/>
      <c r="H46" s="1059"/>
      <c r="I46" s="1059"/>
    </row>
    <row r="47" spans="1:9" s="176" customFormat="1" ht="11.25" x14ac:dyDescent="0.2">
      <c r="A47" s="561"/>
      <c r="B47" s="561"/>
      <c r="C47" s="564"/>
      <c r="D47" s="561"/>
      <c r="E47" s="561"/>
      <c r="F47" s="561"/>
      <c r="G47" s="561"/>
      <c r="H47" s="561"/>
      <c r="I47" s="561"/>
    </row>
    <row r="48" spans="1:9" s="176" customFormat="1" ht="11.25" x14ac:dyDescent="0.2">
      <c r="A48" s="1067" t="s">
        <v>86</v>
      </c>
      <c r="B48" s="1067"/>
      <c r="C48" s="565" t="s">
        <v>87</v>
      </c>
      <c r="D48" s="566" t="s">
        <v>88</v>
      </c>
      <c r="E48" s="566" t="s">
        <v>25</v>
      </c>
      <c r="F48" s="562"/>
      <c r="G48" s="562"/>
      <c r="H48" s="562"/>
      <c r="I48" s="562"/>
    </row>
    <row r="49" spans="1:10" s="176" customFormat="1" ht="11.25" customHeight="1" x14ac:dyDescent="0.2">
      <c r="A49" s="1094" t="s">
        <v>381</v>
      </c>
      <c r="B49" s="1094"/>
      <c r="C49" s="600" t="s">
        <v>352</v>
      </c>
      <c r="D49" s="600" t="s">
        <v>353</v>
      </c>
      <c r="E49" s="579">
        <v>-500000</v>
      </c>
      <c r="F49" s="561"/>
      <c r="G49" s="561"/>
      <c r="H49" s="561"/>
      <c r="I49" s="561"/>
    </row>
    <row r="50" spans="1:10" s="176" customFormat="1" ht="11.25" customHeight="1" x14ac:dyDescent="0.2">
      <c r="A50" s="1094" t="s">
        <v>381</v>
      </c>
      <c r="B50" s="1094"/>
      <c r="C50" s="600" t="s">
        <v>354</v>
      </c>
      <c r="D50" s="600" t="s">
        <v>355</v>
      </c>
      <c r="E50" s="579">
        <v>-500000</v>
      </c>
      <c r="F50" s="561"/>
      <c r="G50" s="561"/>
      <c r="H50" s="561"/>
      <c r="I50" s="561"/>
    </row>
    <row r="51" spans="1:10" s="176" customFormat="1" ht="23.25" customHeight="1" x14ac:dyDescent="0.2">
      <c r="A51" s="1055" t="s">
        <v>382</v>
      </c>
      <c r="B51" s="1056"/>
      <c r="C51" s="600" t="s">
        <v>356</v>
      </c>
      <c r="D51" s="600" t="s">
        <v>353</v>
      </c>
      <c r="E51" s="579">
        <v>12000</v>
      </c>
      <c r="F51" s="561"/>
      <c r="G51" s="561"/>
      <c r="H51" s="561"/>
      <c r="I51" s="561"/>
    </row>
    <row r="52" spans="1:10" s="175" customFormat="1" ht="22.5" customHeight="1" x14ac:dyDescent="0.2">
      <c r="A52" s="1092" t="s">
        <v>383</v>
      </c>
      <c r="B52" s="1093"/>
      <c r="C52" s="600" t="s">
        <v>357</v>
      </c>
      <c r="D52" s="600" t="s">
        <v>353</v>
      </c>
      <c r="E52" s="579">
        <v>14000</v>
      </c>
      <c r="F52" s="561"/>
      <c r="G52" s="561"/>
      <c r="H52" s="561"/>
      <c r="I52" s="561"/>
    </row>
    <row r="53" spans="1:10" s="176" customFormat="1" ht="11.25" customHeight="1" x14ac:dyDescent="0.2">
      <c r="A53" s="1092" t="s">
        <v>358</v>
      </c>
      <c r="B53" s="1093"/>
      <c r="C53" s="600" t="s">
        <v>359</v>
      </c>
      <c r="D53" s="600" t="s">
        <v>360</v>
      </c>
      <c r="E53" s="579">
        <v>200000</v>
      </c>
      <c r="F53" s="561"/>
      <c r="G53" s="561"/>
      <c r="H53" s="561"/>
      <c r="I53" s="561"/>
    </row>
    <row r="54" spans="1:10" s="176" customFormat="1" ht="22.5" customHeight="1" x14ac:dyDescent="0.2">
      <c r="A54" s="1055" t="s">
        <v>384</v>
      </c>
      <c r="B54" s="1056"/>
      <c r="C54" s="600" t="s">
        <v>355</v>
      </c>
      <c r="D54" s="600" t="s">
        <v>361</v>
      </c>
      <c r="E54" s="579">
        <v>6000</v>
      </c>
      <c r="F54" s="561"/>
      <c r="G54" s="561"/>
      <c r="H54" s="561"/>
      <c r="I54" s="561"/>
    </row>
    <row r="55" spans="1:10" s="176" customFormat="1" ht="11.25" customHeight="1" x14ac:dyDescent="0.2">
      <c r="A55" s="1055" t="s">
        <v>362</v>
      </c>
      <c r="B55" s="1056"/>
      <c r="C55" s="600" t="s">
        <v>353</v>
      </c>
      <c r="D55" s="600" t="s">
        <v>353</v>
      </c>
      <c r="E55" s="579">
        <v>-56000</v>
      </c>
      <c r="F55" s="736"/>
      <c r="G55" s="592"/>
      <c r="H55" s="592"/>
      <c r="I55" s="592"/>
      <c r="J55" s="216"/>
    </row>
    <row r="56" spans="1:10" s="176" customFormat="1" ht="11.25" customHeight="1" x14ac:dyDescent="0.2">
      <c r="A56" s="1055" t="s">
        <v>385</v>
      </c>
      <c r="B56" s="1056"/>
      <c r="C56" s="600" t="s">
        <v>363</v>
      </c>
      <c r="D56" s="600" t="s">
        <v>220</v>
      </c>
      <c r="E56" s="579">
        <v>17000</v>
      </c>
      <c r="F56" s="737"/>
      <c r="G56" s="738"/>
      <c r="H56" s="738"/>
      <c r="I56" s="738"/>
      <c r="J56" s="216"/>
    </row>
    <row r="57" spans="1:10" s="128" customFormat="1" ht="11.25" customHeight="1" x14ac:dyDescent="0.2">
      <c r="A57" s="1055" t="s">
        <v>364</v>
      </c>
      <c r="B57" s="1056"/>
      <c r="C57" s="600" t="s">
        <v>365</v>
      </c>
      <c r="D57" s="600" t="s">
        <v>353</v>
      </c>
      <c r="E57" s="579">
        <v>-14000</v>
      </c>
      <c r="F57" s="739"/>
      <c r="G57" s="740"/>
      <c r="H57" s="740"/>
      <c r="I57" s="740"/>
      <c r="J57" s="740"/>
    </row>
    <row r="58" spans="1:10" s="128" customFormat="1" ht="11.25" customHeight="1" x14ac:dyDescent="0.2">
      <c r="A58" s="1055" t="s">
        <v>386</v>
      </c>
      <c r="B58" s="1056"/>
      <c r="C58" s="600" t="s">
        <v>366</v>
      </c>
      <c r="D58" s="600" t="s">
        <v>367</v>
      </c>
      <c r="E58" s="579">
        <v>-7000</v>
      </c>
    </row>
    <row r="59" spans="1:10" ht="24.75" customHeight="1" x14ac:dyDescent="0.2">
      <c r="A59" s="1092" t="s">
        <v>387</v>
      </c>
      <c r="B59" s="1093"/>
      <c r="C59" s="600" t="s">
        <v>368</v>
      </c>
      <c r="D59" s="600" t="s">
        <v>355</v>
      </c>
      <c r="E59" s="579">
        <v>-200000</v>
      </c>
    </row>
    <row r="60" spans="1:10" ht="22.5" customHeight="1" x14ac:dyDescent="0.2">
      <c r="A60" s="1092" t="s">
        <v>388</v>
      </c>
      <c r="B60" s="1093"/>
      <c r="C60" s="600" t="s">
        <v>369</v>
      </c>
      <c r="D60" s="600" t="s">
        <v>220</v>
      </c>
      <c r="E60" s="579">
        <v>-200000</v>
      </c>
    </row>
    <row r="61" spans="1:10" ht="22.5" customHeight="1" x14ac:dyDescent="0.2">
      <c r="A61" s="1092" t="s">
        <v>389</v>
      </c>
      <c r="B61" s="1093"/>
      <c r="C61" s="600" t="s">
        <v>370</v>
      </c>
      <c r="D61" s="600" t="s">
        <v>371</v>
      </c>
      <c r="E61" s="579">
        <v>-150000</v>
      </c>
    </row>
    <row r="62" spans="1:10" ht="22.5" customHeight="1" x14ac:dyDescent="0.2">
      <c r="A62" s="1055" t="s">
        <v>815</v>
      </c>
      <c r="B62" s="1056"/>
      <c r="C62" s="602" t="s">
        <v>372</v>
      </c>
      <c r="D62" s="602" t="s">
        <v>222</v>
      </c>
      <c r="E62" s="580">
        <v>-60000</v>
      </c>
    </row>
    <row r="63" spans="1:10" ht="11.25" customHeight="1" x14ac:dyDescent="0.2">
      <c r="A63" s="1055" t="s">
        <v>390</v>
      </c>
      <c r="B63" s="1056"/>
      <c r="C63" s="602" t="s">
        <v>218</v>
      </c>
      <c r="D63" s="602" t="s">
        <v>218</v>
      </c>
      <c r="E63" s="580">
        <v>-600</v>
      </c>
    </row>
    <row r="64" spans="1:10" ht="12" customHeight="1" x14ac:dyDescent="0.2">
      <c r="A64" s="1055" t="s">
        <v>373</v>
      </c>
      <c r="B64" s="1056"/>
      <c r="C64" s="600" t="s">
        <v>365</v>
      </c>
      <c r="D64" s="600" t="s">
        <v>353</v>
      </c>
      <c r="E64" s="579">
        <v>-12761</v>
      </c>
    </row>
    <row r="65" spans="1:9" ht="23.25" customHeight="1" x14ac:dyDescent="0.2">
      <c r="A65" s="1055" t="s">
        <v>391</v>
      </c>
      <c r="B65" s="1056"/>
      <c r="C65" s="600" t="s">
        <v>353</v>
      </c>
      <c r="D65" s="600" t="s">
        <v>353</v>
      </c>
      <c r="E65" s="579">
        <v>-50000</v>
      </c>
    </row>
    <row r="66" spans="1:9" ht="11.25" customHeight="1" x14ac:dyDescent="0.2">
      <c r="A66" s="1055" t="s">
        <v>374</v>
      </c>
      <c r="B66" s="1056"/>
      <c r="C66" s="600" t="s">
        <v>375</v>
      </c>
      <c r="D66" s="600" t="s">
        <v>353</v>
      </c>
      <c r="E66" s="579">
        <v>-1652</v>
      </c>
    </row>
    <row r="67" spans="1:9" ht="22.5" customHeight="1" x14ac:dyDescent="0.2">
      <c r="A67" s="1055" t="s">
        <v>392</v>
      </c>
      <c r="B67" s="1056"/>
      <c r="C67" s="600" t="s">
        <v>353</v>
      </c>
      <c r="D67" s="600" t="s">
        <v>376</v>
      </c>
      <c r="E67" s="579">
        <v>-30000</v>
      </c>
      <c r="F67" s="561"/>
      <c r="G67" s="561"/>
      <c r="H67" s="561"/>
      <c r="I67" s="561"/>
    </row>
    <row r="68" spans="1:9" ht="23.25" customHeight="1" x14ac:dyDescent="0.2">
      <c r="A68" s="1055" t="s">
        <v>393</v>
      </c>
      <c r="B68" s="1056"/>
      <c r="C68" s="600" t="s">
        <v>218</v>
      </c>
      <c r="D68" s="600" t="s">
        <v>218</v>
      </c>
      <c r="E68" s="579">
        <v>4600</v>
      </c>
      <c r="F68" s="561"/>
      <c r="G68" s="561"/>
      <c r="H68" s="561"/>
      <c r="I68" s="561"/>
    </row>
    <row r="69" spans="1:9" ht="22.5" customHeight="1" x14ac:dyDescent="0.2">
      <c r="A69" s="1055" t="s">
        <v>816</v>
      </c>
      <c r="B69" s="1056"/>
      <c r="C69" s="600" t="s">
        <v>365</v>
      </c>
      <c r="D69" s="600" t="s">
        <v>353</v>
      </c>
      <c r="E69" s="579">
        <v>-6210</v>
      </c>
      <c r="F69" s="561"/>
      <c r="G69" s="561"/>
      <c r="H69" s="561"/>
      <c r="I69" s="561"/>
    </row>
    <row r="70" spans="1:9" ht="11.25" customHeight="1" x14ac:dyDescent="0.2">
      <c r="A70" s="1055" t="s">
        <v>817</v>
      </c>
      <c r="B70" s="1056"/>
      <c r="C70" s="600" t="s">
        <v>365</v>
      </c>
      <c r="D70" s="600" t="s">
        <v>353</v>
      </c>
      <c r="E70" s="579">
        <v>-952</v>
      </c>
      <c r="F70" s="561"/>
      <c r="G70" s="561"/>
      <c r="H70" s="561"/>
      <c r="I70" s="561"/>
    </row>
    <row r="71" spans="1:9" ht="11.25" x14ac:dyDescent="0.2">
      <c r="A71" s="561"/>
      <c r="B71" s="561"/>
      <c r="C71" s="564"/>
      <c r="D71" s="561"/>
      <c r="E71" s="561"/>
      <c r="F71" s="561"/>
      <c r="G71" s="561"/>
      <c r="H71" s="561"/>
      <c r="I71" s="561"/>
    </row>
    <row r="72" spans="1:9" ht="10.5" x14ac:dyDescent="0.15">
      <c r="A72" s="1098" t="s">
        <v>152</v>
      </c>
      <c r="B72" s="1098"/>
      <c r="C72" s="1098"/>
      <c r="D72" s="1098"/>
      <c r="E72" s="1098"/>
      <c r="F72" s="1098"/>
      <c r="G72" s="1098"/>
      <c r="H72" s="1098"/>
      <c r="I72" s="1098"/>
    </row>
    <row r="73" spans="1:9" ht="11.25" x14ac:dyDescent="0.2">
      <c r="A73" s="561"/>
      <c r="B73" s="561"/>
      <c r="C73" s="561"/>
      <c r="D73" s="561"/>
      <c r="E73" s="561"/>
      <c r="F73" s="561"/>
      <c r="G73" s="561"/>
      <c r="H73" s="561"/>
      <c r="I73" s="561"/>
    </row>
    <row r="74" spans="1:9" ht="11.25" x14ac:dyDescent="0.15">
      <c r="A74" s="1095" t="s">
        <v>394</v>
      </c>
      <c r="B74" s="1096"/>
      <c r="C74" s="1096"/>
      <c r="D74" s="1096"/>
      <c r="E74" s="1096"/>
      <c r="F74" s="1096"/>
      <c r="G74" s="1096"/>
      <c r="H74" s="1096"/>
      <c r="I74" s="1097"/>
    </row>
    <row r="75" spans="1:9" ht="11.25" x14ac:dyDescent="0.15">
      <c r="A75" s="601"/>
      <c r="B75" s="601"/>
      <c r="C75" s="601"/>
      <c r="D75" s="601"/>
      <c r="E75" s="601"/>
      <c r="F75" s="601"/>
      <c r="G75" s="601"/>
      <c r="H75" s="601"/>
      <c r="I75" s="601"/>
    </row>
    <row r="76" spans="1:9" ht="10.5" x14ac:dyDescent="0.15">
      <c r="A76" s="1059" t="s">
        <v>153</v>
      </c>
      <c r="B76" s="1059"/>
      <c r="C76" s="1059"/>
      <c r="D76" s="1059"/>
      <c r="E76" s="1059"/>
      <c r="F76" s="1059"/>
      <c r="G76" s="1059"/>
      <c r="H76" s="1059"/>
      <c r="I76" s="1059"/>
    </row>
    <row r="77" spans="1:9" ht="11.25" x14ac:dyDescent="0.2">
      <c r="A77" s="561"/>
      <c r="B77" s="561"/>
      <c r="C77" s="561"/>
      <c r="D77" s="561"/>
      <c r="E77" s="561"/>
      <c r="F77" s="561"/>
      <c r="G77" s="561"/>
      <c r="H77" s="561"/>
      <c r="I77" s="561"/>
    </row>
    <row r="78" spans="1:9" ht="47.25" customHeight="1" x14ac:dyDescent="0.15">
      <c r="A78" s="789" t="s">
        <v>395</v>
      </c>
      <c r="B78" s="790"/>
      <c r="C78" s="790"/>
      <c r="D78" s="790"/>
      <c r="E78" s="790"/>
      <c r="F78" s="790"/>
      <c r="G78" s="790"/>
      <c r="H78" s="790"/>
      <c r="I78" s="791"/>
    </row>
    <row r="79" spans="1:9" ht="11.25" x14ac:dyDescent="0.15">
      <c r="A79" s="789" t="s">
        <v>121</v>
      </c>
      <c r="B79" s="790"/>
      <c r="C79" s="790"/>
      <c r="D79" s="790"/>
      <c r="E79" s="790"/>
      <c r="F79" s="790"/>
      <c r="G79" s="790"/>
      <c r="H79" s="790"/>
      <c r="I79" s="791"/>
    </row>
  </sheetData>
  <mergeCells count="61">
    <mergeCell ref="A70:B70"/>
    <mergeCell ref="A57:B57"/>
    <mergeCell ref="A58:B58"/>
    <mergeCell ref="A54:B54"/>
    <mergeCell ref="A55:B55"/>
    <mergeCell ref="A61:B61"/>
    <mergeCell ref="A56:B56"/>
    <mergeCell ref="A59:B59"/>
    <mergeCell ref="A60:B60"/>
    <mergeCell ref="A69:B69"/>
    <mergeCell ref="A64:B64"/>
    <mergeCell ref="A65:B65"/>
    <mergeCell ref="A66:B66"/>
    <mergeCell ref="A68:B68"/>
    <mergeCell ref="A67:B67"/>
    <mergeCell ref="A63:B63"/>
    <mergeCell ref="A74:I74"/>
    <mergeCell ref="A78:I78"/>
    <mergeCell ref="A79:I79"/>
    <mergeCell ref="A76:I76"/>
    <mergeCell ref="A72:I72"/>
    <mergeCell ref="C44:I44"/>
    <mergeCell ref="A52:B52"/>
    <mergeCell ref="A53:B53"/>
    <mergeCell ref="A46:I46"/>
    <mergeCell ref="A48:B48"/>
    <mergeCell ref="A49:B49"/>
    <mergeCell ref="A50:B50"/>
    <mergeCell ref="A51:B51"/>
    <mergeCell ref="F22:I22"/>
    <mergeCell ref="F23:I23"/>
    <mergeCell ref="C43:I43"/>
    <mergeCell ref="F24:I24"/>
    <mergeCell ref="F25:I25"/>
    <mergeCell ref="F26:I26"/>
    <mergeCell ref="D30:I30"/>
    <mergeCell ref="A28:I28"/>
    <mergeCell ref="A34:I34"/>
    <mergeCell ref="A40:I40"/>
    <mergeCell ref="C42:I42"/>
    <mergeCell ref="C32:I32"/>
    <mergeCell ref="D36:I36"/>
    <mergeCell ref="C38:I38"/>
    <mergeCell ref="D31:I31"/>
    <mergeCell ref="D37:I37"/>
    <mergeCell ref="A62:B62"/>
    <mergeCell ref="A15:A16"/>
    <mergeCell ref="A11:I11"/>
    <mergeCell ref="A8:B8"/>
    <mergeCell ref="A3:I3"/>
    <mergeCell ref="A5:B5"/>
    <mergeCell ref="A6:B6"/>
    <mergeCell ref="A7:B7"/>
    <mergeCell ref="D5:I5"/>
    <mergeCell ref="D6:I6"/>
    <mergeCell ref="D7:I7"/>
    <mergeCell ref="D8:I8"/>
    <mergeCell ref="A9:B9"/>
    <mergeCell ref="D9:I9"/>
    <mergeCell ref="A19:I19"/>
    <mergeCell ref="F21:I21"/>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15">
      <c r="A1" s="1040" t="s">
        <v>96</v>
      </c>
      <c r="B1" s="1040"/>
      <c r="C1" s="1040"/>
      <c r="D1" s="1040"/>
      <c r="E1" s="1040"/>
      <c r="F1" s="1040"/>
      <c r="G1" s="1040"/>
      <c r="H1" s="1040"/>
      <c r="I1" s="1040"/>
      <c r="J1" s="1040"/>
      <c r="K1" s="1040"/>
      <c r="L1" s="1040"/>
      <c r="M1" s="1040"/>
      <c r="N1" s="1040"/>
      <c r="O1" s="1040"/>
      <c r="P1" s="1040"/>
      <c r="Q1" s="1040"/>
      <c r="R1" s="1040"/>
      <c r="S1" s="1040"/>
      <c r="T1" s="1040"/>
      <c r="U1" s="1040"/>
      <c r="V1" s="1040"/>
      <c r="W1" s="1040"/>
      <c r="X1" s="1040"/>
    </row>
    <row r="3" spans="1:24" s="6" customFormat="1" ht="9.75" customHeight="1" x14ac:dyDescent="0.2">
      <c r="A3" s="824" t="s">
        <v>40</v>
      </c>
      <c r="B3" s="837" t="s">
        <v>41</v>
      </c>
      <c r="C3" s="891"/>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99"/>
      <c r="B4" s="892"/>
      <c r="C4" s="893"/>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900"/>
      <c r="B5" s="894"/>
      <c r="C5" s="895"/>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22101736</v>
      </c>
      <c r="F6" s="67">
        <f>SUM(F7:F9)</f>
        <v>21925734</v>
      </c>
      <c r="G6" s="67">
        <f>SUM(G7:G9)</f>
        <v>21930251</v>
      </c>
      <c r="H6" s="28">
        <f t="shared" ref="H6:H36" si="0">G6/F6*100</f>
        <v>100.02060136276395</v>
      </c>
      <c r="I6" s="67">
        <f>SUM(I7:I9)</f>
        <v>20341893</v>
      </c>
      <c r="J6" s="67">
        <f>SUM(J7:J9)</f>
        <v>3970700</v>
      </c>
      <c r="K6" s="67">
        <f t="shared" ref="K6:X6" si="1">SUM(K7:K9)</f>
        <v>3163700</v>
      </c>
      <c r="L6" s="67">
        <f t="shared" si="1"/>
        <v>3168217</v>
      </c>
      <c r="M6" s="28">
        <f t="shared" ref="M6:M33" si="2">L6/K6*100</f>
        <v>100.14277586370387</v>
      </c>
      <c r="N6" s="67">
        <f>SUM(N7:N9)</f>
        <v>3929396</v>
      </c>
      <c r="O6" s="67">
        <f t="shared" si="1"/>
        <v>18131036</v>
      </c>
      <c r="P6" s="67">
        <f t="shared" si="1"/>
        <v>18762034</v>
      </c>
      <c r="Q6" s="67">
        <f t="shared" si="1"/>
        <v>18762034</v>
      </c>
      <c r="R6" s="28">
        <f t="shared" ref="R6:R33" si="3">Q6/P6*100</f>
        <v>100</v>
      </c>
      <c r="S6" s="67">
        <f>SUM(S7:S9)</f>
        <v>16412497</v>
      </c>
      <c r="T6" s="67">
        <f t="shared" si="1"/>
        <v>0</v>
      </c>
      <c r="U6" s="67">
        <f t="shared" si="1"/>
        <v>56000</v>
      </c>
      <c r="V6" s="67">
        <f t="shared" si="1"/>
        <v>72335</v>
      </c>
      <c r="W6" s="28">
        <f t="shared" ref="W6:W33" si="4">V6/U6*100</f>
        <v>129.16964285714286</v>
      </c>
      <c r="X6" s="67">
        <f t="shared" si="1"/>
        <v>0</v>
      </c>
    </row>
    <row r="7" spans="1:24" s="6" customFormat="1" ht="9.9499999999999993" customHeight="1" x14ac:dyDescent="0.2">
      <c r="A7" s="34" t="s">
        <v>2</v>
      </c>
      <c r="B7" s="827" t="s">
        <v>47</v>
      </c>
      <c r="C7" s="828"/>
      <c r="D7" s="55" t="s">
        <v>25</v>
      </c>
      <c r="E7" s="70">
        <f t="shared" ref="E7:G10" si="5">SUM(J7,O7)</f>
        <v>311000</v>
      </c>
      <c r="F7" s="71">
        <f t="shared" si="5"/>
        <v>504000</v>
      </c>
      <c r="G7" s="71">
        <f t="shared" si="5"/>
        <v>508991</v>
      </c>
      <c r="H7" s="10">
        <f t="shared" si="0"/>
        <v>100.99027777777778</v>
      </c>
      <c r="I7" s="72">
        <f>SUM(N7,S7)</f>
        <v>487511</v>
      </c>
      <c r="J7" s="73">
        <v>311000</v>
      </c>
      <c r="K7" s="74">
        <v>504000</v>
      </c>
      <c r="L7" s="74">
        <v>508991</v>
      </c>
      <c r="M7" s="10">
        <f t="shared" si="2"/>
        <v>100.99027777777778</v>
      </c>
      <c r="N7" s="74">
        <v>487511</v>
      </c>
      <c r="O7" s="76"/>
      <c r="P7" s="74"/>
      <c r="Q7" s="74"/>
      <c r="R7" s="10" t="e">
        <f t="shared" si="3"/>
        <v>#DIV/0!</v>
      </c>
      <c r="S7" s="74"/>
      <c r="T7" s="76"/>
      <c r="U7" s="74">
        <v>56000</v>
      </c>
      <c r="V7" s="74">
        <v>72335</v>
      </c>
      <c r="W7" s="10">
        <f t="shared" si="4"/>
        <v>129.16964285714286</v>
      </c>
      <c r="X7" s="122"/>
    </row>
    <row r="8" spans="1:24" s="6" customFormat="1" ht="9.9499999999999993" customHeight="1" x14ac:dyDescent="0.2">
      <c r="A8" s="35" t="s">
        <v>3</v>
      </c>
      <c r="B8" s="829" t="s">
        <v>48</v>
      </c>
      <c r="C8" s="830"/>
      <c r="D8" s="56" t="s">
        <v>25</v>
      </c>
      <c r="E8" s="77">
        <f t="shared" si="5"/>
        <v>6000</v>
      </c>
      <c r="F8" s="78">
        <f t="shared" si="5"/>
        <v>6000</v>
      </c>
      <c r="G8" s="78">
        <f t="shared" si="5"/>
        <v>5526</v>
      </c>
      <c r="H8" s="11">
        <f t="shared" si="0"/>
        <v>92.100000000000009</v>
      </c>
      <c r="I8" s="79">
        <f>SUM(N8,S8)</f>
        <v>8185</v>
      </c>
      <c r="J8" s="80">
        <v>6000</v>
      </c>
      <c r="K8" s="78">
        <v>6000</v>
      </c>
      <c r="L8" s="78">
        <v>5526</v>
      </c>
      <c r="M8" s="11">
        <f t="shared" si="2"/>
        <v>92.100000000000009</v>
      </c>
      <c r="N8" s="78">
        <v>8185</v>
      </c>
      <c r="O8" s="77"/>
      <c r="P8" s="78"/>
      <c r="Q8" s="78"/>
      <c r="R8" s="11" t="e">
        <f t="shared" si="3"/>
        <v>#DIV/0!</v>
      </c>
      <c r="S8" s="78"/>
      <c r="T8" s="77"/>
      <c r="U8" s="78"/>
      <c r="V8" s="78"/>
      <c r="W8" s="11" t="e">
        <f t="shared" si="4"/>
        <v>#DIV/0!</v>
      </c>
      <c r="X8" s="81"/>
    </row>
    <row r="9" spans="1:24" s="6" customFormat="1" ht="9.9499999999999993" customHeight="1" x14ac:dyDescent="0.2">
      <c r="A9" s="36" t="s">
        <v>4</v>
      </c>
      <c r="B9" s="44" t="s">
        <v>66</v>
      </c>
      <c r="C9" s="45"/>
      <c r="D9" s="57" t="s">
        <v>25</v>
      </c>
      <c r="E9" s="82">
        <f t="shared" si="5"/>
        <v>21784736</v>
      </c>
      <c r="F9" s="83">
        <f t="shared" si="5"/>
        <v>21415734</v>
      </c>
      <c r="G9" s="83">
        <f t="shared" si="5"/>
        <v>21415734</v>
      </c>
      <c r="H9" s="31">
        <f t="shared" si="0"/>
        <v>100</v>
      </c>
      <c r="I9" s="84">
        <f>SUM(N9,S9)</f>
        <v>19846197</v>
      </c>
      <c r="J9" s="85">
        <v>3653700</v>
      </c>
      <c r="K9" s="83">
        <v>2653700</v>
      </c>
      <c r="L9" s="83">
        <v>2653700</v>
      </c>
      <c r="M9" s="31">
        <f>L9/K9*100</f>
        <v>100</v>
      </c>
      <c r="N9" s="83">
        <v>3433700</v>
      </c>
      <c r="O9" s="82">
        <v>18131036</v>
      </c>
      <c r="P9" s="83">
        <v>18762034</v>
      </c>
      <c r="Q9" s="83">
        <v>18762034</v>
      </c>
      <c r="R9" s="31">
        <f t="shared" si="3"/>
        <v>100</v>
      </c>
      <c r="S9" s="83">
        <v>16412497</v>
      </c>
      <c r="T9" s="82"/>
      <c r="U9" s="83"/>
      <c r="V9" s="83"/>
      <c r="W9" s="31"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c r="K10" s="87"/>
      <c r="L10" s="87"/>
      <c r="M10" s="28" t="e">
        <f t="shared" si="2"/>
        <v>#DIV/0!</v>
      </c>
      <c r="N10" s="87"/>
      <c r="O10" s="87"/>
      <c r="P10" s="87"/>
      <c r="Q10" s="87"/>
      <c r="R10" s="28" t="e">
        <f t="shared" si="3"/>
        <v>#DIV/0!</v>
      </c>
      <c r="S10" s="87"/>
      <c r="T10" s="87"/>
      <c r="U10" s="87"/>
      <c r="V10" s="87"/>
      <c r="W10" s="28" t="e">
        <f t="shared" si="4"/>
        <v>#DIV/0!</v>
      </c>
      <c r="X10" s="87"/>
    </row>
    <row r="11" spans="1:24" s="6" customFormat="1" ht="9.9499999999999993" customHeight="1" x14ac:dyDescent="0.2">
      <c r="A11" s="33" t="s">
        <v>6</v>
      </c>
      <c r="B11" s="826" t="s">
        <v>9</v>
      </c>
      <c r="C11" s="826"/>
      <c r="D11" s="23" t="s">
        <v>25</v>
      </c>
      <c r="E11" s="67">
        <f>SUM(E12:E30)</f>
        <v>22101736</v>
      </c>
      <c r="F11" s="67">
        <f>SUM(F12:F30)</f>
        <v>21946159</v>
      </c>
      <c r="G11" s="67">
        <f>SUM(G12:G30)</f>
        <v>21797243</v>
      </c>
      <c r="H11" s="28">
        <f t="shared" si="0"/>
        <v>99.321448459386446</v>
      </c>
      <c r="I11" s="68">
        <f>SUM(I12:I30)</f>
        <v>20062770</v>
      </c>
      <c r="J11" s="67">
        <f>SUM(J12:J30)</f>
        <v>3970700</v>
      </c>
      <c r="K11" s="67">
        <f>SUM(K12:K30)</f>
        <v>3184125</v>
      </c>
      <c r="L11" s="67">
        <f>SUM(L12:L30)</f>
        <v>3035209</v>
      </c>
      <c r="M11" s="28">
        <f t="shared" si="2"/>
        <v>95.323173556314529</v>
      </c>
      <c r="N11" s="67">
        <f>SUM(N12:N30)</f>
        <v>3650273</v>
      </c>
      <c r="O11" s="67">
        <f>SUM(O12:O30)</f>
        <v>18131036</v>
      </c>
      <c r="P11" s="67">
        <f>SUM(P12:P30)</f>
        <v>18762034</v>
      </c>
      <c r="Q11" s="67">
        <f>SUM(Q12:Q30)</f>
        <v>18762034</v>
      </c>
      <c r="R11" s="28">
        <f t="shared" si="3"/>
        <v>100</v>
      </c>
      <c r="S11" s="67">
        <f>SUM(S12:S30)</f>
        <v>16412497</v>
      </c>
      <c r="T11" s="67">
        <f>SUM(T12:T30)</f>
        <v>0</v>
      </c>
      <c r="U11" s="67">
        <f>SUM(U12:U30)</f>
        <v>35575</v>
      </c>
      <c r="V11" s="67">
        <f>SUM(V12:V30)</f>
        <v>19747</v>
      </c>
      <c r="W11" s="28">
        <f t="shared" si="4"/>
        <v>55.508081517919884</v>
      </c>
      <c r="X11" s="67">
        <f>SUM(X12:X30)</f>
        <v>0</v>
      </c>
    </row>
    <row r="12" spans="1:24" s="6" customFormat="1" ht="9.9499999999999993" customHeight="1" x14ac:dyDescent="0.2">
      <c r="A12" s="37" t="s">
        <v>8</v>
      </c>
      <c r="B12" s="831" t="s">
        <v>28</v>
      </c>
      <c r="C12" s="832"/>
      <c r="D12" s="58" t="s">
        <v>25</v>
      </c>
      <c r="E12" s="70">
        <f t="shared" ref="E12:I27" si="6">SUM(J12,O12)</f>
        <v>527200</v>
      </c>
      <c r="F12" s="71">
        <f t="shared" si="6"/>
        <v>832427</v>
      </c>
      <c r="G12" s="71">
        <f t="shared" si="6"/>
        <v>832157</v>
      </c>
      <c r="H12" s="10">
        <f t="shared" si="0"/>
        <v>99.967564723393167</v>
      </c>
      <c r="I12" s="72">
        <f t="shared" si="6"/>
        <v>552486</v>
      </c>
      <c r="J12" s="89">
        <v>320700</v>
      </c>
      <c r="K12" s="90">
        <v>596748</v>
      </c>
      <c r="L12" s="90">
        <v>596478</v>
      </c>
      <c r="M12" s="10">
        <f t="shared" si="2"/>
        <v>99.954754770858045</v>
      </c>
      <c r="N12" s="90">
        <v>369665</v>
      </c>
      <c r="O12" s="92">
        <v>206500</v>
      </c>
      <c r="P12" s="90">
        <v>235679</v>
      </c>
      <c r="Q12" s="90">
        <v>235679</v>
      </c>
      <c r="R12" s="10">
        <f t="shared" si="3"/>
        <v>100</v>
      </c>
      <c r="S12" s="90">
        <v>182821</v>
      </c>
      <c r="T12" s="92"/>
      <c r="U12" s="90">
        <v>952</v>
      </c>
      <c r="V12" s="90">
        <v>1028</v>
      </c>
      <c r="W12" s="10">
        <f t="shared" si="4"/>
        <v>107.98319327731092</v>
      </c>
      <c r="X12" s="94"/>
    </row>
    <row r="13" spans="1:24" s="6" customFormat="1" ht="9.9499999999999993" customHeight="1" x14ac:dyDescent="0.2">
      <c r="A13" s="38" t="s">
        <v>10</v>
      </c>
      <c r="B13" s="815" t="s">
        <v>29</v>
      </c>
      <c r="C13" s="816"/>
      <c r="D13" s="56" t="s">
        <v>25</v>
      </c>
      <c r="E13" s="77">
        <f t="shared" si="6"/>
        <v>2500000</v>
      </c>
      <c r="F13" s="78">
        <f t="shared" si="6"/>
        <v>869000</v>
      </c>
      <c r="G13" s="78">
        <f t="shared" si="6"/>
        <v>739098</v>
      </c>
      <c r="H13" s="11">
        <f t="shared" si="0"/>
        <v>85.051553509781357</v>
      </c>
      <c r="I13" s="79">
        <f t="shared" si="6"/>
        <v>2109459</v>
      </c>
      <c r="J13" s="95">
        <v>2500000</v>
      </c>
      <c r="K13" s="78">
        <v>869000</v>
      </c>
      <c r="L13" s="78">
        <v>739098</v>
      </c>
      <c r="M13" s="11">
        <f t="shared" si="2"/>
        <v>85.051553509781357</v>
      </c>
      <c r="N13" s="78">
        <v>2109459</v>
      </c>
      <c r="O13" s="77"/>
      <c r="P13" s="78"/>
      <c r="Q13" s="78"/>
      <c r="R13" s="11" t="e">
        <f t="shared" si="3"/>
        <v>#DIV/0!</v>
      </c>
      <c r="S13" s="78"/>
      <c r="T13" s="77"/>
      <c r="U13" s="78">
        <v>14000</v>
      </c>
      <c r="V13" s="78">
        <v>8880</v>
      </c>
      <c r="W13" s="11">
        <f t="shared" si="4"/>
        <v>63.428571428571423</v>
      </c>
      <c r="X13" s="81"/>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c r="K14" s="78"/>
      <c r="L14" s="78"/>
      <c r="M14" s="11" t="e">
        <f t="shared" si="2"/>
        <v>#DIV/0!</v>
      </c>
      <c r="N14" s="78"/>
      <c r="O14" s="77"/>
      <c r="P14" s="78"/>
      <c r="Q14" s="78"/>
      <c r="R14" s="11" t="e">
        <f t="shared" si="3"/>
        <v>#DIV/0!</v>
      </c>
      <c r="S14" s="78"/>
      <c r="T14" s="77"/>
      <c r="U14" s="78"/>
      <c r="V14" s="78"/>
      <c r="W14" s="11" t="e">
        <f t="shared" si="4"/>
        <v>#DIV/0!</v>
      </c>
      <c r="X14" s="81"/>
    </row>
    <row r="15" spans="1:24" s="6" customFormat="1" ht="9.9499999999999993" customHeight="1" x14ac:dyDescent="0.2">
      <c r="A15" s="38" t="s">
        <v>12</v>
      </c>
      <c r="B15" s="815" t="s">
        <v>68</v>
      </c>
      <c r="C15" s="816"/>
      <c r="D15" s="56" t="s">
        <v>25</v>
      </c>
      <c r="E15" s="77">
        <f t="shared" si="6"/>
        <v>345000</v>
      </c>
      <c r="F15" s="78">
        <f t="shared" si="6"/>
        <v>552239</v>
      </c>
      <c r="G15" s="78">
        <f t="shared" si="6"/>
        <v>549953</v>
      </c>
      <c r="H15" s="11">
        <f t="shared" si="0"/>
        <v>99.586048794090971</v>
      </c>
      <c r="I15" s="79">
        <f t="shared" si="6"/>
        <v>316543</v>
      </c>
      <c r="J15" s="95">
        <v>345000</v>
      </c>
      <c r="K15" s="78">
        <v>552239</v>
      </c>
      <c r="L15" s="78">
        <v>549953</v>
      </c>
      <c r="M15" s="11">
        <f t="shared" si="2"/>
        <v>99.586048794090971</v>
      </c>
      <c r="N15" s="78">
        <v>316543</v>
      </c>
      <c r="O15" s="77"/>
      <c r="P15" s="78"/>
      <c r="Q15" s="78"/>
      <c r="R15" s="11" t="e">
        <f t="shared" si="3"/>
        <v>#DIV/0!</v>
      </c>
      <c r="S15" s="78"/>
      <c r="T15" s="77"/>
      <c r="U15" s="78">
        <v>12761</v>
      </c>
      <c r="V15" s="78">
        <v>231</v>
      </c>
      <c r="W15" s="11">
        <f t="shared" si="4"/>
        <v>1.8102029621503017</v>
      </c>
      <c r="X15" s="81"/>
    </row>
    <row r="16" spans="1:24" s="6" customFormat="1" ht="9.9499999999999993" customHeight="1" x14ac:dyDescent="0.2">
      <c r="A16" s="38" t="s">
        <v>13</v>
      </c>
      <c r="B16" s="815" t="s">
        <v>30</v>
      </c>
      <c r="C16" s="816"/>
      <c r="D16" s="56" t="s">
        <v>25</v>
      </c>
      <c r="E16" s="77">
        <f t="shared" si="6"/>
        <v>56000</v>
      </c>
      <c r="F16" s="78">
        <f t="shared" si="6"/>
        <v>40351</v>
      </c>
      <c r="G16" s="78">
        <f t="shared" si="6"/>
        <v>37233</v>
      </c>
      <c r="H16" s="11">
        <f t="shared" si="0"/>
        <v>92.27280612624223</v>
      </c>
      <c r="I16" s="79">
        <f t="shared" si="6"/>
        <v>37557</v>
      </c>
      <c r="J16" s="95">
        <v>6000</v>
      </c>
      <c r="K16" s="78">
        <v>5400</v>
      </c>
      <c r="L16" s="78">
        <v>2282</v>
      </c>
      <c r="M16" s="11">
        <f t="shared" si="2"/>
        <v>42.25925925925926</v>
      </c>
      <c r="N16" s="78">
        <v>5192</v>
      </c>
      <c r="O16" s="77">
        <v>50000</v>
      </c>
      <c r="P16" s="78">
        <v>34951</v>
      </c>
      <c r="Q16" s="78">
        <v>34951</v>
      </c>
      <c r="R16" s="11">
        <f t="shared" si="3"/>
        <v>100</v>
      </c>
      <c r="S16" s="78">
        <v>32365</v>
      </c>
      <c r="T16" s="77"/>
      <c r="U16" s="78"/>
      <c r="V16" s="78"/>
      <c r="W16" s="11" t="e">
        <f t="shared" si="4"/>
        <v>#DIV/0!</v>
      </c>
      <c r="X16" s="81"/>
    </row>
    <row r="17" spans="1:24" s="6" customFormat="1" ht="9.9499999999999993" customHeight="1" x14ac:dyDescent="0.2">
      <c r="A17" s="38" t="s">
        <v>14</v>
      </c>
      <c r="B17" s="46" t="s">
        <v>49</v>
      </c>
      <c r="C17" s="47"/>
      <c r="D17" s="56" t="s">
        <v>25</v>
      </c>
      <c r="E17" s="77">
        <f t="shared" si="6"/>
        <v>4000</v>
      </c>
      <c r="F17" s="78">
        <f t="shared" si="6"/>
        <v>4000</v>
      </c>
      <c r="G17" s="78">
        <f t="shared" si="6"/>
        <v>3999</v>
      </c>
      <c r="H17" s="11">
        <f t="shared" si="0"/>
        <v>99.975000000000009</v>
      </c>
      <c r="I17" s="79">
        <f t="shared" si="6"/>
        <v>4030</v>
      </c>
      <c r="J17" s="95">
        <v>4000</v>
      </c>
      <c r="K17" s="78">
        <v>4000</v>
      </c>
      <c r="L17" s="78">
        <v>3999</v>
      </c>
      <c r="M17" s="11">
        <f t="shared" si="2"/>
        <v>99.975000000000009</v>
      </c>
      <c r="N17" s="78">
        <v>4030</v>
      </c>
      <c r="O17" s="77"/>
      <c r="P17" s="78"/>
      <c r="Q17" s="78"/>
      <c r="R17" s="11" t="e">
        <f t="shared" si="3"/>
        <v>#DIV/0!</v>
      </c>
      <c r="S17" s="78"/>
      <c r="T17" s="77"/>
      <c r="U17" s="78"/>
      <c r="V17" s="78"/>
      <c r="W17" s="11" t="e">
        <f t="shared" si="4"/>
        <v>#DIV/0!</v>
      </c>
      <c r="X17" s="81"/>
    </row>
    <row r="18" spans="1:24" s="6" customFormat="1" ht="9.9499999999999993" customHeight="1" x14ac:dyDescent="0.2">
      <c r="A18" s="38" t="s">
        <v>15</v>
      </c>
      <c r="B18" s="815" t="s">
        <v>31</v>
      </c>
      <c r="C18" s="816"/>
      <c r="D18" s="56" t="s">
        <v>25</v>
      </c>
      <c r="E18" s="77">
        <f t="shared" si="6"/>
        <v>397200</v>
      </c>
      <c r="F18" s="78">
        <f t="shared" si="6"/>
        <v>297531</v>
      </c>
      <c r="G18" s="78">
        <f t="shared" si="6"/>
        <v>297449</v>
      </c>
      <c r="H18" s="11">
        <f t="shared" si="0"/>
        <v>99.972439846604217</v>
      </c>
      <c r="I18" s="79">
        <f t="shared" si="6"/>
        <v>339200</v>
      </c>
      <c r="J18" s="95">
        <v>295000</v>
      </c>
      <c r="K18" s="78">
        <v>261738</v>
      </c>
      <c r="L18" s="78">
        <v>261656</v>
      </c>
      <c r="M18" s="11">
        <f t="shared" si="2"/>
        <v>99.968670961037375</v>
      </c>
      <c r="N18" s="78">
        <v>300535</v>
      </c>
      <c r="O18" s="77">
        <v>102200</v>
      </c>
      <c r="P18" s="78">
        <v>35793</v>
      </c>
      <c r="Q18" s="78">
        <v>35793</v>
      </c>
      <c r="R18" s="11">
        <f t="shared" si="3"/>
        <v>100</v>
      </c>
      <c r="S18" s="78">
        <v>38665</v>
      </c>
      <c r="T18" s="77"/>
      <c r="U18" s="78">
        <v>1652</v>
      </c>
      <c r="V18" s="78">
        <v>2200</v>
      </c>
      <c r="W18" s="11">
        <f t="shared" si="4"/>
        <v>133.17191283292976</v>
      </c>
      <c r="X18" s="81"/>
    </row>
    <row r="19" spans="1:24" s="12" customFormat="1" ht="9.9499999999999993" customHeight="1" x14ac:dyDescent="0.2">
      <c r="A19" s="38" t="s">
        <v>16</v>
      </c>
      <c r="B19" s="815" t="s">
        <v>32</v>
      </c>
      <c r="C19" s="816"/>
      <c r="D19" s="56" t="s">
        <v>25</v>
      </c>
      <c r="E19" s="77">
        <f t="shared" si="6"/>
        <v>13437397</v>
      </c>
      <c r="F19" s="78">
        <f t="shared" si="6"/>
        <v>13929826</v>
      </c>
      <c r="G19" s="78">
        <f t="shared" si="6"/>
        <v>13929668</v>
      </c>
      <c r="H19" s="11">
        <f t="shared" si="0"/>
        <v>99.998865743190194</v>
      </c>
      <c r="I19" s="79">
        <f t="shared" si="6"/>
        <v>12210554</v>
      </c>
      <c r="J19" s="96">
        <v>347000</v>
      </c>
      <c r="K19" s="78">
        <v>361000</v>
      </c>
      <c r="L19" s="78">
        <v>360842</v>
      </c>
      <c r="M19" s="11">
        <f t="shared" si="2"/>
        <v>99.956232686980613</v>
      </c>
      <c r="N19" s="78">
        <v>313575</v>
      </c>
      <c r="O19" s="77">
        <v>13090397</v>
      </c>
      <c r="P19" s="78">
        <v>13568826</v>
      </c>
      <c r="Q19" s="78">
        <v>13568826</v>
      </c>
      <c r="R19" s="11">
        <f t="shared" si="3"/>
        <v>100</v>
      </c>
      <c r="S19" s="78">
        <v>11896979</v>
      </c>
      <c r="T19" s="119"/>
      <c r="U19" s="97">
        <v>4610</v>
      </c>
      <c r="V19" s="97">
        <v>5478</v>
      </c>
      <c r="W19" s="11">
        <f t="shared" si="4"/>
        <v>118.82863340563992</v>
      </c>
      <c r="X19" s="123"/>
    </row>
    <row r="20" spans="1:24" s="6" customFormat="1" ht="9.9499999999999993" customHeight="1" x14ac:dyDescent="0.2">
      <c r="A20" s="38" t="s">
        <v>17</v>
      </c>
      <c r="B20" s="815" t="s">
        <v>50</v>
      </c>
      <c r="C20" s="816"/>
      <c r="D20" s="56" t="s">
        <v>25</v>
      </c>
      <c r="E20" s="77">
        <f t="shared" si="6"/>
        <v>4547255</v>
      </c>
      <c r="F20" s="78">
        <f t="shared" si="6"/>
        <v>4716310</v>
      </c>
      <c r="G20" s="78">
        <f t="shared" si="6"/>
        <v>4707250</v>
      </c>
      <c r="H20" s="11">
        <f t="shared" si="0"/>
        <v>99.807900668107067</v>
      </c>
      <c r="I20" s="79">
        <f t="shared" si="6"/>
        <v>4149623</v>
      </c>
      <c r="J20" s="95">
        <v>46000</v>
      </c>
      <c r="K20" s="78">
        <v>57000</v>
      </c>
      <c r="L20" s="78">
        <v>47940</v>
      </c>
      <c r="M20" s="11">
        <f t="shared" si="2"/>
        <v>84.10526315789474</v>
      </c>
      <c r="N20" s="78">
        <v>68181</v>
      </c>
      <c r="O20" s="77">
        <v>4501255</v>
      </c>
      <c r="P20" s="78">
        <v>4659310</v>
      </c>
      <c r="Q20" s="78">
        <v>4659310</v>
      </c>
      <c r="R20" s="11">
        <f t="shared" si="3"/>
        <v>100</v>
      </c>
      <c r="S20" s="78">
        <v>4081442</v>
      </c>
      <c r="T20" s="77"/>
      <c r="U20" s="78">
        <v>1550</v>
      </c>
      <c r="V20" s="78">
        <v>1875</v>
      </c>
      <c r="W20" s="11">
        <f t="shared" si="4"/>
        <v>120.96774193548387</v>
      </c>
      <c r="X20" s="81"/>
    </row>
    <row r="21" spans="1:24" s="6" customFormat="1" ht="9.9499999999999993" customHeight="1" x14ac:dyDescent="0.2">
      <c r="A21" s="38" t="s">
        <v>18</v>
      </c>
      <c r="B21" s="815" t="s">
        <v>51</v>
      </c>
      <c r="C21" s="816"/>
      <c r="D21" s="56" t="s">
        <v>25</v>
      </c>
      <c r="E21" s="77">
        <f t="shared" si="6"/>
        <v>146684</v>
      </c>
      <c r="F21" s="78">
        <f t="shared" si="6"/>
        <v>151750</v>
      </c>
      <c r="G21" s="78">
        <f t="shared" si="6"/>
        <v>149182</v>
      </c>
      <c r="H21" s="11">
        <f t="shared" si="0"/>
        <v>98.307742998352552</v>
      </c>
      <c r="I21" s="79">
        <f t="shared" si="6"/>
        <v>134224</v>
      </c>
      <c r="J21" s="95">
        <v>16000</v>
      </c>
      <c r="K21" s="78">
        <v>17000</v>
      </c>
      <c r="L21" s="78">
        <v>14432</v>
      </c>
      <c r="M21" s="11">
        <f t="shared" si="2"/>
        <v>84.89411764705882</v>
      </c>
      <c r="N21" s="78">
        <v>16121</v>
      </c>
      <c r="O21" s="77">
        <v>130684</v>
      </c>
      <c r="P21" s="78">
        <v>134750</v>
      </c>
      <c r="Q21" s="78">
        <v>134750</v>
      </c>
      <c r="R21" s="11">
        <f t="shared" si="3"/>
        <v>100</v>
      </c>
      <c r="S21" s="78">
        <v>118103</v>
      </c>
      <c r="T21" s="77"/>
      <c r="U21" s="78">
        <v>50</v>
      </c>
      <c r="V21" s="78">
        <v>55</v>
      </c>
      <c r="W21" s="11">
        <f t="shared" si="4"/>
        <v>110.00000000000001</v>
      </c>
      <c r="X21" s="81"/>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c r="K22" s="78"/>
      <c r="L22" s="78"/>
      <c r="M22" s="11" t="e">
        <f t="shared" si="2"/>
        <v>#DIV/0!</v>
      </c>
      <c r="N22" s="78"/>
      <c r="O22" s="77"/>
      <c r="P22" s="78"/>
      <c r="Q22" s="78"/>
      <c r="R22" s="11" t="e">
        <f t="shared" si="3"/>
        <v>#DIV/0!</v>
      </c>
      <c r="S22" s="78"/>
      <c r="T22" s="77"/>
      <c r="U22" s="78"/>
      <c r="V22" s="78"/>
      <c r="W22" s="11" t="e">
        <f t="shared" si="4"/>
        <v>#DIV/0!</v>
      </c>
      <c r="X22" s="81"/>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0</v>
      </c>
      <c r="J23" s="95"/>
      <c r="K23" s="78"/>
      <c r="L23" s="78"/>
      <c r="M23" s="11" t="e">
        <f t="shared" si="2"/>
        <v>#DIV/0!</v>
      </c>
      <c r="N23" s="78"/>
      <c r="O23" s="77"/>
      <c r="P23" s="78"/>
      <c r="Q23" s="78"/>
      <c r="R23" s="11" t="e">
        <f t="shared" si="3"/>
        <v>#DIV/0!</v>
      </c>
      <c r="S23" s="78"/>
      <c r="T23" s="77"/>
      <c r="U23" s="78"/>
      <c r="V23" s="78"/>
      <c r="W23" s="11"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8"/>
      <c r="O24" s="77"/>
      <c r="P24" s="78"/>
      <c r="Q24" s="78"/>
      <c r="R24" s="11" t="e">
        <f t="shared" si="3"/>
        <v>#DIV/0!</v>
      </c>
      <c r="S24" s="78"/>
      <c r="T24" s="77"/>
      <c r="U24" s="78"/>
      <c r="V24" s="78"/>
      <c r="W24" s="11" t="e">
        <f t="shared" si="4"/>
        <v>#DIV/0!</v>
      </c>
      <c r="X24" s="81"/>
    </row>
    <row r="25" spans="1:24" s="6" customFormat="1" ht="9.9499999999999993" customHeight="1" x14ac:dyDescent="0.2">
      <c r="A25" s="39" t="s">
        <v>22</v>
      </c>
      <c r="B25" s="48" t="s">
        <v>71</v>
      </c>
      <c r="C25" s="49"/>
      <c r="D25" s="56" t="s">
        <v>25</v>
      </c>
      <c r="E25" s="77">
        <f t="shared" si="6"/>
        <v>0</v>
      </c>
      <c r="F25" s="78">
        <f t="shared" si="6"/>
        <v>0</v>
      </c>
      <c r="G25" s="78">
        <f t="shared" si="6"/>
        <v>0</v>
      </c>
      <c r="H25" s="11" t="e">
        <f t="shared" si="0"/>
        <v>#DIV/0!</v>
      </c>
      <c r="I25" s="79">
        <f t="shared" si="6"/>
        <v>0</v>
      </c>
      <c r="J25" s="95"/>
      <c r="K25" s="98"/>
      <c r="L25" s="98"/>
      <c r="M25" s="11" t="e">
        <f t="shared" si="2"/>
        <v>#DIV/0!</v>
      </c>
      <c r="N25" s="98"/>
      <c r="O25" s="100"/>
      <c r="P25" s="98"/>
      <c r="Q25" s="98"/>
      <c r="R25" s="11" t="e">
        <f t="shared" si="3"/>
        <v>#DIV/0!</v>
      </c>
      <c r="S25" s="98"/>
      <c r="T25" s="100"/>
      <c r="U25" s="98"/>
      <c r="V25" s="98"/>
      <c r="W25" s="11" t="e">
        <f t="shared" si="4"/>
        <v>#DIV/0!</v>
      </c>
      <c r="X25" s="124"/>
    </row>
    <row r="26" spans="1:24" s="14" customFormat="1" ht="9.9499999999999993" customHeight="1" x14ac:dyDescent="0.2">
      <c r="A26" s="38" t="s">
        <v>23</v>
      </c>
      <c r="B26" s="815" t="s">
        <v>72</v>
      </c>
      <c r="C26" s="816"/>
      <c r="D26" s="56" t="s">
        <v>25</v>
      </c>
      <c r="E26" s="77">
        <f t="shared" si="6"/>
        <v>0</v>
      </c>
      <c r="F26" s="78">
        <f t="shared" si="6"/>
        <v>7000</v>
      </c>
      <c r="G26" s="78">
        <f t="shared" si="6"/>
        <v>6648</v>
      </c>
      <c r="H26" s="11">
        <f t="shared" si="0"/>
        <v>94.971428571428575</v>
      </c>
      <c r="I26" s="79">
        <f t="shared" si="6"/>
        <v>23230</v>
      </c>
      <c r="J26" s="95"/>
      <c r="K26" s="103">
        <v>7000</v>
      </c>
      <c r="L26" s="103">
        <v>6648</v>
      </c>
      <c r="M26" s="11">
        <f t="shared" si="2"/>
        <v>94.971428571428575</v>
      </c>
      <c r="N26" s="103">
        <v>23230</v>
      </c>
      <c r="O26" s="102"/>
      <c r="P26" s="103"/>
      <c r="Q26" s="103"/>
      <c r="R26" s="11" t="e">
        <f t="shared" si="3"/>
        <v>#DIV/0!</v>
      </c>
      <c r="S26" s="103"/>
      <c r="T26" s="120"/>
      <c r="U26" s="105"/>
      <c r="V26" s="105"/>
      <c r="W26" s="11" t="e">
        <f t="shared" si="4"/>
        <v>#DIV/0!</v>
      </c>
      <c r="X26" s="125"/>
    </row>
    <row r="27" spans="1:24" s="16" customFormat="1" ht="9.9499999999999993" customHeight="1" x14ac:dyDescent="0.2">
      <c r="A27" s="38" t="s">
        <v>45</v>
      </c>
      <c r="B27" s="46" t="s">
        <v>73</v>
      </c>
      <c r="C27" s="47"/>
      <c r="D27" s="56" t="s">
        <v>25</v>
      </c>
      <c r="E27" s="77">
        <f t="shared" si="6"/>
        <v>140000</v>
      </c>
      <c r="F27" s="78">
        <f t="shared" si="6"/>
        <v>544725</v>
      </c>
      <c r="G27" s="78">
        <f t="shared" si="6"/>
        <v>544384</v>
      </c>
      <c r="H27" s="11">
        <f t="shared" si="0"/>
        <v>99.93739960530543</v>
      </c>
      <c r="I27" s="79">
        <f t="shared" si="6"/>
        <v>127662</v>
      </c>
      <c r="J27" s="95">
        <v>90000</v>
      </c>
      <c r="K27" s="103">
        <v>452000</v>
      </c>
      <c r="L27" s="103">
        <v>451659</v>
      </c>
      <c r="M27" s="11">
        <f t="shared" si="2"/>
        <v>99.924557522123891</v>
      </c>
      <c r="N27" s="103">
        <v>65540</v>
      </c>
      <c r="O27" s="102">
        <v>50000</v>
      </c>
      <c r="P27" s="103">
        <v>92725</v>
      </c>
      <c r="Q27" s="103">
        <v>92725</v>
      </c>
      <c r="R27" s="11">
        <f t="shared" si="3"/>
        <v>100</v>
      </c>
      <c r="S27" s="103">
        <v>62122</v>
      </c>
      <c r="T27" s="120"/>
      <c r="U27" s="105"/>
      <c r="V27" s="105"/>
      <c r="W27" s="11" t="e">
        <f t="shared" si="4"/>
        <v>#DIV/0!</v>
      </c>
      <c r="X27" s="125"/>
    </row>
    <row r="28" spans="1:24" s="14" customFormat="1" ht="9.9499999999999993" customHeight="1" x14ac:dyDescent="0.2">
      <c r="A28" s="38" t="s">
        <v>53</v>
      </c>
      <c r="B28" s="815" t="s">
        <v>74</v>
      </c>
      <c r="C28" s="816"/>
      <c r="D28" s="56" t="s">
        <v>25</v>
      </c>
      <c r="E28" s="77">
        <f t="shared" ref="E28:G30" si="7">SUM(J28,O28)</f>
        <v>0</v>
      </c>
      <c r="F28" s="78">
        <f t="shared" si="7"/>
        <v>0</v>
      </c>
      <c r="G28" s="78">
        <f t="shared" si="7"/>
        <v>0</v>
      </c>
      <c r="H28" s="11" t="e">
        <f t="shared" si="0"/>
        <v>#DIV/0!</v>
      </c>
      <c r="I28" s="79">
        <f>SUM(N28,S28)</f>
        <v>56980</v>
      </c>
      <c r="J28" s="95"/>
      <c r="K28" s="103"/>
      <c r="L28" s="103"/>
      <c r="M28" s="11" t="e">
        <f t="shared" si="2"/>
        <v>#DIV/0!</v>
      </c>
      <c r="N28" s="103">
        <v>56980</v>
      </c>
      <c r="O28" s="102"/>
      <c r="P28" s="103"/>
      <c r="Q28" s="103"/>
      <c r="R28" s="11" t="e">
        <f t="shared" si="3"/>
        <v>#DIV/0!</v>
      </c>
      <c r="S28" s="103"/>
      <c r="T28" s="120"/>
      <c r="U28" s="105"/>
      <c r="V28" s="105"/>
      <c r="W28" s="11" t="e">
        <f t="shared" si="4"/>
        <v>#DIV/0!</v>
      </c>
      <c r="X28" s="125"/>
    </row>
    <row r="29" spans="1:24" s="6" customFormat="1" ht="9.75" x14ac:dyDescent="0.2">
      <c r="A29" s="38" t="s">
        <v>54</v>
      </c>
      <c r="B29" s="46" t="s">
        <v>55</v>
      </c>
      <c r="C29" s="47"/>
      <c r="D29" s="56" t="s">
        <v>25</v>
      </c>
      <c r="E29" s="77">
        <f t="shared" si="7"/>
        <v>1000</v>
      </c>
      <c r="F29" s="78">
        <f t="shared" si="7"/>
        <v>1000</v>
      </c>
      <c r="G29" s="78">
        <f t="shared" si="7"/>
        <v>222</v>
      </c>
      <c r="H29" s="11">
        <f t="shared" si="0"/>
        <v>22.2</v>
      </c>
      <c r="I29" s="79">
        <f>SUM(N29,S29)</f>
        <v>1222</v>
      </c>
      <c r="J29" s="95">
        <v>1000</v>
      </c>
      <c r="K29" s="103">
        <v>1000</v>
      </c>
      <c r="L29" s="103">
        <v>222</v>
      </c>
      <c r="M29" s="11">
        <f t="shared" si="2"/>
        <v>22.2</v>
      </c>
      <c r="N29" s="103">
        <v>1222</v>
      </c>
      <c r="O29" s="102"/>
      <c r="P29" s="103"/>
      <c r="Q29" s="103"/>
      <c r="R29" s="11" t="e">
        <f t="shared" si="3"/>
        <v>#DIV/0!</v>
      </c>
      <c r="S29" s="103"/>
      <c r="T29" s="120"/>
      <c r="U29" s="105"/>
      <c r="V29" s="105"/>
      <c r="W29" s="11" t="e">
        <f t="shared" si="4"/>
        <v>#DIV/0!</v>
      </c>
      <c r="X29" s="125"/>
    </row>
    <row r="30" spans="1:24" s="27" customFormat="1" ht="9.75" x14ac:dyDescent="0.2">
      <c r="A30" s="40" t="s">
        <v>56</v>
      </c>
      <c r="B30" s="44" t="s">
        <v>75</v>
      </c>
      <c r="C30" s="50"/>
      <c r="D30" s="59" t="s">
        <v>25</v>
      </c>
      <c r="E30" s="82">
        <f t="shared" si="7"/>
        <v>0</v>
      </c>
      <c r="F30" s="83">
        <f t="shared" si="7"/>
        <v>0</v>
      </c>
      <c r="G30" s="83">
        <f t="shared" si="7"/>
        <v>0</v>
      </c>
      <c r="H30" s="31" t="e">
        <f t="shared" si="0"/>
        <v>#DIV/0!</v>
      </c>
      <c r="I30" s="84">
        <f>SUM(N30,S30)</f>
        <v>0</v>
      </c>
      <c r="J30" s="106"/>
      <c r="K30" s="107"/>
      <c r="L30" s="107"/>
      <c r="M30" s="31" t="e">
        <f t="shared" si="2"/>
        <v>#DIV/0!</v>
      </c>
      <c r="N30" s="107"/>
      <c r="O30" s="109"/>
      <c r="P30" s="107"/>
      <c r="Q30" s="107"/>
      <c r="R30" s="31" t="e">
        <f t="shared" si="3"/>
        <v>#DIV/0!</v>
      </c>
      <c r="S30" s="107"/>
      <c r="T30" s="121"/>
      <c r="U30" s="110"/>
      <c r="V30" s="110"/>
      <c r="W30" s="31" t="e">
        <f t="shared" si="4"/>
        <v>#DIV/0!</v>
      </c>
      <c r="X30" s="126"/>
    </row>
    <row r="31" spans="1:24" s="27" customFormat="1" ht="9.75" x14ac:dyDescent="0.2">
      <c r="A31" s="33" t="s">
        <v>57</v>
      </c>
      <c r="B31" s="817" t="s">
        <v>58</v>
      </c>
      <c r="C31" s="818"/>
      <c r="D31" s="22" t="s">
        <v>25</v>
      </c>
      <c r="E31" s="67">
        <f>SUM(E6-E11)</f>
        <v>0</v>
      </c>
      <c r="F31" s="67">
        <f>SUM(F6-F11)</f>
        <v>-20425</v>
      </c>
      <c r="G31" s="67">
        <f>SUM(G6-G11)</f>
        <v>133008</v>
      </c>
      <c r="H31" s="21">
        <f t="shared" si="0"/>
        <v>-651.20195838433301</v>
      </c>
      <c r="I31" s="68">
        <f>SUM(I6-I11)</f>
        <v>279123</v>
      </c>
      <c r="J31" s="67">
        <f>SUM(J6-J11)</f>
        <v>0</v>
      </c>
      <c r="K31" s="67">
        <f>SUM(K6-K11)</f>
        <v>-20425</v>
      </c>
      <c r="L31" s="67">
        <f>SUM(L6-L11)</f>
        <v>133008</v>
      </c>
      <c r="M31" s="21">
        <f t="shared" si="2"/>
        <v>-651.20195838433301</v>
      </c>
      <c r="N31" s="67">
        <f>SUM(N6-N11)</f>
        <v>279123</v>
      </c>
      <c r="O31" s="67">
        <f>SUM(O6-O11)</f>
        <v>0</v>
      </c>
      <c r="P31" s="67">
        <f>SUM(P6-P11)</f>
        <v>0</v>
      </c>
      <c r="Q31" s="67">
        <f>SUM(Q6-Q11)</f>
        <v>0</v>
      </c>
      <c r="R31" s="21" t="e">
        <f t="shared" si="3"/>
        <v>#DIV/0!</v>
      </c>
      <c r="S31" s="67">
        <f>SUM(S6-S11)</f>
        <v>0</v>
      </c>
      <c r="T31" s="67">
        <f>SUM(T6-T11)</f>
        <v>0</v>
      </c>
      <c r="U31" s="67">
        <f>SUM(U6-U11)</f>
        <v>20425</v>
      </c>
      <c r="V31" s="67">
        <f>SUM(V6-V11)</f>
        <v>52588</v>
      </c>
      <c r="W31" s="21">
        <f t="shared" si="4"/>
        <v>257.468788249694</v>
      </c>
      <c r="X31" s="67">
        <f>SUM(X6-X11)</f>
        <v>0</v>
      </c>
    </row>
    <row r="32" spans="1:24" s="27" customFormat="1" ht="9.75" x14ac:dyDescent="0.2">
      <c r="A32" s="41" t="s">
        <v>59</v>
      </c>
      <c r="B32" s="60" t="s">
        <v>76</v>
      </c>
      <c r="C32" s="61"/>
      <c r="D32" s="22" t="s">
        <v>25</v>
      </c>
      <c r="E32" s="130">
        <f>SUM(J32,O32)</f>
        <v>0</v>
      </c>
      <c r="F32" s="131">
        <f>SUM(K32,P32)</f>
        <v>0</v>
      </c>
      <c r="G32" s="131">
        <f>SUM(L32,Q32)</f>
        <v>0</v>
      </c>
      <c r="H32" s="26" t="e">
        <f t="shared" si="0"/>
        <v>#DIV/0!</v>
      </c>
      <c r="I32" s="132">
        <f>SUM(N32,S32)</f>
        <v>0</v>
      </c>
      <c r="J32" s="112"/>
      <c r="K32" s="113"/>
      <c r="L32" s="113"/>
      <c r="M32" s="9" t="e">
        <f t="shared" si="2"/>
        <v>#DIV/0!</v>
      </c>
      <c r="N32" s="113"/>
      <c r="O32" s="115"/>
      <c r="P32" s="113"/>
      <c r="Q32" s="113"/>
      <c r="R32" s="9" t="e">
        <f t="shared" si="3"/>
        <v>#DIV/0!</v>
      </c>
      <c r="S32" s="113"/>
      <c r="T32" s="115"/>
      <c r="U32" s="113"/>
      <c r="V32" s="113"/>
      <c r="W32" s="9" t="e">
        <f t="shared" si="4"/>
        <v>#DIV/0!</v>
      </c>
      <c r="X32" s="116"/>
    </row>
    <row r="33" spans="1:24" s="27" customFormat="1" ht="9.75" x14ac:dyDescent="0.2">
      <c r="A33" s="33" t="s">
        <v>60</v>
      </c>
      <c r="B33" s="24" t="s">
        <v>61</v>
      </c>
      <c r="C33" s="25"/>
      <c r="D33" s="22" t="s">
        <v>25</v>
      </c>
      <c r="E33" s="67">
        <f>E31-E32</f>
        <v>0</v>
      </c>
      <c r="F33" s="67">
        <f>F31-F32</f>
        <v>-20425</v>
      </c>
      <c r="G33" s="67">
        <f>G31-G32</f>
        <v>133008</v>
      </c>
      <c r="H33" s="29">
        <f t="shared" si="0"/>
        <v>-651.20195838433301</v>
      </c>
      <c r="I33" s="68">
        <f>I31-I32</f>
        <v>279123</v>
      </c>
      <c r="J33" s="67">
        <f>J31-J32</f>
        <v>0</v>
      </c>
      <c r="K33" s="67">
        <f>K31-K32</f>
        <v>-20425</v>
      </c>
      <c r="L33" s="67">
        <f>L31-L32</f>
        <v>133008</v>
      </c>
      <c r="M33" s="21">
        <f t="shared" si="2"/>
        <v>-651.20195838433301</v>
      </c>
      <c r="N33" s="67">
        <f>N31-N32</f>
        <v>279123</v>
      </c>
      <c r="O33" s="67">
        <f>O31-O32</f>
        <v>0</v>
      </c>
      <c r="P33" s="67">
        <f>P31-P32</f>
        <v>0</v>
      </c>
      <c r="Q33" s="67">
        <f>Q31-Q32</f>
        <v>0</v>
      </c>
      <c r="R33" s="21" t="e">
        <f t="shared" si="3"/>
        <v>#DIV/0!</v>
      </c>
      <c r="S33" s="67">
        <f>S31-S32</f>
        <v>0</v>
      </c>
      <c r="T33" s="67">
        <f>T31-T32</f>
        <v>0</v>
      </c>
      <c r="U33" s="67">
        <f>U31-U32</f>
        <v>20425</v>
      </c>
      <c r="V33" s="67">
        <f>V31-V32</f>
        <v>52588</v>
      </c>
      <c r="W33" s="21">
        <f t="shared" si="4"/>
        <v>257.468788249694</v>
      </c>
      <c r="X33" s="67">
        <f>X31-X32</f>
        <v>0</v>
      </c>
    </row>
    <row r="34" spans="1:24" s="136" customFormat="1" ht="9" x14ac:dyDescent="0.2">
      <c r="A34" s="42" t="s">
        <v>62</v>
      </c>
      <c r="B34" s="813" t="s">
        <v>24</v>
      </c>
      <c r="C34" s="814"/>
      <c r="D34" s="62" t="s">
        <v>25</v>
      </c>
      <c r="E34" s="144">
        <v>24000</v>
      </c>
      <c r="F34" s="145">
        <v>24000</v>
      </c>
      <c r="G34" s="145">
        <v>24851</v>
      </c>
      <c r="H34" s="13">
        <f t="shared" si="0"/>
        <v>103.54583333333333</v>
      </c>
      <c r="I34" s="145">
        <v>23664</v>
      </c>
      <c r="J34" s="804"/>
      <c r="K34" s="805"/>
      <c r="L34" s="805"/>
      <c r="M34" s="805"/>
      <c r="N34" s="805"/>
      <c r="O34" s="805"/>
      <c r="P34" s="805"/>
      <c r="Q34" s="805"/>
      <c r="R34" s="805"/>
      <c r="S34" s="805"/>
      <c r="T34" s="805"/>
      <c r="U34" s="805"/>
      <c r="V34" s="805"/>
      <c r="W34" s="805"/>
      <c r="X34" s="806"/>
    </row>
    <row r="35" spans="1:24" s="136" customFormat="1" ht="9" x14ac:dyDescent="0.2">
      <c r="A35" s="32" t="s">
        <v>63</v>
      </c>
      <c r="B35" s="797" t="s">
        <v>33</v>
      </c>
      <c r="C35" s="798"/>
      <c r="D35" s="63" t="s">
        <v>26</v>
      </c>
      <c r="E35" s="147">
        <v>47</v>
      </c>
      <c r="F35" s="148">
        <v>47</v>
      </c>
      <c r="G35" s="148">
        <v>47</v>
      </c>
      <c r="H35" s="15">
        <f t="shared" si="0"/>
        <v>100</v>
      </c>
      <c r="I35" s="148">
        <v>43</v>
      </c>
      <c r="J35" s="804"/>
      <c r="K35" s="805"/>
      <c r="L35" s="805"/>
      <c r="M35" s="805"/>
      <c r="N35" s="805"/>
      <c r="O35" s="805"/>
      <c r="P35" s="805"/>
      <c r="Q35" s="805"/>
      <c r="R35" s="805"/>
      <c r="S35" s="805"/>
      <c r="T35" s="805"/>
      <c r="U35" s="805"/>
      <c r="V35" s="805"/>
      <c r="W35" s="805"/>
      <c r="X35" s="806"/>
    </row>
    <row r="36" spans="1:24" s="136" customFormat="1" ht="9" x14ac:dyDescent="0.2">
      <c r="A36" s="43" t="s">
        <v>64</v>
      </c>
      <c r="B36" s="799" t="s">
        <v>27</v>
      </c>
      <c r="C36" s="800"/>
      <c r="D36" s="64" t="s">
        <v>26</v>
      </c>
      <c r="E36" s="140">
        <v>52</v>
      </c>
      <c r="F36" s="141">
        <v>52</v>
      </c>
      <c r="G36" s="141">
        <v>52</v>
      </c>
      <c r="H36" s="17">
        <f t="shared" si="0"/>
        <v>100</v>
      </c>
      <c r="I36" s="141">
        <v>48</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117"/>
      <c r="K37" s="118"/>
      <c r="L37" s="118"/>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9"/>
  <sheetViews>
    <sheetView tabSelected="1" zoomScaleNormal="100" workbookViewId="0"/>
  </sheetViews>
  <sheetFormatPr defaultRowHeight="12.75" x14ac:dyDescent="0.2"/>
  <cols>
    <col min="1" max="1" width="70.5" style="128" customWidth="1"/>
    <col min="2" max="2" width="33.5" style="128" customWidth="1"/>
    <col min="3" max="5" width="25.75" style="128" customWidth="1"/>
    <col min="6" max="6" width="22.75" style="128" customWidth="1"/>
    <col min="7" max="8" width="10" style="128"/>
    <col min="9" max="9" width="18" style="128" customWidth="1"/>
  </cols>
  <sheetData>
    <row r="1" spans="1:9" ht="18.75" x14ac:dyDescent="0.3">
      <c r="A1" s="127" t="s">
        <v>97</v>
      </c>
      <c r="B1" s="127"/>
      <c r="C1" s="127"/>
      <c r="D1" s="127"/>
      <c r="E1" s="127"/>
      <c r="F1" s="127"/>
      <c r="G1" s="127"/>
      <c r="H1" s="127"/>
      <c r="I1" s="127"/>
    </row>
    <row r="2" spans="1:9" s="128" customFormat="1" x14ac:dyDescent="0.2"/>
    <row r="3" spans="1:9" s="217" customFormat="1" ht="10.5" x14ac:dyDescent="0.15">
      <c r="A3" s="852" t="s">
        <v>133</v>
      </c>
      <c r="B3" s="852"/>
      <c r="C3" s="852"/>
      <c r="D3" s="852"/>
      <c r="E3" s="852"/>
      <c r="F3" s="852"/>
      <c r="G3" s="852"/>
      <c r="H3" s="852"/>
      <c r="I3" s="852"/>
    </row>
    <row r="4" spans="1:9" s="218" customFormat="1" ht="11.25" x14ac:dyDescent="0.2"/>
    <row r="5" spans="1:9" s="219" customFormat="1" ht="9.75" x14ac:dyDescent="0.2">
      <c r="A5" s="870" t="s">
        <v>77</v>
      </c>
      <c r="B5" s="871"/>
      <c r="C5" s="544" t="s">
        <v>25</v>
      </c>
      <c r="D5" s="847" t="s">
        <v>112</v>
      </c>
      <c r="E5" s="847"/>
      <c r="F5" s="847"/>
      <c r="G5" s="847"/>
      <c r="H5" s="847"/>
      <c r="I5" s="847"/>
    </row>
    <row r="6" spans="1:9" s="218" customFormat="1" ht="15" customHeight="1" x14ac:dyDescent="0.2">
      <c r="A6" s="872" t="s">
        <v>134</v>
      </c>
      <c r="B6" s="872"/>
      <c r="C6" s="226">
        <f>SUM(C7:C9)</f>
        <v>125081.42000000001</v>
      </c>
      <c r="D6" s="876"/>
      <c r="E6" s="877"/>
      <c r="F6" s="877"/>
      <c r="G6" s="877"/>
      <c r="H6" s="877"/>
      <c r="I6" s="877"/>
    </row>
    <row r="7" spans="1:9" s="218" customFormat="1" ht="36" customHeight="1" x14ac:dyDescent="0.2">
      <c r="A7" s="873" t="s">
        <v>78</v>
      </c>
      <c r="B7" s="874"/>
      <c r="C7" s="245">
        <v>46050.71</v>
      </c>
      <c r="D7" s="1099" t="s">
        <v>454</v>
      </c>
      <c r="E7" s="1099"/>
      <c r="F7" s="1099"/>
      <c r="G7" s="1099"/>
      <c r="H7" s="1099"/>
      <c r="I7" s="1099"/>
    </row>
    <row r="8" spans="1:9" s="217" customFormat="1" ht="36.75" customHeight="1" x14ac:dyDescent="0.15">
      <c r="A8" s="863" t="s">
        <v>113</v>
      </c>
      <c r="B8" s="864"/>
      <c r="C8" s="261">
        <v>79030.710000000006</v>
      </c>
      <c r="D8" s="1099" t="s">
        <v>415</v>
      </c>
      <c r="E8" s="1099"/>
      <c r="F8" s="1099"/>
      <c r="G8" s="1099"/>
      <c r="H8" s="1099"/>
      <c r="I8" s="1099"/>
    </row>
    <row r="9" spans="1:9" s="217" customFormat="1" ht="15" customHeight="1" x14ac:dyDescent="0.15">
      <c r="A9" s="863" t="s">
        <v>114</v>
      </c>
      <c r="B9" s="864"/>
      <c r="C9" s="261">
        <v>0</v>
      </c>
      <c r="D9" s="921"/>
      <c r="E9" s="922"/>
      <c r="F9" s="922"/>
      <c r="G9" s="922"/>
      <c r="H9" s="922"/>
      <c r="I9" s="923"/>
    </row>
    <row r="10" spans="1:9" s="218" customFormat="1" ht="11.25" x14ac:dyDescent="0.2">
      <c r="C10" s="220"/>
    </row>
    <row r="11" spans="1:9" s="218" customFormat="1" ht="11.25" x14ac:dyDescent="0.2">
      <c r="A11" s="852" t="s">
        <v>135</v>
      </c>
      <c r="B11" s="852"/>
      <c r="C11" s="852"/>
      <c r="D11" s="852"/>
      <c r="E11" s="852"/>
      <c r="F11" s="852"/>
      <c r="G11" s="852"/>
      <c r="H11" s="852"/>
      <c r="I11" s="852"/>
    </row>
    <row r="12" spans="1:9" s="218" customFormat="1" ht="11.25" x14ac:dyDescent="0.2">
      <c r="C12" s="220"/>
      <c r="D12" s="231"/>
      <c r="E12" s="231"/>
      <c r="F12" s="231"/>
      <c r="G12" s="231"/>
      <c r="H12" s="231"/>
      <c r="I12" s="231"/>
    </row>
    <row r="13" spans="1:9" s="221" customFormat="1" ht="9.75" x14ac:dyDescent="0.2">
      <c r="A13" s="544" t="s">
        <v>77</v>
      </c>
      <c r="B13" s="544" t="s">
        <v>79</v>
      </c>
      <c r="C13" s="544" t="s">
        <v>25</v>
      </c>
      <c r="D13" s="470"/>
      <c r="E13" s="436"/>
      <c r="F13" s="436"/>
      <c r="G13" s="436"/>
      <c r="H13" s="436"/>
      <c r="I13" s="436"/>
    </row>
    <row r="14" spans="1:9" s="218" customFormat="1" ht="15" customHeight="1" x14ac:dyDescent="0.2">
      <c r="A14" s="222" t="s">
        <v>136</v>
      </c>
      <c r="B14" s="437"/>
      <c r="C14" s="223">
        <v>0</v>
      </c>
      <c r="D14" s="471"/>
      <c r="E14" s="439"/>
      <c r="F14" s="439"/>
      <c r="G14" s="439"/>
      <c r="H14" s="439"/>
      <c r="I14" s="439"/>
    </row>
    <row r="15" spans="1:9" s="218" customFormat="1" ht="15" customHeight="1" x14ac:dyDescent="0.2">
      <c r="A15" s="868" t="s">
        <v>137</v>
      </c>
      <c r="B15" s="263" t="s">
        <v>80</v>
      </c>
      <c r="C15" s="264">
        <v>125081.42</v>
      </c>
      <c r="D15" s="472"/>
      <c r="E15" s="441"/>
      <c r="F15" s="441"/>
      <c r="G15" s="441"/>
      <c r="H15" s="441"/>
      <c r="I15" s="441"/>
    </row>
    <row r="16" spans="1:9" s="218" customFormat="1" ht="15" customHeight="1" x14ac:dyDescent="0.2">
      <c r="A16" s="869"/>
      <c r="B16" s="262" t="s">
        <v>81</v>
      </c>
      <c r="C16" s="473">
        <v>0</v>
      </c>
      <c r="D16" s="554"/>
      <c r="E16" s="443"/>
      <c r="F16" s="443"/>
      <c r="G16" s="443"/>
      <c r="H16" s="443"/>
      <c r="I16" s="443"/>
    </row>
    <row r="17" spans="1:9" s="218" customFormat="1" ht="15" customHeight="1" x14ac:dyDescent="0.2">
      <c r="A17" s="545" t="s">
        <v>134</v>
      </c>
      <c r="B17" s="445"/>
      <c r="C17" s="226">
        <f>SUM(C14:C16)</f>
        <v>125081.42</v>
      </c>
      <c r="D17" s="447"/>
      <c r="E17" s="447"/>
      <c r="F17" s="447"/>
      <c r="G17" s="447"/>
      <c r="H17" s="447"/>
      <c r="I17" s="447"/>
    </row>
    <row r="18" spans="1:9" s="449" customFormat="1" ht="11.25" x14ac:dyDescent="0.2">
      <c r="A18" s="448"/>
      <c r="C18" s="476"/>
      <c r="D18" s="452"/>
      <c r="E18" s="452"/>
      <c r="F18" s="452"/>
      <c r="G18" s="452"/>
      <c r="H18" s="452"/>
      <c r="I18" s="452"/>
    </row>
    <row r="19" spans="1:9" s="218" customFormat="1" ht="11.25" x14ac:dyDescent="0.2">
      <c r="A19" s="852" t="s">
        <v>138</v>
      </c>
      <c r="B19" s="852"/>
      <c r="C19" s="852"/>
      <c r="D19" s="852"/>
      <c r="E19" s="852"/>
      <c r="F19" s="852"/>
      <c r="G19" s="852"/>
      <c r="H19" s="852"/>
      <c r="I19" s="852"/>
    </row>
    <row r="20" spans="1:9" s="218" customFormat="1" ht="11.25" x14ac:dyDescent="0.2">
      <c r="C20" s="220"/>
    </row>
    <row r="21" spans="1:9" s="224" customFormat="1" ht="9.75" x14ac:dyDescent="0.2">
      <c r="A21" s="544" t="s">
        <v>79</v>
      </c>
      <c r="B21" s="544" t="s">
        <v>139</v>
      </c>
      <c r="C21" s="546" t="s">
        <v>140</v>
      </c>
      <c r="D21" s="544" t="s">
        <v>141</v>
      </c>
      <c r="E21" s="544" t="s">
        <v>142</v>
      </c>
      <c r="F21" s="847" t="s">
        <v>115</v>
      </c>
      <c r="G21" s="847"/>
      <c r="H21" s="847"/>
      <c r="I21" s="847"/>
    </row>
    <row r="22" spans="1:9" s="218" customFormat="1" ht="24.75" customHeight="1" x14ac:dyDescent="0.2">
      <c r="A22" s="265" t="s">
        <v>116</v>
      </c>
      <c r="B22" s="266">
        <v>368526.99</v>
      </c>
      <c r="C22" s="266">
        <v>199512.36</v>
      </c>
      <c r="D22" s="266">
        <v>523823</v>
      </c>
      <c r="E22" s="266">
        <f>B22+C22-D22</f>
        <v>44216.349999999977</v>
      </c>
      <c r="F22" s="1100" t="s">
        <v>396</v>
      </c>
      <c r="G22" s="1101"/>
      <c r="H22" s="1101"/>
      <c r="I22" s="1102"/>
    </row>
    <row r="23" spans="1:9" s="218" customFormat="1" ht="24.75" customHeight="1" x14ac:dyDescent="0.2">
      <c r="A23" s="263" t="s">
        <v>143</v>
      </c>
      <c r="B23" s="267">
        <v>577607.17000000004</v>
      </c>
      <c r="C23" s="267">
        <v>6344.25</v>
      </c>
      <c r="D23" s="267">
        <v>582006</v>
      </c>
      <c r="E23" s="267">
        <f t="shared" ref="E23:E25" si="0">B23+C23-D23</f>
        <v>1945.4200000000419</v>
      </c>
      <c r="F23" s="1103" t="s">
        <v>456</v>
      </c>
      <c r="G23" s="1104"/>
      <c r="H23" s="1104"/>
      <c r="I23" s="1105"/>
    </row>
    <row r="24" spans="1:9" s="218" customFormat="1" ht="24" customHeight="1" x14ac:dyDescent="0.2">
      <c r="A24" s="263" t="s">
        <v>81</v>
      </c>
      <c r="B24" s="267">
        <v>78737</v>
      </c>
      <c r="C24" s="267">
        <v>0</v>
      </c>
      <c r="D24" s="267">
        <v>15000</v>
      </c>
      <c r="E24" s="267">
        <f t="shared" si="0"/>
        <v>63737</v>
      </c>
      <c r="F24" s="1103" t="s">
        <v>416</v>
      </c>
      <c r="G24" s="1104"/>
      <c r="H24" s="1104"/>
      <c r="I24" s="1105"/>
    </row>
    <row r="25" spans="1:9" s="218" customFormat="1" ht="13.5" customHeight="1" x14ac:dyDescent="0.2">
      <c r="A25" s="262" t="s">
        <v>82</v>
      </c>
      <c r="B25" s="268">
        <v>178173.04</v>
      </c>
      <c r="C25" s="268">
        <v>241433</v>
      </c>
      <c r="D25" s="268">
        <v>244705</v>
      </c>
      <c r="E25" s="268">
        <f t="shared" si="0"/>
        <v>174901.04000000004</v>
      </c>
      <c r="F25" s="1107" t="s">
        <v>417</v>
      </c>
      <c r="G25" s="1108"/>
      <c r="H25" s="1108"/>
      <c r="I25" s="1109"/>
    </row>
    <row r="26" spans="1:9" s="217" customFormat="1" ht="10.5" x14ac:dyDescent="0.15">
      <c r="A26" s="225" t="s">
        <v>34</v>
      </c>
      <c r="B26" s="226">
        <f>SUM(B22:B25)</f>
        <v>1203044.2</v>
      </c>
      <c r="C26" s="226">
        <f t="shared" ref="C26:E26" si="1">SUM(C22:C25)</f>
        <v>447289.61</v>
      </c>
      <c r="D26" s="226">
        <f t="shared" si="1"/>
        <v>1365534</v>
      </c>
      <c r="E26" s="226">
        <f t="shared" si="1"/>
        <v>284799.81000000006</v>
      </c>
      <c r="F26" s="850"/>
      <c r="G26" s="850"/>
      <c r="H26" s="850"/>
      <c r="I26" s="851"/>
    </row>
    <row r="27" spans="1:9" s="218" customFormat="1" ht="11.25" x14ac:dyDescent="0.2">
      <c r="C27" s="220"/>
    </row>
    <row r="28" spans="1:9" s="218" customFormat="1" ht="11.25" x14ac:dyDescent="0.2">
      <c r="A28" s="852" t="s">
        <v>144</v>
      </c>
      <c r="B28" s="852"/>
      <c r="C28" s="852"/>
      <c r="D28" s="852"/>
      <c r="E28" s="852"/>
      <c r="F28" s="852"/>
      <c r="G28" s="852"/>
      <c r="H28" s="852"/>
      <c r="I28" s="852"/>
    </row>
    <row r="29" spans="1:9" s="218" customFormat="1" ht="11.25" x14ac:dyDescent="0.2">
      <c r="A29" s="544" t="s">
        <v>83</v>
      </c>
      <c r="B29" s="544" t="s">
        <v>25</v>
      </c>
      <c r="C29" s="546" t="s">
        <v>84</v>
      </c>
      <c r="D29" s="847" t="s">
        <v>117</v>
      </c>
      <c r="E29" s="847"/>
      <c r="F29" s="847"/>
      <c r="G29" s="847"/>
      <c r="H29" s="847"/>
      <c r="I29" s="847"/>
    </row>
    <row r="30" spans="1:9" s="218" customFormat="1" ht="15" customHeight="1" x14ac:dyDescent="0.2">
      <c r="A30" s="603" t="s">
        <v>397</v>
      </c>
      <c r="B30" s="266">
        <v>2218</v>
      </c>
      <c r="C30" s="227"/>
      <c r="D30" s="1110" t="s">
        <v>418</v>
      </c>
      <c r="E30" s="1111"/>
      <c r="F30" s="1111"/>
      <c r="G30" s="1111"/>
      <c r="H30" s="1111"/>
      <c r="I30" s="1112"/>
    </row>
    <row r="31" spans="1:9" s="218" customFormat="1" ht="15" customHeight="1" x14ac:dyDescent="0.2">
      <c r="A31" s="556" t="s">
        <v>397</v>
      </c>
      <c r="B31" s="268">
        <v>2483</v>
      </c>
      <c r="C31" s="557"/>
      <c r="D31" s="1113" t="s">
        <v>418</v>
      </c>
      <c r="E31" s="1114"/>
      <c r="F31" s="1114"/>
      <c r="G31" s="1114"/>
      <c r="H31" s="1114"/>
      <c r="I31" s="1115"/>
    </row>
    <row r="32" spans="1:9" s="217" customFormat="1" ht="11.25" x14ac:dyDescent="0.2">
      <c r="A32" s="225" t="s">
        <v>34</v>
      </c>
      <c r="B32" s="226">
        <f>SUM(B30:B31)</f>
        <v>4701</v>
      </c>
      <c r="C32" s="879"/>
      <c r="D32" s="879"/>
      <c r="E32" s="879"/>
      <c r="F32" s="879"/>
      <c r="G32" s="879"/>
      <c r="H32" s="879"/>
      <c r="I32" s="880"/>
    </row>
    <row r="33" spans="1:9" s="218" customFormat="1" ht="11.25" x14ac:dyDescent="0.2">
      <c r="C33" s="220"/>
    </row>
    <row r="34" spans="1:9" s="218" customFormat="1" ht="11.25" x14ac:dyDescent="0.2">
      <c r="A34" s="852" t="s">
        <v>145</v>
      </c>
      <c r="B34" s="852"/>
      <c r="C34" s="852"/>
      <c r="D34" s="852"/>
      <c r="E34" s="852"/>
      <c r="F34" s="852"/>
      <c r="G34" s="852"/>
      <c r="H34" s="852"/>
      <c r="I34" s="852"/>
    </row>
    <row r="35" spans="1:9" s="218" customFormat="1" ht="11.25" x14ac:dyDescent="0.2">
      <c r="C35" s="220"/>
    </row>
    <row r="36" spans="1:9" s="218" customFormat="1" ht="11.25" x14ac:dyDescent="0.2">
      <c r="A36" s="544" t="s">
        <v>83</v>
      </c>
      <c r="B36" s="544" t="s">
        <v>25</v>
      </c>
      <c r="C36" s="546" t="s">
        <v>84</v>
      </c>
      <c r="D36" s="847" t="s">
        <v>117</v>
      </c>
      <c r="E36" s="847"/>
      <c r="F36" s="847"/>
      <c r="G36" s="847"/>
      <c r="H36" s="847"/>
      <c r="I36" s="881"/>
    </row>
    <row r="37" spans="1:9" s="218" customFormat="1" ht="15" customHeight="1" x14ac:dyDescent="0.2">
      <c r="A37" s="239"/>
      <c r="B37" s="266">
        <v>0</v>
      </c>
      <c r="C37" s="227"/>
      <c r="D37" s="1117"/>
      <c r="E37" s="1118"/>
      <c r="F37" s="1118"/>
      <c r="G37" s="1118"/>
      <c r="H37" s="1118"/>
      <c r="I37" s="1119"/>
    </row>
    <row r="38" spans="1:9" s="217" customFormat="1" ht="10.5" x14ac:dyDescent="0.15">
      <c r="A38" s="225" t="s">
        <v>34</v>
      </c>
      <c r="B38" s="226">
        <f>SUM(B37:B37)</f>
        <v>0</v>
      </c>
      <c r="C38" s="882"/>
      <c r="D38" s="882"/>
      <c r="E38" s="882"/>
      <c r="F38" s="882"/>
      <c r="G38" s="882"/>
      <c r="H38" s="882"/>
      <c r="I38" s="882"/>
    </row>
    <row r="39" spans="1:9" s="218" customFormat="1" ht="11.25" x14ac:dyDescent="0.2">
      <c r="C39" s="220"/>
    </row>
    <row r="40" spans="1:9" s="218" customFormat="1" ht="11.25" x14ac:dyDescent="0.2">
      <c r="A40" s="852" t="s">
        <v>146</v>
      </c>
      <c r="B40" s="852"/>
      <c r="C40" s="852"/>
      <c r="D40" s="852"/>
      <c r="E40" s="852"/>
      <c r="F40" s="852"/>
      <c r="G40" s="852"/>
      <c r="H40" s="852"/>
      <c r="I40" s="852"/>
    </row>
    <row r="41" spans="1:9" s="218" customFormat="1" ht="11.25" x14ac:dyDescent="0.2">
      <c r="C41" s="220"/>
    </row>
    <row r="42" spans="1:9" s="218" customFormat="1" ht="11.25" x14ac:dyDescent="0.2">
      <c r="A42" s="544" t="s">
        <v>25</v>
      </c>
      <c r="B42" s="546" t="s">
        <v>147</v>
      </c>
      <c r="C42" s="861" t="s">
        <v>85</v>
      </c>
      <c r="D42" s="861"/>
      <c r="E42" s="861"/>
      <c r="F42" s="861"/>
      <c r="G42" s="861"/>
      <c r="H42" s="861"/>
      <c r="I42" s="862"/>
    </row>
    <row r="43" spans="1:9" s="218" customFormat="1" ht="11.25" x14ac:dyDescent="0.2">
      <c r="A43" s="477">
        <v>20000</v>
      </c>
      <c r="B43" s="477">
        <v>20000</v>
      </c>
      <c r="C43" s="1120" t="s">
        <v>398</v>
      </c>
      <c r="D43" s="1120"/>
      <c r="E43" s="1120"/>
      <c r="F43" s="1120"/>
      <c r="G43" s="1120"/>
      <c r="H43" s="1120"/>
      <c r="I43" s="1120"/>
    </row>
    <row r="44" spans="1:9" s="218" customFormat="1" ht="11.25" customHeight="1" x14ac:dyDescent="0.2">
      <c r="A44" s="268">
        <v>30000</v>
      </c>
      <c r="B44" s="268">
        <v>30000</v>
      </c>
      <c r="C44" s="1106" t="s">
        <v>398</v>
      </c>
      <c r="D44" s="1106"/>
      <c r="E44" s="1106"/>
      <c r="F44" s="1106"/>
      <c r="G44" s="1106"/>
      <c r="H44" s="1106"/>
      <c r="I44" s="1106"/>
    </row>
    <row r="45" spans="1:9" s="217" customFormat="1" ht="10.5" x14ac:dyDescent="0.15">
      <c r="A45" s="226">
        <f>A43+A44</f>
        <v>50000</v>
      </c>
      <c r="B45" s="226">
        <f>SUM(B43+B44)</f>
        <v>50000</v>
      </c>
      <c r="C45" s="859" t="s">
        <v>34</v>
      </c>
      <c r="D45" s="859"/>
      <c r="E45" s="859"/>
      <c r="F45" s="859"/>
      <c r="G45" s="859"/>
      <c r="H45" s="859"/>
      <c r="I45" s="859"/>
    </row>
    <row r="46" spans="1:9" s="218" customFormat="1" ht="11.25" x14ac:dyDescent="0.2">
      <c r="C46" s="220"/>
    </row>
    <row r="47" spans="1:9" s="218" customFormat="1" ht="11.25" x14ac:dyDescent="0.2">
      <c r="A47" s="852" t="s">
        <v>148</v>
      </c>
      <c r="B47" s="852"/>
      <c r="C47" s="852"/>
      <c r="D47" s="852"/>
      <c r="E47" s="852"/>
      <c r="F47" s="852"/>
      <c r="G47" s="852"/>
      <c r="H47" s="852"/>
      <c r="I47" s="852"/>
    </row>
    <row r="48" spans="1:9" s="218" customFormat="1" ht="11.25" x14ac:dyDescent="0.2">
      <c r="C48" s="220"/>
    </row>
    <row r="49" spans="1:8" s="229" customFormat="1" ht="11.25" x14ac:dyDescent="0.2">
      <c r="A49" s="870" t="s">
        <v>86</v>
      </c>
      <c r="B49" s="1122"/>
      <c r="C49" s="871"/>
      <c r="D49" s="546" t="s">
        <v>87</v>
      </c>
      <c r="E49" s="544" t="s">
        <v>88</v>
      </c>
      <c r="F49" s="544" t="s">
        <v>25</v>
      </c>
    </row>
    <row r="50" spans="1:8" s="218" customFormat="1" ht="11.25" customHeight="1" x14ac:dyDescent="0.2">
      <c r="A50" s="1121" t="s">
        <v>419</v>
      </c>
      <c r="B50" s="1121"/>
      <c r="C50" s="1121"/>
      <c r="D50" s="604" t="s">
        <v>399</v>
      </c>
      <c r="E50" s="605">
        <v>41759</v>
      </c>
      <c r="F50" s="606">
        <v>4500</v>
      </c>
      <c r="H50" s="231"/>
    </row>
    <row r="51" spans="1:8" s="218" customFormat="1" ht="11.25" customHeight="1" x14ac:dyDescent="0.2">
      <c r="A51" s="1116" t="s">
        <v>420</v>
      </c>
      <c r="B51" s="1116"/>
      <c r="C51" s="1116"/>
      <c r="D51" s="607" t="s">
        <v>399</v>
      </c>
      <c r="E51" s="608">
        <v>41759</v>
      </c>
      <c r="F51" s="609">
        <v>3500</v>
      </c>
    </row>
    <row r="52" spans="1:8" s="218" customFormat="1" ht="11.25" customHeight="1" x14ac:dyDescent="0.2">
      <c r="A52" s="1116" t="s">
        <v>421</v>
      </c>
      <c r="B52" s="1116"/>
      <c r="C52" s="1116"/>
      <c r="D52" s="607" t="s">
        <v>400</v>
      </c>
      <c r="E52" s="608">
        <v>41789</v>
      </c>
      <c r="F52" s="609">
        <v>5200</v>
      </c>
    </row>
    <row r="53" spans="1:8" s="218" customFormat="1" ht="11.25" customHeight="1" x14ac:dyDescent="0.2">
      <c r="A53" s="1116" t="s">
        <v>422</v>
      </c>
      <c r="B53" s="1116"/>
      <c r="C53" s="1116"/>
      <c r="D53" s="607" t="s">
        <v>400</v>
      </c>
      <c r="E53" s="607" t="s">
        <v>400</v>
      </c>
      <c r="F53" s="609">
        <v>1500</v>
      </c>
    </row>
    <row r="54" spans="1:8" s="218" customFormat="1" ht="11.25" customHeight="1" x14ac:dyDescent="0.2">
      <c r="A54" s="744" t="s">
        <v>818</v>
      </c>
      <c r="B54" s="744"/>
      <c r="C54" s="744"/>
      <c r="D54" s="607" t="s">
        <v>400</v>
      </c>
      <c r="E54" s="607" t="s">
        <v>400</v>
      </c>
      <c r="F54" s="201">
        <v>2440</v>
      </c>
    </row>
    <row r="55" spans="1:8" s="218" customFormat="1" ht="11.25" customHeight="1" x14ac:dyDescent="0.2">
      <c r="A55" s="744" t="s">
        <v>423</v>
      </c>
      <c r="B55" s="744"/>
      <c r="C55" s="744"/>
      <c r="D55" s="607" t="s">
        <v>400</v>
      </c>
      <c r="E55" s="607" t="s">
        <v>400</v>
      </c>
      <c r="F55" s="201">
        <v>40000</v>
      </c>
    </row>
    <row r="56" spans="1:8" s="218" customFormat="1" ht="11.25" customHeight="1" x14ac:dyDescent="0.2">
      <c r="A56" s="744" t="s">
        <v>424</v>
      </c>
      <c r="B56" s="744"/>
      <c r="C56" s="744"/>
      <c r="D56" s="199">
        <v>41788</v>
      </c>
      <c r="E56" s="199">
        <v>41789</v>
      </c>
      <c r="F56" s="201">
        <v>49400</v>
      </c>
    </row>
    <row r="57" spans="1:8" s="218" customFormat="1" ht="11.25" customHeight="1" x14ac:dyDescent="0.2">
      <c r="A57" s="1123" t="s">
        <v>401</v>
      </c>
      <c r="B57" s="744"/>
      <c r="C57" s="744"/>
      <c r="D57" s="199">
        <v>41786</v>
      </c>
      <c r="E57" s="199">
        <v>41789</v>
      </c>
      <c r="F57" s="201">
        <v>7900</v>
      </c>
    </row>
    <row r="58" spans="1:8" s="218" customFormat="1" ht="11.25" customHeight="1" x14ac:dyDescent="0.2">
      <c r="A58" s="744" t="s">
        <v>447</v>
      </c>
      <c r="B58" s="744"/>
      <c r="C58" s="744"/>
      <c r="D58" s="607" t="s">
        <v>400</v>
      </c>
      <c r="E58" s="607" t="s">
        <v>400</v>
      </c>
      <c r="F58" s="201">
        <v>21000</v>
      </c>
    </row>
    <row r="59" spans="1:8" s="218" customFormat="1" ht="11.25" customHeight="1" x14ac:dyDescent="0.2">
      <c r="A59" s="744" t="s">
        <v>450</v>
      </c>
      <c r="B59" s="744"/>
      <c r="C59" s="744"/>
      <c r="D59" s="607" t="s">
        <v>400</v>
      </c>
      <c r="E59" s="607" t="s">
        <v>400</v>
      </c>
      <c r="F59" s="201">
        <v>3000</v>
      </c>
    </row>
    <row r="60" spans="1:8" s="218" customFormat="1" ht="11.25" customHeight="1" x14ac:dyDescent="0.2">
      <c r="A60" s="744" t="s">
        <v>402</v>
      </c>
      <c r="B60" s="744"/>
      <c r="C60" s="744"/>
      <c r="D60" s="607" t="s">
        <v>400</v>
      </c>
      <c r="E60" s="607" t="s">
        <v>400</v>
      </c>
      <c r="F60" s="201">
        <v>1000</v>
      </c>
    </row>
    <row r="61" spans="1:8" s="218" customFormat="1" ht="11.25" customHeight="1" x14ac:dyDescent="0.2">
      <c r="A61" s="744" t="s">
        <v>403</v>
      </c>
      <c r="B61" s="744"/>
      <c r="C61" s="744"/>
      <c r="D61" s="607" t="s">
        <v>400</v>
      </c>
      <c r="E61" s="607" t="s">
        <v>400</v>
      </c>
      <c r="F61" s="201">
        <v>15000</v>
      </c>
    </row>
    <row r="62" spans="1:8" s="218" customFormat="1" ht="11.25" customHeight="1" x14ac:dyDescent="0.2">
      <c r="A62" s="744" t="s">
        <v>425</v>
      </c>
      <c r="B62" s="744"/>
      <c r="C62" s="744"/>
      <c r="D62" s="199">
        <v>41820</v>
      </c>
      <c r="E62" s="199">
        <v>41820</v>
      </c>
      <c r="F62" s="201">
        <v>6368</v>
      </c>
    </row>
    <row r="63" spans="1:8" s="218" customFormat="1" ht="11.25" customHeight="1" x14ac:dyDescent="0.2">
      <c r="A63" s="744" t="s">
        <v>404</v>
      </c>
      <c r="B63" s="744"/>
      <c r="C63" s="744"/>
      <c r="D63" s="607" t="s">
        <v>400</v>
      </c>
      <c r="E63" s="607" t="s">
        <v>400</v>
      </c>
      <c r="F63" s="201">
        <v>110000</v>
      </c>
    </row>
    <row r="64" spans="1:8" s="218" customFormat="1" ht="11.25" customHeight="1" x14ac:dyDescent="0.2">
      <c r="A64" s="1126" t="s">
        <v>426</v>
      </c>
      <c r="B64" s="1126"/>
      <c r="C64" s="1126"/>
      <c r="D64" s="607" t="s">
        <v>405</v>
      </c>
      <c r="E64" s="607" t="s">
        <v>405</v>
      </c>
      <c r="F64" s="201">
        <v>25000</v>
      </c>
    </row>
    <row r="65" spans="1:6" s="218" customFormat="1" ht="11.25" customHeight="1" x14ac:dyDescent="0.2">
      <c r="A65" s="1124" t="s">
        <v>427</v>
      </c>
      <c r="B65" s="1124"/>
      <c r="C65" s="1124"/>
      <c r="D65" s="199">
        <v>41821</v>
      </c>
      <c r="E65" s="199">
        <v>41821</v>
      </c>
      <c r="F65" s="201">
        <v>125000</v>
      </c>
    </row>
    <row r="66" spans="1:6" s="218" customFormat="1" ht="11.25" customHeight="1" x14ac:dyDescent="0.2">
      <c r="A66" s="1124" t="s">
        <v>435</v>
      </c>
      <c r="B66" s="1124"/>
      <c r="C66" s="1124"/>
      <c r="D66" s="610">
        <v>41839</v>
      </c>
      <c r="E66" s="610">
        <v>41839</v>
      </c>
      <c r="F66" s="201">
        <v>400000</v>
      </c>
    </row>
    <row r="67" spans="1:6" s="218" customFormat="1" ht="11.25" customHeight="1" x14ac:dyDescent="0.2">
      <c r="A67" s="1124" t="s">
        <v>436</v>
      </c>
      <c r="B67" s="1124"/>
      <c r="C67" s="1124"/>
      <c r="D67" s="607" t="s">
        <v>406</v>
      </c>
      <c r="E67" s="607" t="s">
        <v>406</v>
      </c>
      <c r="F67" s="201">
        <v>20000</v>
      </c>
    </row>
    <row r="68" spans="1:6" s="218" customFormat="1" ht="11.25" customHeight="1" x14ac:dyDescent="0.2">
      <c r="A68" s="1128" t="s">
        <v>455</v>
      </c>
      <c r="B68" s="1129"/>
      <c r="C68" s="1130"/>
      <c r="D68" s="1125" t="s">
        <v>407</v>
      </c>
      <c r="E68" s="1125" t="s">
        <v>407</v>
      </c>
      <c r="F68" s="201">
        <v>2800</v>
      </c>
    </row>
    <row r="69" spans="1:6" s="218" customFormat="1" ht="11.25" customHeight="1" x14ac:dyDescent="0.2">
      <c r="A69" s="1127" t="s">
        <v>428</v>
      </c>
      <c r="B69" s="1127"/>
      <c r="C69" s="1127"/>
      <c r="D69" s="1125"/>
      <c r="E69" s="1125"/>
      <c r="F69" s="201">
        <v>27200</v>
      </c>
    </row>
    <row r="70" spans="1:6" s="218" customFormat="1" ht="11.25" customHeight="1" x14ac:dyDescent="0.2">
      <c r="A70" s="1124" t="s">
        <v>429</v>
      </c>
      <c r="B70" s="1124"/>
      <c r="C70" s="1124"/>
      <c r="D70" s="1125" t="s">
        <v>407</v>
      </c>
      <c r="E70" s="1125" t="s">
        <v>407</v>
      </c>
      <c r="F70" s="201">
        <v>18500</v>
      </c>
    </row>
    <row r="71" spans="1:6" s="218" customFormat="1" ht="11.25" customHeight="1" x14ac:dyDescent="0.2">
      <c r="A71" s="1124" t="s">
        <v>430</v>
      </c>
      <c r="B71" s="1124"/>
      <c r="C71" s="1124"/>
      <c r="D71" s="1125"/>
      <c r="E71" s="1125"/>
      <c r="F71" s="201">
        <v>1500</v>
      </c>
    </row>
    <row r="72" spans="1:6" s="218" customFormat="1" ht="11.25" customHeight="1" x14ac:dyDescent="0.2">
      <c r="A72" s="1124" t="s">
        <v>431</v>
      </c>
      <c r="B72" s="1124"/>
      <c r="C72" s="1124"/>
      <c r="D72" s="607" t="s">
        <v>408</v>
      </c>
      <c r="E72" s="607" t="s">
        <v>408</v>
      </c>
      <c r="F72" s="201">
        <v>18000</v>
      </c>
    </row>
    <row r="73" spans="1:6" s="218" customFormat="1" ht="11.25" customHeight="1" x14ac:dyDescent="0.2">
      <c r="A73" s="1124" t="s">
        <v>432</v>
      </c>
      <c r="B73" s="1124"/>
      <c r="C73" s="1124"/>
      <c r="D73" s="607" t="s">
        <v>363</v>
      </c>
      <c r="E73" s="607" t="s">
        <v>363</v>
      </c>
      <c r="F73" s="201">
        <v>53700</v>
      </c>
    </row>
    <row r="74" spans="1:6" s="218" customFormat="1" ht="11.25" customHeight="1" x14ac:dyDescent="0.2">
      <c r="A74" s="1124" t="s">
        <v>433</v>
      </c>
      <c r="B74" s="1124"/>
      <c r="C74" s="1124"/>
      <c r="D74" s="607"/>
      <c r="E74" s="607"/>
      <c r="F74" s="201">
        <v>4800</v>
      </c>
    </row>
    <row r="75" spans="1:6" s="218" customFormat="1" ht="11.25" customHeight="1" x14ac:dyDescent="0.2">
      <c r="A75" s="1124" t="s">
        <v>434</v>
      </c>
      <c r="B75" s="1124"/>
      <c r="C75" s="1124"/>
      <c r="D75" s="607" t="s">
        <v>409</v>
      </c>
      <c r="E75" s="607" t="s">
        <v>409</v>
      </c>
      <c r="F75" s="201">
        <v>15000</v>
      </c>
    </row>
    <row r="76" spans="1:6" s="218" customFormat="1" ht="23.25" customHeight="1" x14ac:dyDescent="0.2">
      <c r="A76" s="1124" t="s">
        <v>437</v>
      </c>
      <c r="B76" s="1124"/>
      <c r="C76" s="1124"/>
      <c r="D76" s="607" t="s">
        <v>410</v>
      </c>
      <c r="E76" s="607" t="s">
        <v>410</v>
      </c>
      <c r="F76" s="201">
        <v>107000</v>
      </c>
    </row>
    <row r="77" spans="1:6" s="218" customFormat="1" ht="11.25" customHeight="1" x14ac:dyDescent="0.2">
      <c r="A77" s="1124" t="s">
        <v>438</v>
      </c>
      <c r="B77" s="1124"/>
      <c r="C77" s="1124"/>
      <c r="D77" s="1125" t="s">
        <v>411</v>
      </c>
      <c r="E77" s="1125" t="s">
        <v>411</v>
      </c>
      <c r="F77" s="201">
        <v>125000</v>
      </c>
    </row>
    <row r="78" spans="1:6" s="218" customFormat="1" ht="11.25" customHeight="1" x14ac:dyDescent="0.2">
      <c r="A78" s="1124" t="s">
        <v>439</v>
      </c>
      <c r="B78" s="1124"/>
      <c r="C78" s="1124"/>
      <c r="D78" s="1125"/>
      <c r="E78" s="1125"/>
      <c r="F78" s="201">
        <v>65000</v>
      </c>
    </row>
    <row r="79" spans="1:6" s="218" customFormat="1" ht="11.25" customHeight="1" x14ac:dyDescent="0.2">
      <c r="A79" s="1124" t="s">
        <v>440</v>
      </c>
      <c r="B79" s="1124"/>
      <c r="C79" s="1124"/>
      <c r="D79" s="607" t="s">
        <v>411</v>
      </c>
      <c r="E79" s="607" t="s">
        <v>412</v>
      </c>
      <c r="F79" s="201">
        <v>4400</v>
      </c>
    </row>
    <row r="80" spans="1:6" s="218" customFormat="1" ht="11.25" customHeight="1" x14ac:dyDescent="0.2">
      <c r="A80" s="1124" t="s">
        <v>441</v>
      </c>
      <c r="B80" s="1124"/>
      <c r="C80" s="1124"/>
      <c r="D80" s="607" t="s">
        <v>413</v>
      </c>
      <c r="E80" s="607" t="s">
        <v>413</v>
      </c>
      <c r="F80" s="201">
        <v>893500</v>
      </c>
    </row>
    <row r="81" spans="1:9" s="218" customFormat="1" ht="11.25" customHeight="1" x14ac:dyDescent="0.2">
      <c r="A81" s="1124" t="s">
        <v>442</v>
      </c>
      <c r="B81" s="1124"/>
      <c r="C81" s="1124"/>
      <c r="D81" s="607" t="s">
        <v>414</v>
      </c>
      <c r="E81" s="607" t="s">
        <v>414</v>
      </c>
      <c r="F81" s="201">
        <v>168</v>
      </c>
    </row>
    <row r="82" spans="1:9" s="218" customFormat="1" ht="11.25" customHeight="1" x14ac:dyDescent="0.2">
      <c r="A82" s="1124" t="s">
        <v>443</v>
      </c>
      <c r="B82" s="1124"/>
      <c r="C82" s="1124"/>
      <c r="D82" s="607" t="s">
        <v>414</v>
      </c>
      <c r="E82" s="607" t="s">
        <v>414</v>
      </c>
      <c r="F82" s="201">
        <v>1632</v>
      </c>
    </row>
    <row r="83" spans="1:9" s="218" customFormat="1" ht="11.25" customHeight="1" x14ac:dyDescent="0.2">
      <c r="A83" s="1124" t="s">
        <v>449</v>
      </c>
      <c r="B83" s="1124"/>
      <c r="C83" s="1124"/>
      <c r="D83" s="607" t="s">
        <v>414</v>
      </c>
      <c r="E83" s="607" t="s">
        <v>414</v>
      </c>
      <c r="F83" s="201">
        <v>8000</v>
      </c>
    </row>
    <row r="84" spans="1:9" s="218" customFormat="1" ht="11.25" customHeight="1" x14ac:dyDescent="0.2">
      <c r="A84" s="1124" t="s">
        <v>444</v>
      </c>
      <c r="B84" s="1124"/>
      <c r="C84" s="1124"/>
      <c r="D84" s="607" t="s">
        <v>414</v>
      </c>
      <c r="E84" s="607" t="s">
        <v>414</v>
      </c>
      <c r="F84" s="201">
        <v>1000</v>
      </c>
    </row>
    <row r="85" spans="1:9" s="218" customFormat="1" ht="11.25" customHeight="1" x14ac:dyDescent="0.2">
      <c r="A85" s="1124" t="s">
        <v>445</v>
      </c>
      <c r="B85" s="1124"/>
      <c r="C85" s="1124"/>
      <c r="D85" s="607" t="s">
        <v>414</v>
      </c>
      <c r="E85" s="607" t="s">
        <v>414</v>
      </c>
      <c r="F85" s="201">
        <v>23120</v>
      </c>
    </row>
    <row r="86" spans="1:9" s="218" customFormat="1" ht="22.5" customHeight="1" x14ac:dyDescent="0.2">
      <c r="A86" s="1124" t="s">
        <v>448</v>
      </c>
      <c r="B86" s="1124"/>
      <c r="C86" s="1124"/>
      <c r="D86" s="607" t="s">
        <v>372</v>
      </c>
      <c r="E86" s="607" t="s">
        <v>372</v>
      </c>
      <c r="F86" s="201">
        <v>48800</v>
      </c>
    </row>
    <row r="87" spans="1:9" s="218" customFormat="1" ht="11.25" customHeight="1" x14ac:dyDescent="0.2">
      <c r="A87" s="1124" t="s">
        <v>446</v>
      </c>
      <c r="B87" s="1124"/>
      <c r="C87" s="1124"/>
      <c r="D87" s="607" t="s">
        <v>218</v>
      </c>
      <c r="E87" s="607" t="s">
        <v>218</v>
      </c>
      <c r="F87" s="201">
        <v>135000</v>
      </c>
    </row>
    <row r="88" spans="1:9" s="218" customFormat="1" ht="11.25" x14ac:dyDescent="0.2">
      <c r="C88" s="220"/>
    </row>
    <row r="89" spans="1:9" s="218" customFormat="1" ht="11.25" x14ac:dyDescent="0.2">
      <c r="A89" s="794" t="s">
        <v>152</v>
      </c>
      <c r="B89" s="794"/>
      <c r="C89" s="794"/>
      <c r="D89" s="794"/>
      <c r="E89" s="794"/>
      <c r="F89" s="794"/>
      <c r="G89" s="794"/>
      <c r="H89" s="794"/>
      <c r="I89" s="794"/>
    </row>
    <row r="90" spans="1:9" s="218" customFormat="1" ht="11.25" x14ac:dyDescent="0.2"/>
    <row r="91" spans="1:9" s="218" customFormat="1" ht="22.5" customHeight="1" x14ac:dyDescent="0.2">
      <c r="A91" s="884" t="s">
        <v>451</v>
      </c>
      <c r="B91" s="890"/>
      <c r="C91" s="890"/>
      <c r="D91" s="890"/>
      <c r="E91" s="890"/>
      <c r="F91" s="890"/>
      <c r="G91" s="890"/>
      <c r="H91" s="890"/>
      <c r="I91" s="885"/>
    </row>
    <row r="92" spans="1:9" s="218" customFormat="1" ht="11.25" x14ac:dyDescent="0.2">
      <c r="A92" s="884"/>
      <c r="B92" s="890"/>
      <c r="C92" s="890"/>
      <c r="D92" s="890"/>
      <c r="E92" s="890"/>
      <c r="F92" s="890"/>
      <c r="G92" s="890"/>
      <c r="H92" s="890"/>
      <c r="I92" s="885"/>
    </row>
    <row r="93" spans="1:9" s="218" customFormat="1" ht="11.25" x14ac:dyDescent="0.2">
      <c r="A93" s="884"/>
      <c r="B93" s="890"/>
      <c r="C93" s="890"/>
      <c r="D93" s="890"/>
      <c r="E93" s="890"/>
      <c r="F93" s="890"/>
      <c r="G93" s="890"/>
      <c r="H93" s="890"/>
      <c r="I93" s="885"/>
    </row>
    <row r="94" spans="1:9" s="218" customFormat="1" ht="11.25" x14ac:dyDescent="0.2"/>
    <row r="95" spans="1:9" s="217" customFormat="1" ht="10.5" x14ac:dyDescent="0.15">
      <c r="A95" s="852" t="s">
        <v>153</v>
      </c>
      <c r="B95" s="852"/>
      <c r="C95" s="852"/>
      <c r="D95" s="852"/>
      <c r="E95" s="852"/>
      <c r="F95" s="852"/>
      <c r="G95" s="852"/>
      <c r="H95" s="852"/>
      <c r="I95" s="852"/>
    </row>
    <row r="96" spans="1:9" s="218" customFormat="1" ht="11.25" x14ac:dyDescent="0.2"/>
    <row r="97" spans="1:9" s="218" customFormat="1" ht="46.5" customHeight="1" x14ac:dyDescent="0.2">
      <c r="A97" s="789" t="s">
        <v>453</v>
      </c>
      <c r="B97" s="790"/>
      <c r="C97" s="790"/>
      <c r="D97" s="790"/>
      <c r="E97" s="790"/>
      <c r="F97" s="790"/>
      <c r="G97" s="790"/>
      <c r="H97" s="790"/>
      <c r="I97" s="791"/>
    </row>
    <row r="98" spans="1:9" s="218" customFormat="1" ht="11.25" customHeight="1" x14ac:dyDescent="0.2">
      <c r="A98" s="789" t="s">
        <v>121</v>
      </c>
      <c r="B98" s="790"/>
      <c r="C98" s="790"/>
      <c r="D98" s="790"/>
      <c r="E98" s="790"/>
      <c r="F98" s="790"/>
      <c r="G98" s="790"/>
      <c r="H98" s="790"/>
      <c r="I98" s="791"/>
    </row>
    <row r="99" spans="1:9" s="218" customFormat="1" ht="11.25" customHeight="1" x14ac:dyDescent="0.2">
      <c r="A99" s="884" t="s">
        <v>452</v>
      </c>
      <c r="B99" s="890"/>
      <c r="C99" s="890"/>
      <c r="D99" s="890"/>
      <c r="E99" s="890"/>
      <c r="F99" s="890"/>
      <c r="G99" s="890"/>
      <c r="H99" s="890"/>
      <c r="I99" s="885"/>
    </row>
  </sheetData>
  <mergeCells count="88">
    <mergeCell ref="A87:C87"/>
    <mergeCell ref="A89:I89"/>
    <mergeCell ref="A91:I91"/>
    <mergeCell ref="A92:I92"/>
    <mergeCell ref="A84:C84"/>
    <mergeCell ref="A85:C85"/>
    <mergeCell ref="A86:C86"/>
    <mergeCell ref="A99:I99"/>
    <mergeCell ref="A93:I93"/>
    <mergeCell ref="A95:I95"/>
    <mergeCell ref="A97:I97"/>
    <mergeCell ref="A98:I98"/>
    <mergeCell ref="D68:D69"/>
    <mergeCell ref="E68:E69"/>
    <mergeCell ref="A69:C69"/>
    <mergeCell ref="A70:C70"/>
    <mergeCell ref="D70:D71"/>
    <mergeCell ref="E70:E71"/>
    <mergeCell ref="A71:C71"/>
    <mergeCell ref="A68:C68"/>
    <mergeCell ref="A66:C66"/>
    <mergeCell ref="A67:C67"/>
    <mergeCell ref="A63:C63"/>
    <mergeCell ref="A64:C64"/>
    <mergeCell ref="A65:C65"/>
    <mergeCell ref="A77:C77"/>
    <mergeCell ref="D77:D78"/>
    <mergeCell ref="E77:E78"/>
    <mergeCell ref="A78:C78"/>
    <mergeCell ref="A72:C72"/>
    <mergeCell ref="A73:C73"/>
    <mergeCell ref="A74:C74"/>
    <mergeCell ref="A75:C75"/>
    <mergeCell ref="A76:C76"/>
    <mergeCell ref="A79:C79"/>
    <mergeCell ref="A80:C80"/>
    <mergeCell ref="A81:C81"/>
    <mergeCell ref="A82:C82"/>
    <mergeCell ref="A83:C83"/>
    <mergeCell ref="A61:C61"/>
    <mergeCell ref="A62:C62"/>
    <mergeCell ref="A53:C53"/>
    <mergeCell ref="A54:C54"/>
    <mergeCell ref="A55:C55"/>
    <mergeCell ref="A56:C56"/>
    <mergeCell ref="A57:C57"/>
    <mergeCell ref="A58:C58"/>
    <mergeCell ref="A59:C59"/>
    <mergeCell ref="A60:C60"/>
    <mergeCell ref="A52:C52"/>
    <mergeCell ref="D36:I36"/>
    <mergeCell ref="D37:I37"/>
    <mergeCell ref="C43:I43"/>
    <mergeCell ref="A34:I34"/>
    <mergeCell ref="C38:I38"/>
    <mergeCell ref="A40:I40"/>
    <mergeCell ref="C42:I42"/>
    <mergeCell ref="C45:I45"/>
    <mergeCell ref="A47:I47"/>
    <mergeCell ref="A50:C50"/>
    <mergeCell ref="A51:C51"/>
    <mergeCell ref="A49:C49"/>
    <mergeCell ref="A15:A16"/>
    <mergeCell ref="F24:I24"/>
    <mergeCell ref="C44:I44"/>
    <mergeCell ref="F25:I25"/>
    <mergeCell ref="D29:I29"/>
    <mergeCell ref="D30:I30"/>
    <mergeCell ref="D31:I31"/>
    <mergeCell ref="F26:I26"/>
    <mergeCell ref="A28:I28"/>
    <mergeCell ref="C32:I32"/>
    <mergeCell ref="A3:I3"/>
    <mergeCell ref="A7:B7"/>
    <mergeCell ref="D7:I7"/>
    <mergeCell ref="F22:I22"/>
    <mergeCell ref="F23:I23"/>
    <mergeCell ref="D6:I6"/>
    <mergeCell ref="A8:B8"/>
    <mergeCell ref="D8:I8"/>
    <mergeCell ref="A5:B5"/>
    <mergeCell ref="D5:I5"/>
    <mergeCell ref="A6:B6"/>
    <mergeCell ref="A19:I19"/>
    <mergeCell ref="F21:I21"/>
    <mergeCell ref="A9:B9"/>
    <mergeCell ref="D9:I9"/>
    <mergeCell ref="A11:I11"/>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833" t="s">
        <v>97</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91"/>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99"/>
      <c r="B4" s="892"/>
      <c r="C4" s="893"/>
      <c r="D4" s="844"/>
      <c r="E4" s="819" t="s">
        <v>44</v>
      </c>
      <c r="F4" s="821" t="s">
        <v>129</v>
      </c>
      <c r="G4" s="822"/>
      <c r="H4" s="823"/>
      <c r="I4" s="824" t="s">
        <v>130</v>
      </c>
      <c r="J4" s="819" t="s">
        <v>44</v>
      </c>
      <c r="K4" s="821" t="s">
        <v>129</v>
      </c>
      <c r="L4" s="822"/>
      <c r="M4" s="823"/>
      <c r="N4" s="824" t="s">
        <v>130</v>
      </c>
      <c r="O4" s="819" t="s">
        <v>44</v>
      </c>
      <c r="P4" s="821" t="s">
        <v>118</v>
      </c>
      <c r="Q4" s="822"/>
      <c r="R4" s="823"/>
      <c r="S4" s="824" t="s">
        <v>108</v>
      </c>
      <c r="T4" s="819" t="s">
        <v>44</v>
      </c>
      <c r="U4" s="821" t="s">
        <v>118</v>
      </c>
      <c r="V4" s="822"/>
      <c r="W4" s="823"/>
      <c r="X4" s="824" t="s">
        <v>108</v>
      </c>
    </row>
    <row r="5" spans="1:24" s="8" customFormat="1" ht="9.75" customHeight="1" x14ac:dyDescent="0.2">
      <c r="A5" s="900"/>
      <c r="B5" s="894"/>
      <c r="C5" s="895"/>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43746383</v>
      </c>
      <c r="F6" s="67">
        <f>SUM(F7:F9)</f>
        <v>46096109</v>
      </c>
      <c r="G6" s="67">
        <f>SUM(G7:G9)</f>
        <v>46097793</v>
      </c>
      <c r="H6" s="28">
        <f t="shared" ref="H6:H33" si="0">G6/F6*100</f>
        <v>100.00365323676235</v>
      </c>
      <c r="I6" s="67">
        <f>SUM(I7:I9)</f>
        <v>44008802</v>
      </c>
      <c r="J6" s="67">
        <f>SUM(J7:J9)</f>
        <v>11145000</v>
      </c>
      <c r="K6" s="67">
        <f t="shared" ref="K6:Q6" si="1">SUM(K7:K9)</f>
        <v>12616280</v>
      </c>
      <c r="L6" s="67">
        <f t="shared" si="1"/>
        <v>12617964</v>
      </c>
      <c r="M6" s="28">
        <f t="shared" ref="M6:M33" si="2">L6/K6*100</f>
        <v>100.01334783311722</v>
      </c>
      <c r="N6" s="68">
        <f t="shared" si="1"/>
        <v>11743039</v>
      </c>
      <c r="O6" s="67">
        <f t="shared" si="1"/>
        <v>32601383</v>
      </c>
      <c r="P6" s="67">
        <f t="shared" si="1"/>
        <v>33479829</v>
      </c>
      <c r="Q6" s="67">
        <f t="shared" si="1"/>
        <v>33479829</v>
      </c>
      <c r="R6" s="28">
        <f t="shared" ref="R6:R33" si="3">Q6/P6*100</f>
        <v>100</v>
      </c>
      <c r="S6" s="67">
        <f>SUM(S7:S9)</f>
        <v>32265763</v>
      </c>
      <c r="T6" s="67">
        <f>SUM(T7:T9)</f>
        <v>0</v>
      </c>
      <c r="U6" s="67">
        <f>SUM(U7:U9)</f>
        <v>207440</v>
      </c>
      <c r="V6" s="67">
        <f>SUM(V7:V9)</f>
        <v>171770</v>
      </c>
      <c r="W6" s="28">
        <f t="shared" ref="W6:W33" si="4">V6/U6*100</f>
        <v>82.804666409564206</v>
      </c>
      <c r="X6" s="67">
        <f>SUM(X7:X9)</f>
        <v>0</v>
      </c>
    </row>
    <row r="7" spans="1:24" s="6" customFormat="1" ht="9.9499999999999993" customHeight="1" x14ac:dyDescent="0.2">
      <c r="A7" s="34" t="s">
        <v>2</v>
      </c>
      <c r="B7" s="827" t="s">
        <v>47</v>
      </c>
      <c r="C7" s="828"/>
      <c r="D7" s="55" t="s">
        <v>25</v>
      </c>
      <c r="E7" s="70">
        <f t="shared" ref="E7:G10" si="5">SUM(J7,O7)</f>
        <v>5150000</v>
      </c>
      <c r="F7" s="71">
        <f t="shared" si="5"/>
        <v>6344400</v>
      </c>
      <c r="G7" s="71">
        <f t="shared" si="5"/>
        <v>6345786</v>
      </c>
      <c r="H7" s="10">
        <f t="shared" si="0"/>
        <v>100.02184603745035</v>
      </c>
      <c r="I7" s="72">
        <f>SUM(N7,S7)</f>
        <v>5771658</v>
      </c>
      <c r="J7" s="73">
        <v>5150000</v>
      </c>
      <c r="K7" s="74">
        <v>6344400</v>
      </c>
      <c r="L7" s="74">
        <v>6345786</v>
      </c>
      <c r="M7" s="10">
        <f t="shared" si="2"/>
        <v>100.02184603745035</v>
      </c>
      <c r="N7" s="74">
        <v>5771658</v>
      </c>
      <c r="O7" s="76"/>
      <c r="P7" s="74"/>
      <c r="Q7" s="74"/>
      <c r="R7" s="10" t="e">
        <f t="shared" si="3"/>
        <v>#DIV/0!</v>
      </c>
      <c r="S7" s="74"/>
      <c r="T7" s="76"/>
      <c r="U7" s="74">
        <v>207440</v>
      </c>
      <c r="V7" s="74">
        <v>171770</v>
      </c>
      <c r="W7" s="10">
        <f t="shared" si="4"/>
        <v>82.804666409564206</v>
      </c>
      <c r="X7" s="122"/>
    </row>
    <row r="8" spans="1:24" s="6" customFormat="1" ht="9.9499999999999993" customHeight="1" x14ac:dyDescent="0.2">
      <c r="A8" s="35" t="s">
        <v>3</v>
      </c>
      <c r="B8" s="829" t="s">
        <v>48</v>
      </c>
      <c r="C8" s="830"/>
      <c r="D8" s="56" t="s">
        <v>25</v>
      </c>
      <c r="E8" s="77">
        <f t="shared" si="5"/>
        <v>20000</v>
      </c>
      <c r="F8" s="78">
        <f t="shared" si="5"/>
        <v>12000</v>
      </c>
      <c r="G8" s="78">
        <f t="shared" si="5"/>
        <v>12298</v>
      </c>
      <c r="H8" s="11">
        <f t="shared" si="0"/>
        <v>102.48333333333332</v>
      </c>
      <c r="I8" s="79">
        <f>SUM(N8,S8)</f>
        <v>26381</v>
      </c>
      <c r="J8" s="80">
        <v>20000</v>
      </c>
      <c r="K8" s="78">
        <v>12000</v>
      </c>
      <c r="L8" s="78">
        <v>12298</v>
      </c>
      <c r="M8" s="11">
        <f t="shared" si="2"/>
        <v>102.48333333333332</v>
      </c>
      <c r="N8" s="78">
        <v>26381</v>
      </c>
      <c r="O8" s="77"/>
      <c r="P8" s="78"/>
      <c r="Q8" s="78"/>
      <c r="R8" s="11" t="e">
        <f t="shared" si="3"/>
        <v>#DIV/0!</v>
      </c>
      <c r="S8" s="78"/>
      <c r="T8" s="77"/>
      <c r="U8" s="78"/>
      <c r="V8" s="78"/>
      <c r="W8" s="11" t="e">
        <f t="shared" si="4"/>
        <v>#DIV/0!</v>
      </c>
      <c r="X8" s="81"/>
    </row>
    <row r="9" spans="1:24" s="6" customFormat="1" ht="9.9499999999999993" customHeight="1" x14ac:dyDescent="0.2">
      <c r="A9" s="36" t="s">
        <v>4</v>
      </c>
      <c r="B9" s="44" t="s">
        <v>66</v>
      </c>
      <c r="C9" s="45"/>
      <c r="D9" s="57" t="s">
        <v>25</v>
      </c>
      <c r="E9" s="82">
        <f t="shared" si="5"/>
        <v>38576383</v>
      </c>
      <c r="F9" s="83">
        <f t="shared" si="5"/>
        <v>39739709</v>
      </c>
      <c r="G9" s="83">
        <f t="shared" si="5"/>
        <v>39739709</v>
      </c>
      <c r="H9" s="31">
        <f t="shared" si="0"/>
        <v>100</v>
      </c>
      <c r="I9" s="84">
        <f>SUM(N9,S9)</f>
        <v>38210763</v>
      </c>
      <c r="J9" s="85">
        <v>5975000</v>
      </c>
      <c r="K9" s="83">
        <v>6259880</v>
      </c>
      <c r="L9" s="83">
        <v>6259880</v>
      </c>
      <c r="M9" s="31">
        <f t="shared" si="2"/>
        <v>100</v>
      </c>
      <c r="N9" s="83">
        <v>5945000</v>
      </c>
      <c r="O9" s="82">
        <v>32601383</v>
      </c>
      <c r="P9" s="83">
        <v>33479829</v>
      </c>
      <c r="Q9" s="83">
        <v>33479829</v>
      </c>
      <c r="R9" s="31">
        <f t="shared" si="3"/>
        <v>100</v>
      </c>
      <c r="S9" s="83">
        <v>32265763</v>
      </c>
      <c r="T9" s="82"/>
      <c r="U9" s="83"/>
      <c r="V9" s="83"/>
      <c r="W9" s="31"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c r="K10" s="87"/>
      <c r="L10" s="87"/>
      <c r="M10" s="28" t="e">
        <f t="shared" si="2"/>
        <v>#DIV/0!</v>
      </c>
      <c r="N10" s="88"/>
      <c r="O10" s="87"/>
      <c r="P10" s="87"/>
      <c r="Q10" s="87"/>
      <c r="R10" s="28" t="e">
        <f t="shared" si="3"/>
        <v>#DIV/0!</v>
      </c>
      <c r="S10" s="87"/>
      <c r="T10" s="87"/>
      <c r="U10" s="87"/>
      <c r="V10" s="87"/>
      <c r="W10" s="28" t="e">
        <f t="shared" si="4"/>
        <v>#DIV/0!</v>
      </c>
      <c r="X10" s="87"/>
    </row>
    <row r="11" spans="1:24" s="6" customFormat="1" ht="9.9499999999999993" customHeight="1" x14ac:dyDescent="0.2">
      <c r="A11" s="33" t="s">
        <v>6</v>
      </c>
      <c r="B11" s="826" t="s">
        <v>9</v>
      </c>
      <c r="C11" s="826"/>
      <c r="D11" s="23" t="s">
        <v>25</v>
      </c>
      <c r="E11" s="67">
        <f>SUM(E12:E30)</f>
        <v>43746383</v>
      </c>
      <c r="F11" s="67">
        <f>SUM(F12:F30)</f>
        <v>46099669</v>
      </c>
      <c r="G11" s="67">
        <f>SUM(G12:G30)</f>
        <v>46051743</v>
      </c>
      <c r="H11" s="28">
        <f t="shared" si="0"/>
        <v>99.896038299103623</v>
      </c>
      <c r="I11" s="68">
        <f>SUM(I12:I30)</f>
        <v>43865135</v>
      </c>
      <c r="J11" s="67">
        <f>SUM(J12:J30)</f>
        <v>11145000</v>
      </c>
      <c r="K11" s="67">
        <f>SUM(K12:K30)</f>
        <v>12619840</v>
      </c>
      <c r="L11" s="67">
        <f>SUM(L12:L30)</f>
        <v>12571914</v>
      </c>
      <c r="M11" s="28">
        <f t="shared" si="2"/>
        <v>99.620232903111301</v>
      </c>
      <c r="N11" s="68">
        <f>SUM(N12:N30)</f>
        <v>11599372</v>
      </c>
      <c r="O11" s="67">
        <f>SUM(O12:O30)</f>
        <v>32601383</v>
      </c>
      <c r="P11" s="67">
        <f>SUM(P12:P30)</f>
        <v>33479829</v>
      </c>
      <c r="Q11" s="67">
        <f>SUM(Q12:Q30)</f>
        <v>33479829</v>
      </c>
      <c r="R11" s="28">
        <f t="shared" si="3"/>
        <v>100</v>
      </c>
      <c r="S11" s="67">
        <f>SUM(S12:S30)</f>
        <v>32265763</v>
      </c>
      <c r="T11" s="69">
        <f>SUM(T12:T30)</f>
        <v>0</v>
      </c>
      <c r="U11" s="69">
        <f>SUM(U12:U30)</f>
        <v>195740</v>
      </c>
      <c r="V11" s="69">
        <f>SUM(V12:V30)</f>
        <v>92739</v>
      </c>
      <c r="W11" s="172">
        <f t="shared" si="4"/>
        <v>47.378665576785536</v>
      </c>
      <c r="X11" s="69">
        <f>SUM(X12:X30)</f>
        <v>0</v>
      </c>
    </row>
    <row r="12" spans="1:24" s="6" customFormat="1" ht="9.9499999999999993" customHeight="1" x14ac:dyDescent="0.2">
      <c r="A12" s="37" t="s">
        <v>8</v>
      </c>
      <c r="B12" s="831" t="s">
        <v>28</v>
      </c>
      <c r="C12" s="832"/>
      <c r="D12" s="58" t="s">
        <v>25</v>
      </c>
      <c r="E12" s="70">
        <f t="shared" ref="E12:I27" si="6">SUM(J12,O12)</f>
        <v>5708688</v>
      </c>
      <c r="F12" s="71">
        <f t="shared" si="6"/>
        <v>6776059</v>
      </c>
      <c r="G12" s="71">
        <f t="shared" si="6"/>
        <v>6777143</v>
      </c>
      <c r="H12" s="10">
        <f t="shared" si="0"/>
        <v>100.01599749943146</v>
      </c>
      <c r="I12" s="72">
        <f t="shared" si="6"/>
        <v>6076603</v>
      </c>
      <c r="J12" s="89">
        <v>5258688</v>
      </c>
      <c r="K12" s="90">
        <v>6404848</v>
      </c>
      <c r="L12" s="90">
        <v>6403792</v>
      </c>
      <c r="M12" s="10">
        <f t="shared" si="2"/>
        <v>99.983512489289367</v>
      </c>
      <c r="N12" s="90">
        <v>5682972</v>
      </c>
      <c r="O12" s="92">
        <v>450000</v>
      </c>
      <c r="P12" s="90">
        <v>371211</v>
      </c>
      <c r="Q12" s="90">
        <v>373351</v>
      </c>
      <c r="R12" s="10">
        <f t="shared" si="3"/>
        <v>100.57649153715811</v>
      </c>
      <c r="S12" s="90">
        <v>393631</v>
      </c>
      <c r="T12" s="271"/>
      <c r="U12" s="272">
        <v>74140</v>
      </c>
      <c r="V12" s="272">
        <v>23893</v>
      </c>
      <c r="W12" s="273">
        <f t="shared" si="4"/>
        <v>32.22686808740221</v>
      </c>
      <c r="X12" s="94"/>
    </row>
    <row r="13" spans="1:24" s="6" customFormat="1" ht="9.9499999999999993" customHeight="1" x14ac:dyDescent="0.2">
      <c r="A13" s="38" t="s">
        <v>10</v>
      </c>
      <c r="B13" s="815" t="s">
        <v>29</v>
      </c>
      <c r="C13" s="816"/>
      <c r="D13" s="56" t="s">
        <v>25</v>
      </c>
      <c r="E13" s="77">
        <f t="shared" si="6"/>
        <v>3522500</v>
      </c>
      <c r="F13" s="78">
        <f t="shared" si="6"/>
        <v>2938100</v>
      </c>
      <c r="G13" s="78">
        <f t="shared" si="6"/>
        <v>2930308</v>
      </c>
      <c r="H13" s="11">
        <f t="shared" si="0"/>
        <v>99.734794595146525</v>
      </c>
      <c r="I13" s="79">
        <f t="shared" si="6"/>
        <v>3466095</v>
      </c>
      <c r="J13" s="95">
        <v>3522500</v>
      </c>
      <c r="K13" s="78">
        <v>2938100</v>
      </c>
      <c r="L13" s="78">
        <v>2930308</v>
      </c>
      <c r="M13" s="11">
        <f t="shared" si="2"/>
        <v>99.734794595146525</v>
      </c>
      <c r="N13" s="78">
        <v>3466095</v>
      </c>
      <c r="O13" s="77"/>
      <c r="P13" s="78"/>
      <c r="Q13" s="78"/>
      <c r="R13" s="11" t="e">
        <f t="shared" si="3"/>
        <v>#DIV/0!</v>
      </c>
      <c r="S13" s="78"/>
      <c r="T13" s="77"/>
      <c r="U13" s="78">
        <v>49400</v>
      </c>
      <c r="V13" s="78">
        <v>30964</v>
      </c>
      <c r="W13" s="274">
        <f t="shared" si="4"/>
        <v>62.680161943319831</v>
      </c>
      <c r="X13" s="81"/>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c r="K14" s="78"/>
      <c r="L14" s="78"/>
      <c r="M14" s="11" t="e">
        <f t="shared" si="2"/>
        <v>#DIV/0!</v>
      </c>
      <c r="N14" s="78"/>
      <c r="O14" s="77"/>
      <c r="P14" s="78"/>
      <c r="Q14" s="78"/>
      <c r="R14" s="11" t="e">
        <f t="shared" si="3"/>
        <v>#DIV/0!</v>
      </c>
      <c r="S14" s="78"/>
      <c r="T14" s="77"/>
      <c r="U14" s="78"/>
      <c r="V14" s="78"/>
      <c r="W14" s="274" t="e">
        <f t="shared" si="4"/>
        <v>#DIV/0!</v>
      </c>
      <c r="X14" s="81"/>
    </row>
    <row r="15" spans="1:24" s="6" customFormat="1" ht="9.9499999999999993" customHeight="1" x14ac:dyDescent="0.2">
      <c r="A15" s="38" t="s">
        <v>12</v>
      </c>
      <c r="B15" s="815" t="s">
        <v>68</v>
      </c>
      <c r="C15" s="816"/>
      <c r="D15" s="56" t="s">
        <v>25</v>
      </c>
      <c r="E15" s="77">
        <f t="shared" si="6"/>
        <v>880000</v>
      </c>
      <c r="F15" s="78">
        <f t="shared" si="6"/>
        <v>1366000</v>
      </c>
      <c r="G15" s="78">
        <f t="shared" si="6"/>
        <v>1365939</v>
      </c>
      <c r="H15" s="11">
        <f t="shared" si="0"/>
        <v>99.995534407027819</v>
      </c>
      <c r="I15" s="79">
        <f t="shared" si="6"/>
        <v>866486</v>
      </c>
      <c r="J15" s="95">
        <v>880000</v>
      </c>
      <c r="K15" s="78">
        <v>1366000</v>
      </c>
      <c r="L15" s="78">
        <v>1365939</v>
      </c>
      <c r="M15" s="11">
        <f t="shared" si="2"/>
        <v>99.995534407027819</v>
      </c>
      <c r="N15" s="78">
        <v>866486</v>
      </c>
      <c r="O15" s="77"/>
      <c r="P15" s="78"/>
      <c r="Q15" s="78"/>
      <c r="R15" s="11" t="e">
        <f t="shared" si="3"/>
        <v>#DIV/0!</v>
      </c>
      <c r="S15" s="78"/>
      <c r="T15" s="77"/>
      <c r="U15" s="78">
        <v>24000</v>
      </c>
      <c r="V15" s="78">
        <v>480</v>
      </c>
      <c r="W15" s="274">
        <f t="shared" si="4"/>
        <v>2</v>
      </c>
      <c r="X15" s="81"/>
    </row>
    <row r="16" spans="1:24" s="6" customFormat="1" ht="9.9499999999999993" customHeight="1" x14ac:dyDescent="0.2">
      <c r="A16" s="38" t="s">
        <v>13</v>
      </c>
      <c r="B16" s="815" t="s">
        <v>30</v>
      </c>
      <c r="C16" s="816"/>
      <c r="D16" s="56" t="s">
        <v>25</v>
      </c>
      <c r="E16" s="77">
        <f t="shared" si="6"/>
        <v>55383</v>
      </c>
      <c r="F16" s="78">
        <f t="shared" si="6"/>
        <v>43800</v>
      </c>
      <c r="G16" s="78">
        <f t="shared" si="6"/>
        <v>43431</v>
      </c>
      <c r="H16" s="11">
        <f t="shared" si="0"/>
        <v>99.157534246575338</v>
      </c>
      <c r="I16" s="79">
        <f t="shared" si="6"/>
        <v>45972</v>
      </c>
      <c r="J16" s="95">
        <v>12000</v>
      </c>
      <c r="K16" s="78">
        <v>5800</v>
      </c>
      <c r="L16" s="78">
        <v>5760</v>
      </c>
      <c r="M16" s="11">
        <f t="shared" si="2"/>
        <v>99.310344827586206</v>
      </c>
      <c r="N16" s="78">
        <v>8247</v>
      </c>
      <c r="O16" s="77">
        <v>43383</v>
      </c>
      <c r="P16" s="78">
        <v>38000</v>
      </c>
      <c r="Q16" s="78">
        <v>37671</v>
      </c>
      <c r="R16" s="11">
        <f t="shared" si="3"/>
        <v>99.134210526315798</v>
      </c>
      <c r="S16" s="78">
        <v>37725</v>
      </c>
      <c r="T16" s="77"/>
      <c r="U16" s="78"/>
      <c r="V16" s="78"/>
      <c r="W16" s="274" t="e">
        <f t="shared" si="4"/>
        <v>#DIV/0!</v>
      </c>
      <c r="X16" s="81"/>
    </row>
    <row r="17" spans="1:24" s="6" customFormat="1" ht="9.9499999999999993" customHeight="1" x14ac:dyDescent="0.2">
      <c r="A17" s="38" t="s">
        <v>14</v>
      </c>
      <c r="B17" s="46" t="s">
        <v>49</v>
      </c>
      <c r="C17" s="47"/>
      <c r="D17" s="56" t="s">
        <v>25</v>
      </c>
      <c r="E17" s="77">
        <f t="shared" si="6"/>
        <v>5000</v>
      </c>
      <c r="F17" s="78">
        <f t="shared" si="6"/>
        <v>5000</v>
      </c>
      <c r="G17" s="78">
        <f t="shared" si="6"/>
        <v>4991</v>
      </c>
      <c r="H17" s="11">
        <f t="shared" si="0"/>
        <v>99.82</v>
      </c>
      <c r="I17" s="79">
        <f t="shared" si="6"/>
        <v>3981</v>
      </c>
      <c r="J17" s="95">
        <v>5000</v>
      </c>
      <c r="K17" s="78">
        <v>5000</v>
      </c>
      <c r="L17" s="78">
        <v>4991</v>
      </c>
      <c r="M17" s="11">
        <f t="shared" si="2"/>
        <v>99.82</v>
      </c>
      <c r="N17" s="78">
        <v>3981</v>
      </c>
      <c r="O17" s="77"/>
      <c r="P17" s="78"/>
      <c r="Q17" s="78"/>
      <c r="R17" s="11" t="e">
        <f t="shared" si="3"/>
        <v>#DIV/0!</v>
      </c>
      <c r="S17" s="78"/>
      <c r="T17" s="77"/>
      <c r="U17" s="78"/>
      <c r="V17" s="78"/>
      <c r="W17" s="274" t="e">
        <f t="shared" si="4"/>
        <v>#DIV/0!</v>
      </c>
      <c r="X17" s="81"/>
    </row>
    <row r="18" spans="1:24" s="6" customFormat="1" ht="9.9499999999999993" customHeight="1" x14ac:dyDescent="0.2">
      <c r="A18" s="38" t="s">
        <v>15</v>
      </c>
      <c r="B18" s="815" t="s">
        <v>31</v>
      </c>
      <c r="C18" s="816"/>
      <c r="D18" s="56" t="s">
        <v>25</v>
      </c>
      <c r="E18" s="77">
        <f t="shared" si="6"/>
        <v>776700</v>
      </c>
      <c r="F18" s="78">
        <f t="shared" si="6"/>
        <v>741148</v>
      </c>
      <c r="G18" s="78">
        <f t="shared" si="6"/>
        <v>733005</v>
      </c>
      <c r="H18" s="11">
        <f t="shared" si="0"/>
        <v>98.901299065773642</v>
      </c>
      <c r="I18" s="79">
        <f t="shared" si="6"/>
        <v>830881</v>
      </c>
      <c r="J18" s="95">
        <v>576700</v>
      </c>
      <c r="K18" s="78">
        <v>486148</v>
      </c>
      <c r="L18" s="78">
        <v>477548</v>
      </c>
      <c r="M18" s="11">
        <f t="shared" si="2"/>
        <v>98.230991385339436</v>
      </c>
      <c r="N18" s="78">
        <v>538301</v>
      </c>
      <c r="O18" s="77">
        <v>200000</v>
      </c>
      <c r="P18" s="78">
        <v>255000</v>
      </c>
      <c r="Q18" s="78">
        <v>255457</v>
      </c>
      <c r="R18" s="11">
        <f t="shared" si="3"/>
        <v>100.1792156862745</v>
      </c>
      <c r="S18" s="78">
        <v>292580</v>
      </c>
      <c r="T18" s="77"/>
      <c r="U18" s="78">
        <v>16000</v>
      </c>
      <c r="V18" s="78">
        <v>11830</v>
      </c>
      <c r="W18" s="274">
        <f t="shared" si="4"/>
        <v>73.9375</v>
      </c>
      <c r="X18" s="81"/>
    </row>
    <row r="19" spans="1:24" s="12" customFormat="1" ht="9.9499999999999993" customHeight="1" x14ac:dyDescent="0.2">
      <c r="A19" s="38" t="s">
        <v>16</v>
      </c>
      <c r="B19" s="815" t="s">
        <v>32</v>
      </c>
      <c r="C19" s="816"/>
      <c r="D19" s="56" t="s">
        <v>25</v>
      </c>
      <c r="E19" s="77">
        <f t="shared" si="6"/>
        <v>23814000</v>
      </c>
      <c r="F19" s="78">
        <f t="shared" si="6"/>
        <v>24322618</v>
      </c>
      <c r="G19" s="78">
        <f t="shared" si="6"/>
        <v>24317277</v>
      </c>
      <c r="H19" s="11">
        <f t="shared" si="0"/>
        <v>99.978041015157174</v>
      </c>
      <c r="I19" s="79">
        <f t="shared" si="6"/>
        <v>23240441</v>
      </c>
      <c r="J19" s="96">
        <v>350000</v>
      </c>
      <c r="K19" s="78">
        <v>365000</v>
      </c>
      <c r="L19" s="78">
        <v>359659</v>
      </c>
      <c r="M19" s="11">
        <f t="shared" si="2"/>
        <v>98.536712328767123</v>
      </c>
      <c r="N19" s="78">
        <v>349940</v>
      </c>
      <c r="O19" s="77">
        <v>23464000</v>
      </c>
      <c r="P19" s="78">
        <v>23957618</v>
      </c>
      <c r="Q19" s="78">
        <v>23957618</v>
      </c>
      <c r="R19" s="11">
        <f t="shared" si="3"/>
        <v>100</v>
      </c>
      <c r="S19" s="78">
        <v>22890501</v>
      </c>
      <c r="T19" s="77"/>
      <c r="U19" s="78">
        <v>18000</v>
      </c>
      <c r="V19" s="78">
        <v>15039</v>
      </c>
      <c r="W19" s="274">
        <f t="shared" si="4"/>
        <v>83.55</v>
      </c>
      <c r="X19" s="81"/>
    </row>
    <row r="20" spans="1:24" s="6" customFormat="1" ht="9.9499999999999993" customHeight="1" x14ac:dyDescent="0.2">
      <c r="A20" s="38" t="s">
        <v>17</v>
      </c>
      <c r="B20" s="815" t="s">
        <v>50</v>
      </c>
      <c r="C20" s="816"/>
      <c r="D20" s="56" t="s">
        <v>25</v>
      </c>
      <c r="E20" s="77">
        <f t="shared" si="6"/>
        <v>8065300</v>
      </c>
      <c r="F20" s="78">
        <f t="shared" si="6"/>
        <v>8310300</v>
      </c>
      <c r="G20" s="78">
        <f t="shared" si="6"/>
        <v>8307018</v>
      </c>
      <c r="H20" s="11">
        <f t="shared" si="0"/>
        <v>99.960506840908266</v>
      </c>
      <c r="I20" s="79">
        <f t="shared" si="6"/>
        <v>7826035</v>
      </c>
      <c r="J20" s="95">
        <v>101300</v>
      </c>
      <c r="K20" s="78">
        <v>101300</v>
      </c>
      <c r="L20" s="78">
        <v>98901</v>
      </c>
      <c r="M20" s="11">
        <f t="shared" si="2"/>
        <v>97.631786771964457</v>
      </c>
      <c r="N20" s="78">
        <v>91582</v>
      </c>
      <c r="O20" s="77">
        <v>7964000</v>
      </c>
      <c r="P20" s="78">
        <v>8209000</v>
      </c>
      <c r="Q20" s="78">
        <v>8208117</v>
      </c>
      <c r="R20" s="11">
        <f t="shared" si="3"/>
        <v>99.98924351321719</v>
      </c>
      <c r="S20" s="78">
        <v>7734453</v>
      </c>
      <c r="T20" s="77"/>
      <c r="U20" s="78">
        <v>6120</v>
      </c>
      <c r="V20" s="78">
        <v>4949</v>
      </c>
      <c r="W20" s="274">
        <f t="shared" si="4"/>
        <v>80.866013071895424</v>
      </c>
      <c r="X20" s="81"/>
    </row>
    <row r="21" spans="1:24" s="6" customFormat="1" ht="9.9499999999999993" customHeight="1" x14ac:dyDescent="0.2">
      <c r="A21" s="38" t="s">
        <v>18</v>
      </c>
      <c r="B21" s="815" t="s">
        <v>51</v>
      </c>
      <c r="C21" s="816"/>
      <c r="D21" s="56" t="s">
        <v>25</v>
      </c>
      <c r="E21" s="77">
        <f t="shared" si="6"/>
        <v>255000</v>
      </c>
      <c r="F21" s="78">
        <f t="shared" si="6"/>
        <v>280000</v>
      </c>
      <c r="G21" s="78">
        <f t="shared" si="6"/>
        <v>278446</v>
      </c>
      <c r="H21" s="11">
        <f t="shared" si="0"/>
        <v>99.444999999999993</v>
      </c>
      <c r="I21" s="79">
        <f t="shared" si="6"/>
        <v>262015</v>
      </c>
      <c r="J21" s="95">
        <v>5000</v>
      </c>
      <c r="K21" s="78">
        <v>5000</v>
      </c>
      <c r="L21" s="78">
        <v>4418</v>
      </c>
      <c r="M21" s="11">
        <f t="shared" si="2"/>
        <v>88.36</v>
      </c>
      <c r="N21" s="78">
        <v>6049</v>
      </c>
      <c r="O21" s="77">
        <v>250000</v>
      </c>
      <c r="P21" s="78">
        <v>275000</v>
      </c>
      <c r="Q21" s="78">
        <v>274028</v>
      </c>
      <c r="R21" s="11">
        <f t="shared" si="3"/>
        <v>99.646545454545461</v>
      </c>
      <c r="S21" s="78">
        <v>255966</v>
      </c>
      <c r="T21" s="77"/>
      <c r="U21" s="78">
        <v>180</v>
      </c>
      <c r="V21" s="78">
        <v>175</v>
      </c>
      <c r="W21" s="274">
        <f t="shared" si="4"/>
        <v>97.222222222222214</v>
      </c>
      <c r="X21" s="81"/>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c r="K22" s="78"/>
      <c r="L22" s="78"/>
      <c r="M22" s="11" t="e">
        <f t="shared" si="2"/>
        <v>#DIV/0!</v>
      </c>
      <c r="N22" s="78"/>
      <c r="O22" s="77"/>
      <c r="P22" s="78"/>
      <c r="Q22" s="78"/>
      <c r="R22" s="11" t="e">
        <f t="shared" si="3"/>
        <v>#DIV/0!</v>
      </c>
      <c r="S22" s="78"/>
      <c r="T22" s="77"/>
      <c r="U22" s="78"/>
      <c r="V22" s="78"/>
      <c r="W22" s="274" t="e">
        <f t="shared" si="4"/>
        <v>#DIV/0!</v>
      </c>
      <c r="X22" s="81"/>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0</v>
      </c>
      <c r="J23" s="95"/>
      <c r="K23" s="78"/>
      <c r="L23" s="78"/>
      <c r="M23" s="11" t="e">
        <f t="shared" si="2"/>
        <v>#DIV/0!</v>
      </c>
      <c r="N23" s="78"/>
      <c r="O23" s="77"/>
      <c r="P23" s="78"/>
      <c r="Q23" s="78"/>
      <c r="R23" s="11" t="e">
        <f t="shared" si="3"/>
        <v>#DIV/0!</v>
      </c>
      <c r="S23" s="78"/>
      <c r="T23" s="77"/>
      <c r="U23" s="78"/>
      <c r="V23" s="78"/>
      <c r="W23" s="274"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8"/>
      <c r="O24" s="77"/>
      <c r="P24" s="78"/>
      <c r="Q24" s="78"/>
      <c r="R24" s="11" t="e">
        <f t="shared" si="3"/>
        <v>#DIV/0!</v>
      </c>
      <c r="S24" s="78"/>
      <c r="T24" s="77"/>
      <c r="U24" s="78"/>
      <c r="V24" s="78"/>
      <c r="W24" s="274" t="e">
        <f t="shared" si="4"/>
        <v>#DIV/0!</v>
      </c>
      <c r="X24" s="81"/>
    </row>
    <row r="25" spans="1:24" s="6" customFormat="1" ht="9.9499999999999993" customHeight="1" x14ac:dyDescent="0.2">
      <c r="A25" s="39" t="s">
        <v>22</v>
      </c>
      <c r="B25" s="48" t="s">
        <v>71</v>
      </c>
      <c r="C25" s="49"/>
      <c r="D25" s="56" t="s">
        <v>25</v>
      </c>
      <c r="E25" s="77">
        <f t="shared" si="6"/>
        <v>0</v>
      </c>
      <c r="F25" s="78">
        <f t="shared" si="6"/>
        <v>0</v>
      </c>
      <c r="G25" s="78">
        <f t="shared" si="6"/>
        <v>0</v>
      </c>
      <c r="H25" s="11" t="e">
        <f t="shared" si="0"/>
        <v>#DIV/0!</v>
      </c>
      <c r="I25" s="79">
        <f t="shared" si="6"/>
        <v>0</v>
      </c>
      <c r="J25" s="95"/>
      <c r="K25" s="98"/>
      <c r="L25" s="98"/>
      <c r="M25" s="11" t="e">
        <f t="shared" si="2"/>
        <v>#DIV/0!</v>
      </c>
      <c r="N25" s="98"/>
      <c r="O25" s="100"/>
      <c r="P25" s="98"/>
      <c r="Q25" s="98"/>
      <c r="R25" s="11" t="e">
        <f t="shared" si="3"/>
        <v>#DIV/0!</v>
      </c>
      <c r="S25" s="98"/>
      <c r="T25" s="102"/>
      <c r="U25" s="103"/>
      <c r="V25" s="103"/>
      <c r="W25" s="274" t="e">
        <f t="shared" si="4"/>
        <v>#DIV/0!</v>
      </c>
      <c r="X25" s="104"/>
    </row>
    <row r="26" spans="1:24" s="14" customFormat="1" ht="9.9499999999999993" customHeight="1" x14ac:dyDescent="0.2">
      <c r="A26" s="38" t="s">
        <v>23</v>
      </c>
      <c r="B26" s="815" t="s">
        <v>72</v>
      </c>
      <c r="C26" s="816"/>
      <c r="D26" s="56" t="s">
        <v>25</v>
      </c>
      <c r="E26" s="77">
        <f t="shared" si="6"/>
        <v>280000</v>
      </c>
      <c r="F26" s="78">
        <f t="shared" si="6"/>
        <v>272100</v>
      </c>
      <c r="G26" s="78">
        <f t="shared" si="6"/>
        <v>250543</v>
      </c>
      <c r="H26" s="11">
        <f t="shared" si="0"/>
        <v>92.077545020213165</v>
      </c>
      <c r="I26" s="79">
        <f t="shared" si="6"/>
        <v>275543</v>
      </c>
      <c r="J26" s="95">
        <v>280000</v>
      </c>
      <c r="K26" s="103">
        <v>272100</v>
      </c>
      <c r="L26" s="103">
        <v>250543</v>
      </c>
      <c r="M26" s="11">
        <f t="shared" si="2"/>
        <v>92.077545020213165</v>
      </c>
      <c r="N26" s="103">
        <v>275543</v>
      </c>
      <c r="O26" s="102"/>
      <c r="P26" s="103"/>
      <c r="Q26" s="103"/>
      <c r="R26" s="11" t="e">
        <f t="shared" si="3"/>
        <v>#DIV/0!</v>
      </c>
      <c r="S26" s="103"/>
      <c r="T26" s="275"/>
      <c r="U26" s="276">
        <v>7900</v>
      </c>
      <c r="V26" s="276">
        <v>5390</v>
      </c>
      <c r="W26" s="274">
        <f t="shared" si="4"/>
        <v>68.22784810126582</v>
      </c>
      <c r="X26" s="277"/>
    </row>
    <row r="27" spans="1:24" s="16" customFormat="1" ht="9.9499999999999993" customHeight="1" x14ac:dyDescent="0.2">
      <c r="A27" s="38" t="s">
        <v>45</v>
      </c>
      <c r="B27" s="46" t="s">
        <v>73</v>
      </c>
      <c r="C27" s="47"/>
      <c r="D27" s="56" t="s">
        <v>25</v>
      </c>
      <c r="E27" s="77">
        <f t="shared" si="6"/>
        <v>380000</v>
      </c>
      <c r="F27" s="78">
        <f t="shared" si="6"/>
        <v>1040900</v>
      </c>
      <c r="G27" s="78">
        <f t="shared" si="6"/>
        <v>1040348</v>
      </c>
      <c r="H27" s="11">
        <f t="shared" si="0"/>
        <v>99.946968969161304</v>
      </c>
      <c r="I27" s="79">
        <f t="shared" si="6"/>
        <v>908117</v>
      </c>
      <c r="J27" s="95">
        <v>150000</v>
      </c>
      <c r="K27" s="103">
        <v>666900</v>
      </c>
      <c r="L27" s="103">
        <v>666761</v>
      </c>
      <c r="M27" s="11">
        <f t="shared" si="2"/>
        <v>99.979157294946759</v>
      </c>
      <c r="N27" s="103">
        <v>247210</v>
      </c>
      <c r="O27" s="102">
        <v>230000</v>
      </c>
      <c r="P27" s="103">
        <v>374000</v>
      </c>
      <c r="Q27" s="103">
        <v>373587</v>
      </c>
      <c r="R27" s="11">
        <f t="shared" si="3"/>
        <v>99.88957219251337</v>
      </c>
      <c r="S27" s="103">
        <v>660907</v>
      </c>
      <c r="T27" s="275"/>
      <c r="U27" s="276"/>
      <c r="V27" s="276"/>
      <c r="W27" s="274" t="e">
        <f t="shared" si="4"/>
        <v>#DIV/0!</v>
      </c>
      <c r="X27" s="277"/>
    </row>
    <row r="28" spans="1:24" s="14" customFormat="1" ht="9.9499999999999993" customHeight="1" x14ac:dyDescent="0.2">
      <c r="A28" s="38" t="s">
        <v>53</v>
      </c>
      <c r="B28" s="815" t="s">
        <v>74</v>
      </c>
      <c r="C28" s="816"/>
      <c r="D28" s="56" t="s">
        <v>25</v>
      </c>
      <c r="E28" s="77">
        <f t="shared" ref="E28:G30" si="7">SUM(J28,O28)</f>
        <v>3812</v>
      </c>
      <c r="F28" s="78">
        <f t="shared" si="7"/>
        <v>3644</v>
      </c>
      <c r="G28" s="78">
        <f t="shared" si="7"/>
        <v>3294</v>
      </c>
      <c r="H28" s="11">
        <f t="shared" si="0"/>
        <v>90.395170142700337</v>
      </c>
      <c r="I28" s="79">
        <f>SUM(N28,S28)</f>
        <v>62966</v>
      </c>
      <c r="J28" s="95">
        <v>3812</v>
      </c>
      <c r="K28" s="103">
        <v>3644</v>
      </c>
      <c r="L28" s="103">
        <v>3294</v>
      </c>
      <c r="M28" s="11">
        <f t="shared" si="2"/>
        <v>90.395170142700337</v>
      </c>
      <c r="N28" s="103">
        <v>62966</v>
      </c>
      <c r="O28" s="102"/>
      <c r="P28" s="103"/>
      <c r="Q28" s="103"/>
      <c r="R28" s="11" t="e">
        <f t="shared" si="3"/>
        <v>#DIV/0!</v>
      </c>
      <c r="S28" s="103"/>
      <c r="T28" s="275"/>
      <c r="U28" s="276"/>
      <c r="V28" s="276">
        <v>19</v>
      </c>
      <c r="W28" s="274" t="e">
        <f t="shared" si="4"/>
        <v>#DIV/0!</v>
      </c>
      <c r="X28" s="277"/>
    </row>
    <row r="29" spans="1:24" s="6" customFormat="1" ht="9.75" x14ac:dyDescent="0.2">
      <c r="A29" s="38" t="s">
        <v>54</v>
      </c>
      <c r="B29" s="46" t="s">
        <v>55</v>
      </c>
      <c r="C29" s="47"/>
      <c r="D29" s="56" t="s">
        <v>25</v>
      </c>
      <c r="E29" s="77">
        <f t="shared" si="7"/>
        <v>0</v>
      </c>
      <c r="F29" s="78">
        <f t="shared" si="7"/>
        <v>0</v>
      </c>
      <c r="G29" s="78">
        <f t="shared" si="7"/>
        <v>0</v>
      </c>
      <c r="H29" s="11" t="e">
        <f t="shared" si="0"/>
        <v>#DIV/0!</v>
      </c>
      <c r="I29" s="79">
        <f>SUM(N29,S29)</f>
        <v>0</v>
      </c>
      <c r="J29" s="95"/>
      <c r="K29" s="103"/>
      <c r="L29" s="103"/>
      <c r="M29" s="11" t="e">
        <f t="shared" si="2"/>
        <v>#DIV/0!</v>
      </c>
      <c r="N29" s="103"/>
      <c r="O29" s="102"/>
      <c r="P29" s="103"/>
      <c r="Q29" s="103"/>
      <c r="R29" s="11" t="e">
        <f t="shared" si="3"/>
        <v>#DIV/0!</v>
      </c>
      <c r="S29" s="103"/>
      <c r="T29" s="275"/>
      <c r="U29" s="276"/>
      <c r="V29" s="276"/>
      <c r="W29" s="274" t="e">
        <f t="shared" si="4"/>
        <v>#DIV/0!</v>
      </c>
      <c r="X29" s="277"/>
    </row>
    <row r="30" spans="1:24" s="27" customFormat="1" ht="9.75" x14ac:dyDescent="0.2">
      <c r="A30" s="40" t="s">
        <v>56</v>
      </c>
      <c r="B30" s="44" t="s">
        <v>75</v>
      </c>
      <c r="C30" s="50"/>
      <c r="D30" s="59" t="s">
        <v>25</v>
      </c>
      <c r="E30" s="82">
        <f t="shared" si="7"/>
        <v>0</v>
      </c>
      <c r="F30" s="83">
        <f t="shared" si="7"/>
        <v>0</v>
      </c>
      <c r="G30" s="83">
        <f t="shared" si="7"/>
        <v>0</v>
      </c>
      <c r="H30" s="31" t="e">
        <f t="shared" si="0"/>
        <v>#DIV/0!</v>
      </c>
      <c r="I30" s="84">
        <f>SUM(N30,S30)</f>
        <v>0</v>
      </c>
      <c r="J30" s="106"/>
      <c r="K30" s="107"/>
      <c r="L30" s="107"/>
      <c r="M30" s="31" t="e">
        <f t="shared" si="2"/>
        <v>#DIV/0!</v>
      </c>
      <c r="N30" s="107"/>
      <c r="O30" s="109"/>
      <c r="P30" s="107"/>
      <c r="Q30" s="107"/>
      <c r="R30" s="31" t="e">
        <f t="shared" si="3"/>
        <v>#DIV/0!</v>
      </c>
      <c r="S30" s="107"/>
      <c r="T30" s="109"/>
      <c r="U30" s="107"/>
      <c r="V30" s="107"/>
      <c r="W30" s="278" t="e">
        <f t="shared" si="4"/>
        <v>#DIV/0!</v>
      </c>
      <c r="X30" s="111"/>
    </row>
    <row r="31" spans="1:24" s="27" customFormat="1" ht="9.75" x14ac:dyDescent="0.2">
      <c r="A31" s="33" t="s">
        <v>57</v>
      </c>
      <c r="B31" s="817" t="s">
        <v>58</v>
      </c>
      <c r="C31" s="818"/>
      <c r="D31" s="22" t="s">
        <v>25</v>
      </c>
      <c r="E31" s="67">
        <f>SUM(E6-E11)</f>
        <v>0</v>
      </c>
      <c r="F31" s="67">
        <f>SUM(F6-F11)</f>
        <v>-3560</v>
      </c>
      <c r="G31" s="67">
        <f>SUM(G6-G11)</f>
        <v>46050</v>
      </c>
      <c r="H31" s="21">
        <f t="shared" si="0"/>
        <v>-1293.5393258426966</v>
      </c>
      <c r="I31" s="68">
        <f>SUM(I6-I11)</f>
        <v>143667</v>
      </c>
      <c r="J31" s="67">
        <f>SUM(J6-J11)</f>
        <v>0</v>
      </c>
      <c r="K31" s="67">
        <f>SUM(K6-K11)</f>
        <v>-3560</v>
      </c>
      <c r="L31" s="67">
        <f>SUM(L6-L11)</f>
        <v>46050</v>
      </c>
      <c r="M31" s="21">
        <f t="shared" si="2"/>
        <v>-1293.5393258426966</v>
      </c>
      <c r="N31" s="68">
        <f>SUM(N6-N11)</f>
        <v>143667</v>
      </c>
      <c r="O31" s="67">
        <f>SUM(O6-O11)</f>
        <v>0</v>
      </c>
      <c r="P31" s="67">
        <f>SUM(P6-P11)</f>
        <v>0</v>
      </c>
      <c r="Q31" s="67">
        <f>SUM(Q6-Q11)</f>
        <v>0</v>
      </c>
      <c r="R31" s="21" t="e">
        <f t="shared" si="3"/>
        <v>#DIV/0!</v>
      </c>
      <c r="S31" s="67">
        <f>SUM(S6-S11)</f>
        <v>0</v>
      </c>
      <c r="T31" s="69">
        <f>SUM(T6-T11)</f>
        <v>0</v>
      </c>
      <c r="U31" s="69">
        <f>SUM(U6-U11)</f>
        <v>11700</v>
      </c>
      <c r="V31" s="69">
        <f>SUM(V6-V11)</f>
        <v>79031</v>
      </c>
      <c r="W31" s="173">
        <f t="shared" si="4"/>
        <v>675.47863247863256</v>
      </c>
      <c r="X31" s="69">
        <f>SUM(X6-X11)</f>
        <v>0</v>
      </c>
    </row>
    <row r="32" spans="1:24" s="27" customFormat="1" ht="9.75" x14ac:dyDescent="0.2">
      <c r="A32" s="41" t="s">
        <v>59</v>
      </c>
      <c r="B32" s="60" t="s">
        <v>76</v>
      </c>
      <c r="C32" s="61"/>
      <c r="D32" s="22" t="s">
        <v>25</v>
      </c>
      <c r="E32" s="130">
        <f>SUM(J32,O32)</f>
        <v>0</v>
      </c>
      <c r="F32" s="131">
        <f>SUM(K32,P32)</f>
        <v>0</v>
      </c>
      <c r="G32" s="131">
        <f>SUM(L32,Q32)</f>
        <v>0</v>
      </c>
      <c r="H32" s="26" t="e">
        <f t="shared" si="0"/>
        <v>#DIV/0!</v>
      </c>
      <c r="I32" s="132">
        <f>SUM(N32,S32)</f>
        <v>0</v>
      </c>
      <c r="J32" s="112"/>
      <c r="K32" s="113"/>
      <c r="L32" s="113"/>
      <c r="M32" s="9" t="e">
        <f t="shared" si="2"/>
        <v>#DIV/0!</v>
      </c>
      <c r="N32" s="114"/>
      <c r="O32" s="115"/>
      <c r="P32" s="113"/>
      <c r="Q32" s="113"/>
      <c r="R32" s="9" t="e">
        <f t="shared" si="3"/>
        <v>#DIV/0!</v>
      </c>
      <c r="S32" s="113"/>
      <c r="T32" s="168"/>
      <c r="U32" s="169"/>
      <c r="V32" s="169"/>
      <c r="W32" s="170" t="e">
        <f t="shared" si="4"/>
        <v>#DIV/0!</v>
      </c>
      <c r="X32" s="171"/>
    </row>
    <row r="33" spans="1:24" s="27" customFormat="1" ht="9.75" x14ac:dyDescent="0.2">
      <c r="A33" s="33" t="s">
        <v>60</v>
      </c>
      <c r="B33" s="24" t="s">
        <v>61</v>
      </c>
      <c r="C33" s="25"/>
      <c r="D33" s="22" t="s">
        <v>25</v>
      </c>
      <c r="E33" s="67">
        <f>E31-E32</f>
        <v>0</v>
      </c>
      <c r="F33" s="67">
        <f>F31-F32</f>
        <v>-3560</v>
      </c>
      <c r="G33" s="67">
        <f>G31-G32</f>
        <v>46050</v>
      </c>
      <c r="H33" s="29">
        <f t="shared" si="0"/>
        <v>-1293.5393258426966</v>
      </c>
      <c r="I33" s="68">
        <f>I31-I32</f>
        <v>143667</v>
      </c>
      <c r="J33" s="67">
        <f>J31-J32</f>
        <v>0</v>
      </c>
      <c r="K33" s="67">
        <f>K31-K32</f>
        <v>-3560</v>
      </c>
      <c r="L33" s="67">
        <f>L31-L32</f>
        <v>46050</v>
      </c>
      <c r="M33" s="21">
        <f t="shared" si="2"/>
        <v>-1293.5393258426966</v>
      </c>
      <c r="N33" s="68">
        <f>N31-N32</f>
        <v>143667</v>
      </c>
      <c r="O33" s="67">
        <f>O31-O32</f>
        <v>0</v>
      </c>
      <c r="P33" s="67">
        <f>P31-P32</f>
        <v>0</v>
      </c>
      <c r="Q33" s="67">
        <f>Q31-Q32</f>
        <v>0</v>
      </c>
      <c r="R33" s="21" t="e">
        <f t="shared" si="3"/>
        <v>#DIV/0!</v>
      </c>
      <c r="S33" s="67">
        <f>S31-S32</f>
        <v>0</v>
      </c>
      <c r="T33" s="69">
        <f>T31-T32</f>
        <v>0</v>
      </c>
      <c r="U33" s="69">
        <f>U31-U32</f>
        <v>11700</v>
      </c>
      <c r="V33" s="69">
        <f>V31-V32</f>
        <v>79031</v>
      </c>
      <c r="W33" s="173">
        <f t="shared" si="4"/>
        <v>675.47863247863256</v>
      </c>
      <c r="X33" s="69">
        <f>X31-X32</f>
        <v>0</v>
      </c>
    </row>
    <row r="34" spans="1:24" s="136" customFormat="1" ht="9" x14ac:dyDescent="0.2">
      <c r="A34" s="42" t="s">
        <v>62</v>
      </c>
      <c r="B34" s="813" t="s">
        <v>24</v>
      </c>
      <c r="C34" s="814"/>
      <c r="D34" s="62" t="s">
        <v>25</v>
      </c>
      <c r="E34" s="207">
        <v>20600</v>
      </c>
      <c r="F34" s="208">
        <v>21108</v>
      </c>
      <c r="G34" s="208">
        <v>21108</v>
      </c>
      <c r="H34" s="13">
        <v>100</v>
      </c>
      <c r="I34" s="208">
        <v>20074</v>
      </c>
      <c r="J34" s="804"/>
      <c r="K34" s="805"/>
      <c r="L34" s="805"/>
      <c r="M34" s="805"/>
      <c r="N34" s="805"/>
      <c r="O34" s="805"/>
      <c r="P34" s="805"/>
      <c r="Q34" s="805"/>
      <c r="R34" s="805"/>
      <c r="S34" s="805"/>
      <c r="T34" s="805"/>
      <c r="U34" s="805"/>
      <c r="V34" s="805"/>
      <c r="W34" s="805"/>
      <c r="X34" s="806"/>
    </row>
    <row r="35" spans="1:24" s="136" customFormat="1" ht="9" x14ac:dyDescent="0.2">
      <c r="A35" s="32" t="s">
        <v>63</v>
      </c>
      <c r="B35" s="797" t="s">
        <v>33</v>
      </c>
      <c r="C35" s="798"/>
      <c r="D35" s="63" t="s">
        <v>26</v>
      </c>
      <c r="E35" s="213">
        <v>97</v>
      </c>
      <c r="F35" s="214">
        <v>97</v>
      </c>
      <c r="G35" s="214">
        <v>96</v>
      </c>
      <c r="H35" s="15">
        <v>98.97</v>
      </c>
      <c r="I35" s="214">
        <v>96</v>
      </c>
      <c r="J35" s="804"/>
      <c r="K35" s="805"/>
      <c r="L35" s="805"/>
      <c r="M35" s="805"/>
      <c r="N35" s="805"/>
      <c r="O35" s="805"/>
      <c r="P35" s="805"/>
      <c r="Q35" s="805"/>
      <c r="R35" s="805"/>
      <c r="S35" s="805"/>
      <c r="T35" s="805"/>
      <c r="U35" s="805"/>
      <c r="V35" s="805"/>
      <c r="W35" s="805"/>
      <c r="X35" s="806"/>
    </row>
    <row r="36" spans="1:24" s="136" customFormat="1" ht="9" x14ac:dyDescent="0.2">
      <c r="A36" s="43" t="s">
        <v>64</v>
      </c>
      <c r="B36" s="799" t="s">
        <v>27</v>
      </c>
      <c r="C36" s="800"/>
      <c r="D36" s="64" t="s">
        <v>26</v>
      </c>
      <c r="E36" s="210">
        <v>102</v>
      </c>
      <c r="F36" s="211">
        <v>102</v>
      </c>
      <c r="G36" s="211">
        <v>101</v>
      </c>
      <c r="H36" s="17">
        <v>99.02</v>
      </c>
      <c r="I36" s="211">
        <v>101</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53"/>
      <c r="K37" s="54"/>
      <c r="L37" s="54"/>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3"/>
  <sheetViews>
    <sheetView tabSelected="1" zoomScaleNormal="100" workbookViewId="0"/>
  </sheetViews>
  <sheetFormatPr defaultRowHeight="12.75" x14ac:dyDescent="0.2"/>
  <cols>
    <col min="1" max="1" width="65" style="66" customWidth="1"/>
    <col min="2" max="2" width="40" style="66" customWidth="1"/>
    <col min="3" max="5" width="25.75" style="66" customWidth="1"/>
    <col min="6" max="6" width="22.75" style="66" customWidth="1"/>
    <col min="7" max="9" width="10" style="66"/>
  </cols>
  <sheetData>
    <row r="1" spans="1:9" ht="18.75" x14ac:dyDescent="0.3">
      <c r="A1" s="65" t="s">
        <v>98</v>
      </c>
      <c r="B1" s="65"/>
      <c r="C1" s="65"/>
      <c r="D1" s="65"/>
      <c r="E1" s="65"/>
      <c r="F1" s="65"/>
      <c r="G1" s="65"/>
      <c r="H1" s="65"/>
      <c r="I1" s="65"/>
    </row>
    <row r="3" spans="1:9" s="217" customFormat="1" ht="10.5" x14ac:dyDescent="0.15">
      <c r="A3" s="852" t="s">
        <v>133</v>
      </c>
      <c r="B3" s="852"/>
      <c r="C3" s="852"/>
      <c r="D3" s="852"/>
      <c r="E3" s="852"/>
      <c r="F3" s="852"/>
      <c r="G3" s="852"/>
      <c r="H3" s="852"/>
      <c r="I3" s="852"/>
    </row>
    <row r="4" spans="1:9" s="218" customFormat="1" ht="11.25" x14ac:dyDescent="0.2"/>
    <row r="5" spans="1:9" s="219" customFormat="1" ht="9.75" x14ac:dyDescent="0.2">
      <c r="A5" s="870" t="s">
        <v>77</v>
      </c>
      <c r="B5" s="871"/>
      <c r="C5" s="691" t="s">
        <v>25</v>
      </c>
      <c r="D5" s="847" t="s">
        <v>281</v>
      </c>
      <c r="E5" s="847"/>
      <c r="F5" s="847"/>
      <c r="G5" s="847"/>
      <c r="H5" s="847"/>
      <c r="I5" s="847"/>
    </row>
    <row r="6" spans="1:9" s="218" customFormat="1" ht="15" customHeight="1" x14ac:dyDescent="0.2">
      <c r="A6" s="872" t="s">
        <v>134</v>
      </c>
      <c r="B6" s="872"/>
      <c r="C6" s="226">
        <f>SUM(C7:C9)</f>
        <v>237938.6</v>
      </c>
      <c r="D6" s="876"/>
      <c r="E6" s="877"/>
      <c r="F6" s="877"/>
      <c r="G6" s="877"/>
      <c r="H6" s="877"/>
      <c r="I6" s="877"/>
    </row>
    <row r="7" spans="1:9" s="218" customFormat="1" ht="25.5" customHeight="1" x14ac:dyDescent="0.2">
      <c r="A7" s="873" t="s">
        <v>78</v>
      </c>
      <c r="B7" s="874"/>
      <c r="C7" s="245">
        <v>41534.22</v>
      </c>
      <c r="D7" s="875" t="s">
        <v>784</v>
      </c>
      <c r="E7" s="875"/>
      <c r="F7" s="875"/>
      <c r="G7" s="875"/>
      <c r="H7" s="875"/>
      <c r="I7" s="875"/>
    </row>
    <row r="8" spans="1:9" s="217" customFormat="1" ht="13.5" customHeight="1" x14ac:dyDescent="0.15">
      <c r="A8" s="863" t="s">
        <v>113</v>
      </c>
      <c r="B8" s="864"/>
      <c r="C8" s="261">
        <v>196404.38</v>
      </c>
      <c r="D8" s="875" t="s">
        <v>785</v>
      </c>
      <c r="E8" s="875"/>
      <c r="F8" s="875"/>
      <c r="G8" s="875"/>
      <c r="H8" s="875"/>
      <c r="I8" s="875"/>
    </row>
    <row r="9" spans="1:9" s="217" customFormat="1" ht="15" customHeight="1" x14ac:dyDescent="0.15">
      <c r="A9" s="863" t="s">
        <v>114</v>
      </c>
      <c r="B9" s="864"/>
      <c r="C9" s="261">
        <v>0</v>
      </c>
      <c r="D9" s="921"/>
      <c r="E9" s="922"/>
      <c r="F9" s="922"/>
      <c r="G9" s="922"/>
      <c r="H9" s="922"/>
      <c r="I9" s="923"/>
    </row>
    <row r="10" spans="1:9" s="218" customFormat="1" ht="11.25" x14ac:dyDescent="0.2">
      <c r="C10" s="220"/>
    </row>
    <row r="11" spans="1:9" s="218" customFormat="1" ht="11.25" x14ac:dyDescent="0.2">
      <c r="A11" s="852" t="s">
        <v>135</v>
      </c>
      <c r="B11" s="852"/>
      <c r="C11" s="852"/>
      <c r="D11" s="852"/>
      <c r="E11" s="852"/>
      <c r="F11" s="852"/>
      <c r="G11" s="852"/>
      <c r="H11" s="852"/>
      <c r="I11" s="852"/>
    </row>
    <row r="12" spans="1:9" s="218" customFormat="1" ht="11.25" x14ac:dyDescent="0.2">
      <c r="C12" s="220"/>
      <c r="D12" s="231"/>
      <c r="E12" s="231"/>
      <c r="F12" s="231"/>
      <c r="G12" s="231"/>
      <c r="H12" s="231"/>
      <c r="I12" s="231"/>
    </row>
    <row r="13" spans="1:9" s="221" customFormat="1" ht="9.75" x14ac:dyDescent="0.2">
      <c r="A13" s="691" t="s">
        <v>77</v>
      </c>
      <c r="B13" s="691" t="s">
        <v>79</v>
      </c>
      <c r="C13" s="691" t="s">
        <v>25</v>
      </c>
      <c r="D13" s="470"/>
      <c r="E13" s="436"/>
      <c r="F13" s="436"/>
      <c r="G13" s="436"/>
      <c r="H13" s="436"/>
      <c r="I13" s="436"/>
    </row>
    <row r="14" spans="1:9" s="218" customFormat="1" ht="15" customHeight="1" x14ac:dyDescent="0.2">
      <c r="A14" s="222" t="s">
        <v>136</v>
      </c>
      <c r="B14" s="437"/>
      <c r="C14" s="223">
        <v>41534.22</v>
      </c>
      <c r="D14" s="471"/>
      <c r="E14" s="439"/>
      <c r="F14" s="439"/>
      <c r="G14" s="439"/>
      <c r="H14" s="439"/>
      <c r="I14" s="439"/>
    </row>
    <row r="15" spans="1:9" s="218" customFormat="1" ht="15" customHeight="1" x14ac:dyDescent="0.2">
      <c r="A15" s="868" t="s">
        <v>137</v>
      </c>
      <c r="B15" s="263" t="s">
        <v>80</v>
      </c>
      <c r="C15" s="264">
        <v>176404.38</v>
      </c>
      <c r="D15" s="472"/>
      <c r="E15" s="441"/>
      <c r="F15" s="441"/>
      <c r="G15" s="441"/>
      <c r="H15" s="441"/>
      <c r="I15" s="441"/>
    </row>
    <row r="16" spans="1:9" s="218" customFormat="1" ht="15" customHeight="1" x14ac:dyDescent="0.2">
      <c r="A16" s="869"/>
      <c r="B16" s="262" t="s">
        <v>81</v>
      </c>
      <c r="C16" s="473">
        <v>20000</v>
      </c>
      <c r="D16" s="554"/>
      <c r="E16" s="443"/>
      <c r="F16" s="443"/>
      <c r="G16" s="443"/>
      <c r="H16" s="443"/>
      <c r="I16" s="443"/>
    </row>
    <row r="17" spans="1:9" s="218" customFormat="1" ht="15" customHeight="1" x14ac:dyDescent="0.2">
      <c r="A17" s="693" t="s">
        <v>134</v>
      </c>
      <c r="B17" s="445"/>
      <c r="C17" s="226">
        <f>SUM(C14:C16)</f>
        <v>237938.6</v>
      </c>
      <c r="D17" s="447"/>
      <c r="E17" s="447"/>
      <c r="F17" s="447"/>
      <c r="G17" s="447"/>
      <c r="H17" s="447"/>
      <c r="I17" s="447"/>
    </row>
    <row r="18" spans="1:9" s="449" customFormat="1" ht="11.25" x14ac:dyDescent="0.2">
      <c r="A18" s="448"/>
      <c r="C18" s="476"/>
      <c r="D18" s="452"/>
      <c r="E18" s="452"/>
      <c r="F18" s="452"/>
      <c r="G18" s="452"/>
      <c r="H18" s="452"/>
      <c r="I18" s="452"/>
    </row>
    <row r="19" spans="1:9" s="218" customFormat="1" ht="11.25" x14ac:dyDescent="0.2">
      <c r="A19" s="852" t="s">
        <v>138</v>
      </c>
      <c r="B19" s="852"/>
      <c r="C19" s="852"/>
      <c r="D19" s="852"/>
      <c r="E19" s="852"/>
      <c r="F19" s="852"/>
      <c r="G19" s="852"/>
      <c r="H19" s="852"/>
      <c r="I19" s="852"/>
    </row>
    <row r="20" spans="1:9" s="218" customFormat="1" ht="11.25" x14ac:dyDescent="0.2">
      <c r="C20" s="220"/>
    </row>
    <row r="21" spans="1:9" s="224" customFormat="1" ht="9.75" x14ac:dyDescent="0.2">
      <c r="A21" s="691" t="s">
        <v>79</v>
      </c>
      <c r="B21" s="691" t="s">
        <v>139</v>
      </c>
      <c r="C21" s="692" t="s">
        <v>140</v>
      </c>
      <c r="D21" s="691" t="s">
        <v>141</v>
      </c>
      <c r="E21" s="691" t="s">
        <v>142</v>
      </c>
      <c r="F21" s="847" t="s">
        <v>115</v>
      </c>
      <c r="G21" s="847"/>
      <c r="H21" s="847"/>
      <c r="I21" s="847"/>
    </row>
    <row r="22" spans="1:9" s="218" customFormat="1" ht="46.5" customHeight="1" x14ac:dyDescent="0.2">
      <c r="A22" s="265" t="s">
        <v>116</v>
      </c>
      <c r="B22" s="266">
        <v>152440.69</v>
      </c>
      <c r="C22" s="266">
        <v>251311.51</v>
      </c>
      <c r="D22" s="266">
        <v>238689.54</v>
      </c>
      <c r="E22" s="268">
        <f t="shared" ref="E22:E25" si="0">B22+C22-D22</f>
        <v>165062.66</v>
      </c>
      <c r="F22" s="785" t="s">
        <v>786</v>
      </c>
      <c r="G22" s="786"/>
      <c r="H22" s="786"/>
      <c r="I22" s="787"/>
    </row>
    <row r="23" spans="1:9" s="218" customFormat="1" ht="36" customHeight="1" x14ac:dyDescent="0.2">
      <c r="A23" s="263" t="s">
        <v>143</v>
      </c>
      <c r="B23" s="267">
        <v>568037.34</v>
      </c>
      <c r="C23" s="267">
        <v>354090</v>
      </c>
      <c r="D23" s="267">
        <v>414959</v>
      </c>
      <c r="E23" s="268">
        <f t="shared" si="0"/>
        <v>507168.33999999997</v>
      </c>
      <c r="F23" s="747" t="s">
        <v>787</v>
      </c>
      <c r="G23" s="795"/>
      <c r="H23" s="795"/>
      <c r="I23" s="796"/>
    </row>
    <row r="24" spans="1:9" s="218" customFormat="1" ht="46.5" customHeight="1" x14ac:dyDescent="0.2">
      <c r="A24" s="263" t="s">
        <v>81</v>
      </c>
      <c r="B24" s="267">
        <v>62983.72</v>
      </c>
      <c r="C24" s="267">
        <v>20000</v>
      </c>
      <c r="D24" s="267">
        <v>0</v>
      </c>
      <c r="E24" s="268">
        <f t="shared" si="0"/>
        <v>82983.72</v>
      </c>
      <c r="F24" s="747" t="s">
        <v>788</v>
      </c>
      <c r="G24" s="795"/>
      <c r="H24" s="795"/>
      <c r="I24" s="796"/>
    </row>
    <row r="25" spans="1:9" s="218" customFormat="1" ht="12" customHeight="1" x14ac:dyDescent="0.2">
      <c r="A25" s="262" t="s">
        <v>82</v>
      </c>
      <c r="B25" s="268">
        <v>133609.65</v>
      </c>
      <c r="C25" s="268">
        <v>153981.09</v>
      </c>
      <c r="D25" s="268">
        <v>153670</v>
      </c>
      <c r="E25" s="268">
        <f t="shared" si="0"/>
        <v>133920.74</v>
      </c>
      <c r="F25" s="759" t="s">
        <v>516</v>
      </c>
      <c r="G25" s="848"/>
      <c r="H25" s="848"/>
      <c r="I25" s="849"/>
    </row>
    <row r="26" spans="1:9" s="217" customFormat="1" ht="10.5" x14ac:dyDescent="0.15">
      <c r="A26" s="225" t="s">
        <v>34</v>
      </c>
      <c r="B26" s="226">
        <f>SUM(B22:B25)</f>
        <v>917071.4</v>
      </c>
      <c r="C26" s="226">
        <f t="shared" ref="C26:E26" si="1">SUM(C22:C25)</f>
        <v>779382.6</v>
      </c>
      <c r="D26" s="226">
        <f t="shared" si="1"/>
        <v>807318.54</v>
      </c>
      <c r="E26" s="226">
        <f t="shared" si="1"/>
        <v>889135.46</v>
      </c>
      <c r="F26" s="850"/>
      <c r="G26" s="850"/>
      <c r="H26" s="850"/>
      <c r="I26" s="851"/>
    </row>
    <row r="27" spans="1:9" s="218" customFormat="1" ht="11.25" x14ac:dyDescent="0.2">
      <c r="C27" s="220"/>
    </row>
    <row r="28" spans="1:9" s="218" customFormat="1" ht="11.25" x14ac:dyDescent="0.2">
      <c r="A28" s="852" t="s">
        <v>144</v>
      </c>
      <c r="B28" s="852"/>
      <c r="C28" s="852"/>
      <c r="D28" s="852"/>
      <c r="E28" s="852"/>
      <c r="F28" s="852"/>
      <c r="G28" s="852"/>
      <c r="H28" s="852"/>
      <c r="I28" s="852"/>
    </row>
    <row r="29" spans="1:9" s="218" customFormat="1" ht="11.25" x14ac:dyDescent="0.2">
      <c r="C29" s="220"/>
    </row>
    <row r="30" spans="1:9" s="218" customFormat="1" ht="11.25" x14ac:dyDescent="0.2">
      <c r="A30" s="691" t="s">
        <v>83</v>
      </c>
      <c r="B30" s="691" t="s">
        <v>25</v>
      </c>
      <c r="C30" s="692" t="s">
        <v>84</v>
      </c>
      <c r="D30" s="847" t="s">
        <v>117</v>
      </c>
      <c r="E30" s="847"/>
      <c r="F30" s="847"/>
      <c r="G30" s="847"/>
      <c r="H30" s="847"/>
      <c r="I30" s="847"/>
    </row>
    <row r="31" spans="1:9" s="218" customFormat="1" ht="15" customHeight="1" x14ac:dyDescent="0.2">
      <c r="A31" s="239"/>
      <c r="B31" s="266">
        <v>0</v>
      </c>
      <c r="C31" s="227"/>
      <c r="D31" s="1133"/>
      <c r="E31" s="1134"/>
      <c r="F31" s="1134"/>
      <c r="G31" s="1134"/>
      <c r="H31" s="1134"/>
      <c r="I31" s="1135"/>
    </row>
    <row r="32" spans="1:9" s="217" customFormat="1" ht="11.25" x14ac:dyDescent="0.2">
      <c r="A32" s="225" t="s">
        <v>34</v>
      </c>
      <c r="B32" s="226">
        <f>SUM(B31:B31)</f>
        <v>0</v>
      </c>
      <c r="C32" s="879"/>
      <c r="D32" s="879"/>
      <c r="E32" s="879"/>
      <c r="F32" s="879"/>
      <c r="G32" s="879"/>
      <c r="H32" s="879"/>
      <c r="I32" s="880"/>
    </row>
    <row r="33" spans="1:9" s="218" customFormat="1" ht="11.25" x14ac:dyDescent="0.2">
      <c r="C33" s="220"/>
    </row>
    <row r="34" spans="1:9" s="218" customFormat="1" ht="11.25" x14ac:dyDescent="0.2">
      <c r="A34" s="852" t="s">
        <v>145</v>
      </c>
      <c r="B34" s="852"/>
      <c r="C34" s="852"/>
      <c r="D34" s="852"/>
      <c r="E34" s="852"/>
      <c r="F34" s="852"/>
      <c r="G34" s="852"/>
      <c r="H34" s="852"/>
      <c r="I34" s="852"/>
    </row>
    <row r="35" spans="1:9" s="218" customFormat="1" ht="11.25" x14ac:dyDescent="0.2">
      <c r="C35" s="220"/>
    </row>
    <row r="36" spans="1:9" s="218" customFormat="1" ht="11.25" x14ac:dyDescent="0.2">
      <c r="A36" s="691" t="s">
        <v>83</v>
      </c>
      <c r="B36" s="691" t="s">
        <v>25</v>
      </c>
      <c r="C36" s="692" t="s">
        <v>84</v>
      </c>
      <c r="D36" s="847" t="s">
        <v>117</v>
      </c>
      <c r="E36" s="847"/>
      <c r="F36" s="847"/>
      <c r="G36" s="847"/>
      <c r="H36" s="847"/>
      <c r="I36" s="881"/>
    </row>
    <row r="37" spans="1:9" s="218" customFormat="1" ht="15" customHeight="1" x14ac:dyDescent="0.2">
      <c r="A37" s="239"/>
      <c r="B37" s="266">
        <v>0</v>
      </c>
      <c r="C37" s="227"/>
      <c r="D37" s="1133"/>
      <c r="E37" s="1134"/>
      <c r="F37" s="1134"/>
      <c r="G37" s="1134"/>
      <c r="H37" s="1134"/>
      <c r="I37" s="1135"/>
    </row>
    <row r="38" spans="1:9" s="217" customFormat="1" ht="10.5" x14ac:dyDescent="0.15">
      <c r="A38" s="225" t="s">
        <v>34</v>
      </c>
      <c r="B38" s="226">
        <f>SUM(B37:B37)</f>
        <v>0</v>
      </c>
      <c r="C38" s="882"/>
      <c r="D38" s="882"/>
      <c r="E38" s="882"/>
      <c r="F38" s="882"/>
      <c r="G38" s="882"/>
      <c r="H38" s="882"/>
      <c r="I38" s="882"/>
    </row>
    <row r="39" spans="1:9" s="218" customFormat="1" ht="11.25" x14ac:dyDescent="0.2">
      <c r="C39" s="220"/>
    </row>
    <row r="40" spans="1:9" s="218" customFormat="1" ht="11.25" x14ac:dyDescent="0.2">
      <c r="A40" s="852" t="s">
        <v>146</v>
      </c>
      <c r="B40" s="852"/>
      <c r="C40" s="852"/>
      <c r="D40" s="852"/>
      <c r="E40" s="852"/>
      <c r="F40" s="852"/>
      <c r="G40" s="852"/>
      <c r="H40" s="852"/>
      <c r="I40" s="852"/>
    </row>
    <row r="41" spans="1:9" s="218" customFormat="1" ht="11.25" x14ac:dyDescent="0.2">
      <c r="C41" s="220"/>
    </row>
    <row r="42" spans="1:9" s="218" customFormat="1" ht="11.25" x14ac:dyDescent="0.2">
      <c r="A42" s="691" t="s">
        <v>25</v>
      </c>
      <c r="B42" s="692" t="s">
        <v>147</v>
      </c>
      <c r="C42" s="861" t="s">
        <v>85</v>
      </c>
      <c r="D42" s="861"/>
      <c r="E42" s="861"/>
      <c r="F42" s="861"/>
      <c r="G42" s="861"/>
      <c r="H42" s="861"/>
      <c r="I42" s="862"/>
    </row>
    <row r="43" spans="1:9" s="218" customFormat="1" ht="36.75" customHeight="1" x14ac:dyDescent="0.2">
      <c r="A43" s="228">
        <v>40000</v>
      </c>
      <c r="B43" s="228">
        <v>40000</v>
      </c>
      <c r="C43" s="767" t="s">
        <v>819</v>
      </c>
      <c r="D43" s="768"/>
      <c r="E43" s="768"/>
      <c r="F43" s="768"/>
      <c r="G43" s="768"/>
      <c r="H43" s="768"/>
      <c r="I43" s="769"/>
    </row>
    <row r="44" spans="1:9" s="217" customFormat="1" ht="10.5" x14ac:dyDescent="0.15">
      <c r="A44" s="226">
        <f>SUM(A43)</f>
        <v>40000</v>
      </c>
      <c r="B44" s="226">
        <f>SUM(B43)</f>
        <v>40000</v>
      </c>
      <c r="C44" s="859" t="s">
        <v>34</v>
      </c>
      <c r="D44" s="859"/>
      <c r="E44" s="859"/>
      <c r="F44" s="859"/>
      <c r="G44" s="859"/>
      <c r="H44" s="859"/>
      <c r="I44" s="860"/>
    </row>
    <row r="45" spans="1:9" s="218" customFormat="1" ht="11.25" x14ac:dyDescent="0.2">
      <c r="C45" s="220"/>
    </row>
    <row r="46" spans="1:9" s="218" customFormat="1" ht="11.25" x14ac:dyDescent="0.2">
      <c r="A46" s="852" t="s">
        <v>148</v>
      </c>
      <c r="B46" s="852"/>
      <c r="C46" s="852"/>
      <c r="D46" s="852"/>
      <c r="E46" s="852"/>
      <c r="F46" s="852"/>
      <c r="G46" s="852"/>
      <c r="H46" s="852"/>
      <c r="I46" s="852"/>
    </row>
    <row r="47" spans="1:9" s="218" customFormat="1" ht="11.25" x14ac:dyDescent="0.2">
      <c r="C47" s="220"/>
    </row>
    <row r="48" spans="1:9" s="229" customFormat="1" ht="11.25" x14ac:dyDescent="0.2">
      <c r="A48" s="847" t="s">
        <v>86</v>
      </c>
      <c r="B48" s="847"/>
      <c r="C48" s="692" t="s">
        <v>87</v>
      </c>
      <c r="D48" s="691" t="s">
        <v>88</v>
      </c>
      <c r="E48" s="691" t="s">
        <v>25</v>
      </c>
    </row>
    <row r="49" spans="1:5" s="218" customFormat="1" ht="11.25" x14ac:dyDescent="0.2">
      <c r="A49" s="1132" t="s">
        <v>789</v>
      </c>
      <c r="B49" s="1132"/>
      <c r="C49" s="710">
        <v>41716</v>
      </c>
      <c r="D49" s="710">
        <v>41759</v>
      </c>
      <c r="E49" s="711">
        <v>63730.54</v>
      </c>
    </row>
    <row r="50" spans="1:5" s="218" customFormat="1" ht="11.25" x14ac:dyDescent="0.2">
      <c r="A50" s="1131" t="s">
        <v>790</v>
      </c>
      <c r="B50" s="1131"/>
      <c r="C50" s="698">
        <v>41758</v>
      </c>
      <c r="D50" s="698">
        <v>41758</v>
      </c>
      <c r="E50" s="615">
        <v>300000</v>
      </c>
    </row>
    <row r="51" spans="1:5" s="218" customFormat="1" ht="11.25" x14ac:dyDescent="0.2">
      <c r="A51" s="1131" t="s">
        <v>791</v>
      </c>
      <c r="B51" s="1131"/>
      <c r="C51" s="698">
        <v>41758</v>
      </c>
      <c r="D51" s="698">
        <v>41785</v>
      </c>
      <c r="E51" s="615">
        <v>34959</v>
      </c>
    </row>
    <row r="52" spans="1:5" s="218" customFormat="1" ht="11.25" x14ac:dyDescent="0.2">
      <c r="A52" s="1131" t="s">
        <v>792</v>
      </c>
      <c r="B52" s="1131"/>
      <c r="C52" s="698">
        <v>41786</v>
      </c>
      <c r="D52" s="698">
        <v>41831</v>
      </c>
      <c r="E52" s="615">
        <v>380000</v>
      </c>
    </row>
    <row r="53" spans="1:5" s="218" customFormat="1" ht="11.25" x14ac:dyDescent="0.2">
      <c r="A53" s="1131" t="s">
        <v>793</v>
      </c>
      <c r="B53" s="1131"/>
      <c r="C53" s="698">
        <v>41786</v>
      </c>
      <c r="D53" s="698">
        <v>41844</v>
      </c>
      <c r="E53" s="615">
        <v>380000</v>
      </c>
    </row>
    <row r="54" spans="1:5" s="218" customFormat="1" ht="11.25" x14ac:dyDescent="0.2">
      <c r="A54" s="1131" t="s">
        <v>794</v>
      </c>
      <c r="B54" s="1131"/>
      <c r="C54" s="698">
        <v>41786</v>
      </c>
      <c r="D54" s="698">
        <v>41865</v>
      </c>
      <c r="E54" s="615">
        <v>100000</v>
      </c>
    </row>
    <row r="55" spans="1:5" s="218" customFormat="1" ht="11.25" x14ac:dyDescent="0.2">
      <c r="A55" s="1131" t="s">
        <v>793</v>
      </c>
      <c r="B55" s="1131"/>
      <c r="C55" s="698">
        <v>41786</v>
      </c>
      <c r="D55" s="698">
        <v>41824</v>
      </c>
      <c r="E55" s="615">
        <v>200000</v>
      </c>
    </row>
    <row r="56" spans="1:5" s="218" customFormat="1" ht="11.25" x14ac:dyDescent="0.2">
      <c r="A56" s="1131" t="s">
        <v>795</v>
      </c>
      <c r="B56" s="1131"/>
      <c r="C56" s="698">
        <v>41786</v>
      </c>
      <c r="D56" s="698">
        <v>41802</v>
      </c>
      <c r="E56" s="615">
        <v>200000</v>
      </c>
    </row>
    <row r="57" spans="1:5" s="218" customFormat="1" ht="11.25" x14ac:dyDescent="0.2">
      <c r="A57" s="1131" t="s">
        <v>796</v>
      </c>
      <c r="B57" s="1131"/>
      <c r="C57" s="698">
        <v>41961</v>
      </c>
      <c r="D57" s="698">
        <v>41961</v>
      </c>
      <c r="E57" s="615">
        <v>10000</v>
      </c>
    </row>
    <row r="58" spans="1:5" s="218" customFormat="1" ht="11.25" x14ac:dyDescent="0.2">
      <c r="A58" s="1131" t="s">
        <v>797</v>
      </c>
      <c r="B58" s="1131"/>
      <c r="C58" s="698">
        <v>41961</v>
      </c>
      <c r="D58" s="698">
        <v>41961</v>
      </c>
      <c r="E58" s="615">
        <v>200000</v>
      </c>
    </row>
    <row r="59" spans="1:5" s="218" customFormat="1" ht="11.25" x14ac:dyDescent="0.2">
      <c r="A59" s="1131" t="s">
        <v>798</v>
      </c>
      <c r="B59" s="1131"/>
      <c r="C59" s="698">
        <v>41961</v>
      </c>
      <c r="D59" s="698">
        <v>41961</v>
      </c>
      <c r="E59" s="615">
        <v>210000</v>
      </c>
    </row>
    <row r="60" spans="1:5" s="218" customFormat="1" ht="11.25" x14ac:dyDescent="0.2">
      <c r="A60" s="1131" t="s">
        <v>797</v>
      </c>
      <c r="B60" s="1131"/>
      <c r="C60" s="698">
        <v>41976</v>
      </c>
      <c r="D60" s="698">
        <v>41976</v>
      </c>
      <c r="E60" s="615">
        <v>140000</v>
      </c>
    </row>
    <row r="61" spans="1:5" s="218" customFormat="1" ht="11.25" x14ac:dyDescent="0.2">
      <c r="A61" s="1131" t="s">
        <v>798</v>
      </c>
      <c r="B61" s="1131"/>
      <c r="C61" s="698">
        <v>41976</v>
      </c>
      <c r="D61" s="698">
        <v>41976</v>
      </c>
      <c r="E61" s="615">
        <v>140000</v>
      </c>
    </row>
    <row r="62" spans="1:5" s="218" customFormat="1" ht="11.25" x14ac:dyDescent="0.2">
      <c r="A62" s="1131" t="s">
        <v>799</v>
      </c>
      <c r="B62" s="1131"/>
      <c r="C62" s="698">
        <v>41984</v>
      </c>
      <c r="D62" s="698">
        <v>41984</v>
      </c>
      <c r="E62" s="615">
        <v>430000</v>
      </c>
    </row>
    <row r="63" spans="1:5" s="218" customFormat="1" ht="11.25" x14ac:dyDescent="0.2">
      <c r="A63" s="1131" t="s">
        <v>798</v>
      </c>
      <c r="B63" s="1131"/>
      <c r="C63" s="698">
        <v>41984</v>
      </c>
      <c r="D63" s="698">
        <v>41984</v>
      </c>
      <c r="E63" s="615">
        <v>430000</v>
      </c>
    </row>
    <row r="64" spans="1:5" s="218" customFormat="1" ht="11.25" x14ac:dyDescent="0.2">
      <c r="A64" s="231"/>
      <c r="B64" s="231"/>
      <c r="C64" s="434"/>
      <c r="D64" s="231"/>
      <c r="E64" s="614"/>
    </row>
    <row r="65" spans="1:9" s="218" customFormat="1" ht="11.25" x14ac:dyDescent="0.2">
      <c r="A65" s="794" t="s">
        <v>152</v>
      </c>
      <c r="B65" s="794"/>
      <c r="C65" s="794"/>
      <c r="D65" s="794"/>
      <c r="E65" s="794"/>
      <c r="F65" s="794"/>
      <c r="G65" s="794"/>
      <c r="H65" s="794"/>
      <c r="I65" s="794"/>
    </row>
    <row r="66" spans="1:9" s="218" customFormat="1" ht="11.25" x14ac:dyDescent="0.2"/>
    <row r="67" spans="1:9" s="218" customFormat="1" ht="11.25" x14ac:dyDescent="0.2">
      <c r="A67" s="884" t="s">
        <v>518</v>
      </c>
      <c r="B67" s="890"/>
      <c r="C67" s="890"/>
      <c r="D67" s="890"/>
      <c r="E67" s="890"/>
      <c r="F67" s="890"/>
      <c r="G67" s="890"/>
      <c r="H67" s="890"/>
      <c r="I67" s="885"/>
    </row>
    <row r="68" spans="1:9" s="218" customFormat="1" ht="11.25" x14ac:dyDescent="0.2"/>
    <row r="69" spans="1:9" s="217" customFormat="1" ht="10.5" x14ac:dyDescent="0.15">
      <c r="A69" s="852" t="s">
        <v>153</v>
      </c>
      <c r="B69" s="852"/>
      <c r="C69" s="852"/>
      <c r="D69" s="852"/>
      <c r="E69" s="852"/>
      <c r="F69" s="852"/>
      <c r="G69" s="852"/>
      <c r="H69" s="852"/>
      <c r="I69" s="852"/>
    </row>
    <row r="70" spans="1:9" s="218" customFormat="1" ht="11.25" x14ac:dyDescent="0.2"/>
    <row r="71" spans="1:9" s="218" customFormat="1" ht="36.75" customHeight="1" x14ac:dyDescent="0.2">
      <c r="A71" s="789" t="s">
        <v>800</v>
      </c>
      <c r="B71" s="790"/>
      <c r="C71" s="790"/>
      <c r="D71" s="790"/>
      <c r="E71" s="790"/>
      <c r="F71" s="790"/>
      <c r="G71" s="790"/>
      <c r="H71" s="790"/>
      <c r="I71" s="791"/>
    </row>
    <row r="72" spans="1:9" s="218" customFormat="1" ht="12.75" customHeight="1" x14ac:dyDescent="0.2">
      <c r="A72" s="887" t="s">
        <v>801</v>
      </c>
      <c r="B72" s="888"/>
      <c r="C72" s="888"/>
      <c r="D72" s="888"/>
      <c r="E72" s="888"/>
      <c r="F72" s="888"/>
      <c r="G72" s="888"/>
      <c r="H72" s="888"/>
      <c r="I72" s="889"/>
    </row>
    <row r="73" spans="1:9" s="218" customFormat="1" ht="11.25" customHeight="1" x14ac:dyDescent="0.2">
      <c r="A73" s="789" t="s">
        <v>249</v>
      </c>
      <c r="B73" s="790"/>
      <c r="C73" s="790"/>
      <c r="D73" s="790"/>
      <c r="E73" s="790"/>
      <c r="F73" s="790"/>
      <c r="G73" s="790"/>
      <c r="H73" s="790"/>
      <c r="I73" s="791"/>
    </row>
  </sheetData>
  <mergeCells count="55">
    <mergeCell ref="A7:B7"/>
    <mergeCell ref="D7:I7"/>
    <mergeCell ref="A8:B8"/>
    <mergeCell ref="A3:I3"/>
    <mergeCell ref="A5:B5"/>
    <mergeCell ref="D5:I5"/>
    <mergeCell ref="A6:B6"/>
    <mergeCell ref="D6:I6"/>
    <mergeCell ref="D8:I8"/>
    <mergeCell ref="A15:A16"/>
    <mergeCell ref="A19:I19"/>
    <mergeCell ref="A9:B9"/>
    <mergeCell ref="D9:I9"/>
    <mergeCell ref="A11:I11"/>
    <mergeCell ref="A46:I46"/>
    <mergeCell ref="A48:B48"/>
    <mergeCell ref="D37:I37"/>
    <mergeCell ref="C38:I38"/>
    <mergeCell ref="A40:I40"/>
    <mergeCell ref="F21:I21"/>
    <mergeCell ref="F22:I22"/>
    <mergeCell ref="F23:I23"/>
    <mergeCell ref="F24:I24"/>
    <mergeCell ref="A28:I28"/>
    <mergeCell ref="F25:I25"/>
    <mergeCell ref="F26:I26"/>
    <mergeCell ref="A49:B49"/>
    <mergeCell ref="A50:B50"/>
    <mergeCell ref="A54:B54"/>
    <mergeCell ref="A56:B56"/>
    <mergeCell ref="D30:I30"/>
    <mergeCell ref="D31:I31"/>
    <mergeCell ref="C32:I32"/>
    <mergeCell ref="A34:I34"/>
    <mergeCell ref="D36:I36"/>
    <mergeCell ref="A51:B51"/>
    <mergeCell ref="A52:B52"/>
    <mergeCell ref="A53:B53"/>
    <mergeCell ref="A55:B55"/>
    <mergeCell ref="C42:I42"/>
    <mergeCell ref="C43:I43"/>
    <mergeCell ref="C44:I44"/>
    <mergeCell ref="A73:I73"/>
    <mergeCell ref="A57:B57"/>
    <mergeCell ref="A58:B58"/>
    <mergeCell ref="A59:B59"/>
    <mergeCell ref="A60:B60"/>
    <mergeCell ref="A61:B61"/>
    <mergeCell ref="A62:B62"/>
    <mergeCell ref="A65:I65"/>
    <mergeCell ref="A67:I67"/>
    <mergeCell ref="A69:I69"/>
    <mergeCell ref="A71:I71"/>
    <mergeCell ref="A72:I72"/>
    <mergeCell ref="A63:B63"/>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833" t="s">
        <v>98</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91"/>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99"/>
      <c r="B4" s="892"/>
      <c r="C4" s="893"/>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900"/>
      <c r="B5" s="894"/>
      <c r="C5" s="895"/>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25820400</v>
      </c>
      <c r="F6" s="67">
        <f>SUM(F7:F9)</f>
        <v>26585700</v>
      </c>
      <c r="G6" s="67">
        <f>SUM(G7:G9)</f>
        <v>26922681</v>
      </c>
      <c r="H6" s="28">
        <f t="shared" ref="H6:H36" si="0">G6/F6*100</f>
        <v>101.267527279703</v>
      </c>
      <c r="I6" s="67">
        <f>SUM(I7:I9)</f>
        <v>26487772</v>
      </c>
      <c r="J6" s="67">
        <f>SUM(J7:J9)</f>
        <v>6331000</v>
      </c>
      <c r="K6" s="67">
        <f t="shared" ref="K6:Q6" si="1">SUM(K7:K9)</f>
        <v>6382000</v>
      </c>
      <c r="L6" s="67">
        <f t="shared" si="1"/>
        <v>6677581</v>
      </c>
      <c r="M6" s="28">
        <f t="shared" ref="M6:M33" si="2">L6/K6*100</f>
        <v>104.63147916013789</v>
      </c>
      <c r="N6" s="67">
        <f>SUM(N7:N9)</f>
        <v>6475660</v>
      </c>
      <c r="O6" s="67">
        <f t="shared" si="1"/>
        <v>19489400</v>
      </c>
      <c r="P6" s="67">
        <f t="shared" si="1"/>
        <v>20203700</v>
      </c>
      <c r="Q6" s="67">
        <f t="shared" si="1"/>
        <v>20245100</v>
      </c>
      <c r="R6" s="28">
        <f t="shared" ref="R6:R33" si="3">Q6/P6*100</f>
        <v>100.20491296148725</v>
      </c>
      <c r="S6" s="67">
        <f>SUM(S7:S9)</f>
        <v>20012112</v>
      </c>
      <c r="T6" s="67">
        <f>SUM(T7:T9)</f>
        <v>0</v>
      </c>
      <c r="U6" s="67">
        <f>SUM(U7:U9)</f>
        <v>429000</v>
      </c>
      <c r="V6" s="67">
        <f>SUM(V7:V9)</f>
        <v>495099</v>
      </c>
      <c r="W6" s="28">
        <f t="shared" ref="W6:W33" si="4">V6/U6*100</f>
        <v>115.4076923076923</v>
      </c>
      <c r="X6" s="67">
        <f>SUM(X7:X9)</f>
        <v>0</v>
      </c>
    </row>
    <row r="7" spans="1:24" s="6" customFormat="1" ht="9.9499999999999993" customHeight="1" x14ac:dyDescent="0.2">
      <c r="A7" s="34" t="s">
        <v>2</v>
      </c>
      <c r="B7" s="827" t="s">
        <v>47</v>
      </c>
      <c r="C7" s="828"/>
      <c r="D7" s="55" t="s">
        <v>25</v>
      </c>
      <c r="E7" s="70">
        <f t="shared" ref="E7:G10" si="5">SUM(J7,O7)</f>
        <v>2292000</v>
      </c>
      <c r="F7" s="71">
        <f t="shared" si="5"/>
        <v>1863000</v>
      </c>
      <c r="G7" s="71">
        <f t="shared" si="5"/>
        <v>2164796</v>
      </c>
      <c r="H7" s="10">
        <f t="shared" si="0"/>
        <v>116.19946323134729</v>
      </c>
      <c r="I7" s="72">
        <f>SUM(N7,S7)</f>
        <v>2333944</v>
      </c>
      <c r="J7" s="73">
        <v>2292000</v>
      </c>
      <c r="K7" s="74">
        <v>1863000</v>
      </c>
      <c r="L7" s="74">
        <v>2164796</v>
      </c>
      <c r="M7" s="10">
        <f t="shared" si="2"/>
        <v>116.19946323134729</v>
      </c>
      <c r="N7" s="74">
        <v>2333944</v>
      </c>
      <c r="O7" s="76"/>
      <c r="P7" s="74"/>
      <c r="Q7" s="74"/>
      <c r="R7" s="10" t="e">
        <f t="shared" si="3"/>
        <v>#DIV/0!</v>
      </c>
      <c r="S7" s="74"/>
      <c r="T7" s="76"/>
      <c r="U7" s="74">
        <v>429000</v>
      </c>
      <c r="V7" s="74">
        <v>495099</v>
      </c>
      <c r="W7" s="10">
        <f t="shared" si="4"/>
        <v>115.4076923076923</v>
      </c>
      <c r="X7" s="122"/>
    </row>
    <row r="8" spans="1:24" s="6" customFormat="1" ht="9.9499999999999993" customHeight="1" x14ac:dyDescent="0.2">
      <c r="A8" s="35" t="s">
        <v>3</v>
      </c>
      <c r="B8" s="829" t="s">
        <v>48</v>
      </c>
      <c r="C8" s="830"/>
      <c r="D8" s="56" t="s">
        <v>25</v>
      </c>
      <c r="E8" s="77">
        <f t="shared" si="5"/>
        <v>24000</v>
      </c>
      <c r="F8" s="78">
        <f t="shared" si="5"/>
        <v>24000</v>
      </c>
      <c r="G8" s="78">
        <f t="shared" si="5"/>
        <v>17785</v>
      </c>
      <c r="H8" s="11">
        <f t="shared" si="0"/>
        <v>74.104166666666671</v>
      </c>
      <c r="I8" s="79">
        <f>SUM(N8,S8)</f>
        <v>46716</v>
      </c>
      <c r="J8" s="80">
        <v>24000</v>
      </c>
      <c r="K8" s="78">
        <v>24000</v>
      </c>
      <c r="L8" s="78">
        <v>17785</v>
      </c>
      <c r="M8" s="11">
        <f t="shared" si="2"/>
        <v>74.104166666666671</v>
      </c>
      <c r="N8" s="78">
        <v>46716</v>
      </c>
      <c r="O8" s="77"/>
      <c r="P8" s="78"/>
      <c r="Q8" s="78"/>
      <c r="R8" s="11" t="e">
        <f t="shared" si="3"/>
        <v>#DIV/0!</v>
      </c>
      <c r="S8" s="78"/>
      <c r="T8" s="77"/>
      <c r="U8" s="78"/>
      <c r="V8" s="78"/>
      <c r="W8" s="11" t="e">
        <f t="shared" si="4"/>
        <v>#DIV/0!</v>
      </c>
      <c r="X8" s="81"/>
    </row>
    <row r="9" spans="1:24" s="6" customFormat="1" ht="9.9499999999999993" customHeight="1" x14ac:dyDescent="0.2">
      <c r="A9" s="36" t="s">
        <v>4</v>
      </c>
      <c r="B9" s="44" t="s">
        <v>66</v>
      </c>
      <c r="C9" s="45"/>
      <c r="D9" s="57" t="s">
        <v>25</v>
      </c>
      <c r="E9" s="82">
        <f t="shared" si="5"/>
        <v>23504400</v>
      </c>
      <c r="F9" s="83">
        <f t="shared" si="5"/>
        <v>24698700</v>
      </c>
      <c r="G9" s="83">
        <f t="shared" si="5"/>
        <v>24740100</v>
      </c>
      <c r="H9" s="31">
        <f t="shared" si="0"/>
        <v>100.16762015814598</v>
      </c>
      <c r="I9" s="84">
        <f>SUM(N9,S9)</f>
        <v>24107112</v>
      </c>
      <c r="J9" s="85">
        <v>4015000</v>
      </c>
      <c r="K9" s="83">
        <v>4495000</v>
      </c>
      <c r="L9" s="83">
        <v>4495000</v>
      </c>
      <c r="M9" s="31">
        <f t="shared" si="2"/>
        <v>100</v>
      </c>
      <c r="N9" s="83">
        <v>4095000</v>
      </c>
      <c r="O9" s="82">
        <v>19489400</v>
      </c>
      <c r="P9" s="83">
        <v>20203700</v>
      </c>
      <c r="Q9" s="83">
        <v>20245100</v>
      </c>
      <c r="R9" s="31">
        <f t="shared" si="3"/>
        <v>100.20491296148725</v>
      </c>
      <c r="S9" s="83">
        <v>20012112</v>
      </c>
      <c r="T9" s="82"/>
      <c r="U9" s="83"/>
      <c r="V9" s="83"/>
      <c r="W9" s="31"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c r="K10" s="87"/>
      <c r="L10" s="87"/>
      <c r="M10" s="28" t="e">
        <f t="shared" si="2"/>
        <v>#DIV/0!</v>
      </c>
      <c r="N10" s="87"/>
      <c r="O10" s="87"/>
      <c r="P10" s="87"/>
      <c r="Q10" s="87"/>
      <c r="R10" s="28" t="e">
        <f t="shared" si="3"/>
        <v>#DIV/0!</v>
      </c>
      <c r="S10" s="87"/>
      <c r="T10" s="87"/>
      <c r="U10" s="87"/>
      <c r="V10" s="87"/>
      <c r="W10" s="28" t="e">
        <f t="shared" si="4"/>
        <v>#DIV/0!</v>
      </c>
      <c r="X10" s="87"/>
    </row>
    <row r="11" spans="1:24" s="6" customFormat="1" ht="9.9499999999999993" customHeight="1" x14ac:dyDescent="0.2">
      <c r="A11" s="33" t="s">
        <v>6</v>
      </c>
      <c r="B11" s="826" t="s">
        <v>9</v>
      </c>
      <c r="C11" s="826"/>
      <c r="D11" s="23" t="s">
        <v>25</v>
      </c>
      <c r="E11" s="67">
        <f>SUM(E12:E30)</f>
        <v>25820400</v>
      </c>
      <c r="F11" s="67">
        <f>SUM(F12:F30)</f>
        <v>26585700</v>
      </c>
      <c r="G11" s="67">
        <f>SUM(G12:G30)</f>
        <v>26881148</v>
      </c>
      <c r="H11" s="28">
        <f t="shared" si="0"/>
        <v>101.11130419736926</v>
      </c>
      <c r="I11" s="68">
        <f>SUM(I12:I30)</f>
        <v>26256460</v>
      </c>
      <c r="J11" s="67">
        <f>SUM(J12:J30)</f>
        <v>6331000</v>
      </c>
      <c r="K11" s="67">
        <f>SUM(K12:K30)</f>
        <v>6382000</v>
      </c>
      <c r="L11" s="67">
        <f>SUM(L12:L30)</f>
        <v>6636048</v>
      </c>
      <c r="M11" s="28">
        <f t="shared" si="2"/>
        <v>103.98069570667504</v>
      </c>
      <c r="N11" s="67">
        <f>SUM(N12:N30)</f>
        <v>6244348</v>
      </c>
      <c r="O11" s="67">
        <f>SUM(O12:O30)</f>
        <v>19489400</v>
      </c>
      <c r="P11" s="67">
        <f>SUM(P12:P30)</f>
        <v>20203700</v>
      </c>
      <c r="Q11" s="67">
        <f>SUM(Q12:Q30)</f>
        <v>20245100</v>
      </c>
      <c r="R11" s="28">
        <f t="shared" si="3"/>
        <v>100.20491296148725</v>
      </c>
      <c r="S11" s="67">
        <f>SUM(S12:S30)</f>
        <v>20012112</v>
      </c>
      <c r="T11" s="67">
        <f>SUM(T12:T30)</f>
        <v>0</v>
      </c>
      <c r="U11" s="67">
        <f>SUM(U12:U30)</f>
        <v>343200</v>
      </c>
      <c r="V11" s="67">
        <f>SUM(V12:V30)</f>
        <v>298694</v>
      </c>
      <c r="W11" s="28">
        <f t="shared" si="4"/>
        <v>87.032051282051285</v>
      </c>
      <c r="X11" s="67">
        <f>SUM(X12:X30)</f>
        <v>0</v>
      </c>
    </row>
    <row r="12" spans="1:24" s="6" customFormat="1" ht="9.9499999999999993" customHeight="1" x14ac:dyDescent="0.2">
      <c r="A12" s="37" t="s">
        <v>8</v>
      </c>
      <c r="B12" s="831" t="s">
        <v>28</v>
      </c>
      <c r="C12" s="832"/>
      <c r="D12" s="58" t="s">
        <v>25</v>
      </c>
      <c r="E12" s="70">
        <f t="shared" ref="E12:I27" si="6">SUM(J12,O12)</f>
        <v>2254800</v>
      </c>
      <c r="F12" s="71">
        <f t="shared" si="6"/>
        <v>2847800</v>
      </c>
      <c r="G12" s="71">
        <f t="shared" si="6"/>
        <v>2842295</v>
      </c>
      <c r="H12" s="10">
        <f t="shared" si="0"/>
        <v>99.806692885736354</v>
      </c>
      <c r="I12" s="72">
        <f t="shared" si="6"/>
        <v>2304027</v>
      </c>
      <c r="J12" s="89">
        <v>2054800</v>
      </c>
      <c r="K12" s="90">
        <v>2607800</v>
      </c>
      <c r="L12" s="90">
        <v>2601827</v>
      </c>
      <c r="M12" s="10">
        <f t="shared" si="2"/>
        <v>99.770956361684185</v>
      </c>
      <c r="N12" s="90">
        <v>2149119</v>
      </c>
      <c r="O12" s="92">
        <v>200000</v>
      </c>
      <c r="P12" s="90">
        <v>240000</v>
      </c>
      <c r="Q12" s="90">
        <v>240468</v>
      </c>
      <c r="R12" s="10">
        <f t="shared" si="3"/>
        <v>100.19499999999999</v>
      </c>
      <c r="S12" s="90">
        <v>154908</v>
      </c>
      <c r="T12" s="92"/>
      <c r="U12" s="90">
        <v>85000</v>
      </c>
      <c r="V12" s="90">
        <v>14469</v>
      </c>
      <c r="W12" s="10">
        <f t="shared" si="4"/>
        <v>17.022352941176472</v>
      </c>
      <c r="X12" s="94"/>
    </row>
    <row r="13" spans="1:24" s="6" customFormat="1" ht="9.9499999999999993" customHeight="1" x14ac:dyDescent="0.2">
      <c r="A13" s="38" t="s">
        <v>10</v>
      </c>
      <c r="B13" s="815" t="s">
        <v>29</v>
      </c>
      <c r="C13" s="816"/>
      <c r="D13" s="56" t="s">
        <v>25</v>
      </c>
      <c r="E13" s="77">
        <f t="shared" si="6"/>
        <v>2600000</v>
      </c>
      <c r="F13" s="78">
        <f t="shared" si="6"/>
        <v>1350000</v>
      </c>
      <c r="G13" s="78">
        <f t="shared" si="6"/>
        <v>1212992</v>
      </c>
      <c r="H13" s="11">
        <f t="shared" si="0"/>
        <v>89.851259259259265</v>
      </c>
      <c r="I13" s="79">
        <f t="shared" si="6"/>
        <v>2575485</v>
      </c>
      <c r="J13" s="95">
        <v>2600000</v>
      </c>
      <c r="K13" s="78">
        <v>1350000</v>
      </c>
      <c r="L13" s="78">
        <v>1212992</v>
      </c>
      <c r="M13" s="11">
        <f t="shared" si="2"/>
        <v>89.851259259259265</v>
      </c>
      <c r="N13" s="78">
        <v>2575485</v>
      </c>
      <c r="O13" s="77"/>
      <c r="P13" s="78"/>
      <c r="Q13" s="78"/>
      <c r="R13" s="11" t="e">
        <f t="shared" si="3"/>
        <v>#DIV/0!</v>
      </c>
      <c r="S13" s="78"/>
      <c r="T13" s="77"/>
      <c r="U13" s="78">
        <v>170000</v>
      </c>
      <c r="V13" s="78">
        <v>171463</v>
      </c>
      <c r="W13" s="11">
        <f t="shared" si="4"/>
        <v>100.86058823529412</v>
      </c>
      <c r="X13" s="81"/>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c r="K14" s="78"/>
      <c r="L14" s="78"/>
      <c r="M14" s="11" t="e">
        <f t="shared" si="2"/>
        <v>#DIV/0!</v>
      </c>
      <c r="N14" s="78"/>
      <c r="O14" s="77"/>
      <c r="P14" s="78"/>
      <c r="Q14" s="78"/>
      <c r="R14" s="11" t="e">
        <f t="shared" si="3"/>
        <v>#DIV/0!</v>
      </c>
      <c r="S14" s="78"/>
      <c r="T14" s="77"/>
      <c r="U14" s="78"/>
      <c r="V14" s="78"/>
      <c r="W14" s="11" t="e">
        <f t="shared" si="4"/>
        <v>#DIV/0!</v>
      </c>
      <c r="X14" s="81"/>
    </row>
    <row r="15" spans="1:24" s="6" customFormat="1" ht="9.9499999999999993" customHeight="1" x14ac:dyDescent="0.2">
      <c r="A15" s="38" t="s">
        <v>12</v>
      </c>
      <c r="B15" s="815" t="s">
        <v>68</v>
      </c>
      <c r="C15" s="816"/>
      <c r="D15" s="56" t="s">
        <v>25</v>
      </c>
      <c r="E15" s="77">
        <f t="shared" si="6"/>
        <v>490000</v>
      </c>
      <c r="F15" s="78">
        <f t="shared" si="6"/>
        <v>665000</v>
      </c>
      <c r="G15" s="78">
        <f t="shared" si="6"/>
        <v>694448</v>
      </c>
      <c r="H15" s="11">
        <f t="shared" si="0"/>
        <v>104.42827067669174</v>
      </c>
      <c r="I15" s="79">
        <f t="shared" si="6"/>
        <v>461358</v>
      </c>
      <c r="J15" s="95">
        <v>490000</v>
      </c>
      <c r="K15" s="78">
        <v>665000</v>
      </c>
      <c r="L15" s="78">
        <v>694448</v>
      </c>
      <c r="M15" s="11">
        <f t="shared" si="2"/>
        <v>104.42827067669174</v>
      </c>
      <c r="N15" s="78">
        <v>461358</v>
      </c>
      <c r="O15" s="77"/>
      <c r="P15" s="78"/>
      <c r="Q15" s="78"/>
      <c r="R15" s="11" t="e">
        <f t="shared" si="3"/>
        <v>#DIV/0!</v>
      </c>
      <c r="S15" s="78"/>
      <c r="T15" s="77"/>
      <c r="U15" s="78">
        <v>35000</v>
      </c>
      <c r="V15" s="78">
        <v>3058</v>
      </c>
      <c r="W15" s="11">
        <f t="shared" si="4"/>
        <v>8.7371428571428567</v>
      </c>
      <c r="X15" s="81"/>
    </row>
    <row r="16" spans="1:24" s="6" customFormat="1" ht="9.9499999999999993" customHeight="1" x14ac:dyDescent="0.2">
      <c r="A16" s="38" t="s">
        <v>13</v>
      </c>
      <c r="B16" s="815" t="s">
        <v>30</v>
      </c>
      <c r="C16" s="816"/>
      <c r="D16" s="56" t="s">
        <v>25</v>
      </c>
      <c r="E16" s="77">
        <f t="shared" si="6"/>
        <v>37000</v>
      </c>
      <c r="F16" s="78">
        <f t="shared" si="6"/>
        <v>47000</v>
      </c>
      <c r="G16" s="78">
        <f t="shared" si="6"/>
        <v>47416</v>
      </c>
      <c r="H16" s="11">
        <f t="shared" si="0"/>
        <v>100.88510638297872</v>
      </c>
      <c r="I16" s="79">
        <f t="shared" si="6"/>
        <v>32337</v>
      </c>
      <c r="J16" s="95">
        <v>7000</v>
      </c>
      <c r="K16" s="78">
        <v>7000</v>
      </c>
      <c r="L16" s="78">
        <v>8170</v>
      </c>
      <c r="M16" s="11">
        <f t="shared" si="2"/>
        <v>116.71428571428571</v>
      </c>
      <c r="N16" s="78">
        <v>7289</v>
      </c>
      <c r="O16" s="77">
        <v>30000</v>
      </c>
      <c r="P16" s="78">
        <v>40000</v>
      </c>
      <c r="Q16" s="78">
        <v>39246</v>
      </c>
      <c r="R16" s="11">
        <f t="shared" si="3"/>
        <v>98.114999999999995</v>
      </c>
      <c r="S16" s="78">
        <v>25048</v>
      </c>
      <c r="T16" s="77"/>
      <c r="U16" s="78"/>
      <c r="V16" s="78"/>
      <c r="W16" s="11" t="e">
        <f t="shared" si="4"/>
        <v>#DIV/0!</v>
      </c>
      <c r="X16" s="81"/>
    </row>
    <row r="17" spans="1:24" s="6" customFormat="1" ht="9.9499999999999993" customHeight="1" x14ac:dyDescent="0.2">
      <c r="A17" s="38" t="s">
        <v>14</v>
      </c>
      <c r="B17" s="46" t="s">
        <v>49</v>
      </c>
      <c r="C17" s="47"/>
      <c r="D17" s="56" t="s">
        <v>25</v>
      </c>
      <c r="E17" s="77">
        <f t="shared" si="6"/>
        <v>4000</v>
      </c>
      <c r="F17" s="78">
        <f t="shared" si="6"/>
        <v>4000</v>
      </c>
      <c r="G17" s="78">
        <f t="shared" si="6"/>
        <v>3961</v>
      </c>
      <c r="H17" s="11">
        <f t="shared" si="0"/>
        <v>99.024999999999991</v>
      </c>
      <c r="I17" s="79">
        <f t="shared" si="6"/>
        <v>3843</v>
      </c>
      <c r="J17" s="95">
        <v>4000</v>
      </c>
      <c r="K17" s="78">
        <v>4000</v>
      </c>
      <c r="L17" s="78">
        <v>3961</v>
      </c>
      <c r="M17" s="11">
        <f t="shared" si="2"/>
        <v>99.024999999999991</v>
      </c>
      <c r="N17" s="78">
        <v>3843</v>
      </c>
      <c r="O17" s="77"/>
      <c r="P17" s="78"/>
      <c r="Q17" s="78"/>
      <c r="R17" s="11" t="e">
        <f t="shared" si="3"/>
        <v>#DIV/0!</v>
      </c>
      <c r="S17" s="78"/>
      <c r="T17" s="77"/>
      <c r="U17" s="78"/>
      <c r="V17" s="78"/>
      <c r="W17" s="11" t="e">
        <f t="shared" si="4"/>
        <v>#DIV/0!</v>
      </c>
      <c r="X17" s="81"/>
    </row>
    <row r="18" spans="1:24" s="6" customFormat="1" ht="9.9499999999999993" customHeight="1" x14ac:dyDescent="0.2">
      <c r="A18" s="38" t="s">
        <v>15</v>
      </c>
      <c r="B18" s="815" t="s">
        <v>31</v>
      </c>
      <c r="C18" s="816"/>
      <c r="D18" s="56" t="s">
        <v>25</v>
      </c>
      <c r="E18" s="77">
        <f t="shared" si="6"/>
        <v>695000</v>
      </c>
      <c r="F18" s="78">
        <f t="shared" si="6"/>
        <v>570800</v>
      </c>
      <c r="G18" s="78">
        <f t="shared" si="6"/>
        <v>570483</v>
      </c>
      <c r="H18" s="11">
        <f t="shared" si="0"/>
        <v>99.944463910301323</v>
      </c>
      <c r="I18" s="79">
        <f t="shared" si="6"/>
        <v>684260</v>
      </c>
      <c r="J18" s="95">
        <v>595000</v>
      </c>
      <c r="K18" s="78">
        <v>450800</v>
      </c>
      <c r="L18" s="78">
        <v>450508</v>
      </c>
      <c r="M18" s="11">
        <f t="shared" si="2"/>
        <v>99.935226264418802</v>
      </c>
      <c r="N18" s="78">
        <v>450920</v>
      </c>
      <c r="O18" s="77">
        <v>100000</v>
      </c>
      <c r="P18" s="78">
        <v>120000</v>
      </c>
      <c r="Q18" s="78">
        <v>119975</v>
      </c>
      <c r="R18" s="11">
        <f t="shared" si="3"/>
        <v>99.979166666666657</v>
      </c>
      <c r="S18" s="78">
        <v>233340</v>
      </c>
      <c r="T18" s="77"/>
      <c r="U18" s="78">
        <v>20000</v>
      </c>
      <c r="V18" s="78">
        <v>4477</v>
      </c>
      <c r="W18" s="11">
        <f t="shared" si="4"/>
        <v>22.384999999999998</v>
      </c>
      <c r="X18" s="81"/>
    </row>
    <row r="19" spans="1:24" s="12" customFormat="1" ht="9.9499999999999993" customHeight="1" x14ac:dyDescent="0.2">
      <c r="A19" s="38" t="s">
        <v>16</v>
      </c>
      <c r="B19" s="815" t="s">
        <v>32</v>
      </c>
      <c r="C19" s="816"/>
      <c r="D19" s="56" t="s">
        <v>25</v>
      </c>
      <c r="E19" s="77">
        <f t="shared" si="6"/>
        <v>14219000</v>
      </c>
      <c r="F19" s="78">
        <f t="shared" si="6"/>
        <v>14752102</v>
      </c>
      <c r="G19" s="78">
        <f t="shared" si="6"/>
        <v>14781312</v>
      </c>
      <c r="H19" s="11">
        <f t="shared" si="0"/>
        <v>100.19800568081756</v>
      </c>
      <c r="I19" s="79">
        <f t="shared" si="6"/>
        <v>14354158</v>
      </c>
      <c r="J19" s="96">
        <v>164000</v>
      </c>
      <c r="K19" s="78">
        <v>164000</v>
      </c>
      <c r="L19" s="78">
        <v>151810</v>
      </c>
      <c r="M19" s="11">
        <f t="shared" si="2"/>
        <v>92.567073170731703</v>
      </c>
      <c r="N19" s="78">
        <v>161800</v>
      </c>
      <c r="O19" s="77">
        <v>14055000</v>
      </c>
      <c r="P19" s="78">
        <v>14588102</v>
      </c>
      <c r="Q19" s="78">
        <v>14629502</v>
      </c>
      <c r="R19" s="11">
        <f t="shared" si="3"/>
        <v>100.28379291562398</v>
      </c>
      <c r="S19" s="78">
        <v>14192358</v>
      </c>
      <c r="T19" s="119"/>
      <c r="U19" s="97">
        <v>33200</v>
      </c>
      <c r="V19" s="97">
        <v>77947</v>
      </c>
      <c r="W19" s="11">
        <f t="shared" si="4"/>
        <v>234.78012048192772</v>
      </c>
      <c r="X19" s="123"/>
    </row>
    <row r="20" spans="1:24" s="6" customFormat="1" ht="9.9499999999999993" customHeight="1" x14ac:dyDescent="0.2">
      <c r="A20" s="38" t="s">
        <v>17</v>
      </c>
      <c r="B20" s="815" t="s">
        <v>50</v>
      </c>
      <c r="C20" s="816"/>
      <c r="D20" s="56" t="s">
        <v>25</v>
      </c>
      <c r="E20" s="77">
        <f t="shared" si="6"/>
        <v>4918000</v>
      </c>
      <c r="F20" s="78">
        <f t="shared" si="6"/>
        <v>4987164</v>
      </c>
      <c r="G20" s="78">
        <f t="shared" si="6"/>
        <v>4987164</v>
      </c>
      <c r="H20" s="11">
        <f t="shared" si="0"/>
        <v>100</v>
      </c>
      <c r="I20" s="79">
        <f t="shared" si="6"/>
        <v>4818797</v>
      </c>
      <c r="J20" s="95"/>
      <c r="K20" s="78"/>
      <c r="L20" s="78"/>
      <c r="M20" s="11" t="e">
        <f t="shared" si="2"/>
        <v>#DIV/0!</v>
      </c>
      <c r="N20" s="78"/>
      <c r="O20" s="77">
        <v>4918000</v>
      </c>
      <c r="P20" s="78">
        <v>4987164</v>
      </c>
      <c r="Q20" s="78">
        <v>4987164</v>
      </c>
      <c r="R20" s="11">
        <f t="shared" si="3"/>
        <v>100</v>
      </c>
      <c r="S20" s="78">
        <v>4818797</v>
      </c>
      <c r="T20" s="77"/>
      <c r="U20" s="78"/>
      <c r="V20" s="78">
        <v>26501</v>
      </c>
      <c r="W20" s="11" t="e">
        <f t="shared" si="4"/>
        <v>#DIV/0!</v>
      </c>
      <c r="X20" s="81"/>
    </row>
    <row r="21" spans="1:24" s="6" customFormat="1" ht="9.9499999999999993" customHeight="1" x14ac:dyDescent="0.2">
      <c r="A21" s="38" t="s">
        <v>18</v>
      </c>
      <c r="B21" s="815" t="s">
        <v>51</v>
      </c>
      <c r="C21" s="816"/>
      <c r="D21" s="56" t="s">
        <v>25</v>
      </c>
      <c r="E21" s="77">
        <f t="shared" si="6"/>
        <v>140110</v>
      </c>
      <c r="F21" s="78">
        <f t="shared" si="6"/>
        <v>167000</v>
      </c>
      <c r="G21" s="78">
        <f t="shared" si="6"/>
        <v>171395</v>
      </c>
      <c r="H21" s="11">
        <f t="shared" si="0"/>
        <v>102.6317365269461</v>
      </c>
      <c r="I21" s="79">
        <f t="shared" si="6"/>
        <v>167595</v>
      </c>
      <c r="J21" s="95"/>
      <c r="K21" s="78">
        <v>27000</v>
      </c>
      <c r="L21" s="78">
        <v>26613</v>
      </c>
      <c r="M21" s="11">
        <f t="shared" si="2"/>
        <v>98.566666666666663</v>
      </c>
      <c r="N21" s="78"/>
      <c r="O21" s="77">
        <v>140110</v>
      </c>
      <c r="P21" s="78">
        <v>140000</v>
      </c>
      <c r="Q21" s="78">
        <v>144782</v>
      </c>
      <c r="R21" s="11">
        <f t="shared" si="3"/>
        <v>103.41571428571427</v>
      </c>
      <c r="S21" s="78">
        <v>167595</v>
      </c>
      <c r="T21" s="77"/>
      <c r="U21" s="78"/>
      <c r="V21" s="78">
        <v>779</v>
      </c>
      <c r="W21" s="11" t="e">
        <f t="shared" si="4"/>
        <v>#DIV/0!</v>
      </c>
      <c r="X21" s="81"/>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c r="K22" s="78"/>
      <c r="L22" s="78"/>
      <c r="M22" s="11" t="e">
        <f t="shared" si="2"/>
        <v>#DIV/0!</v>
      </c>
      <c r="N22" s="78"/>
      <c r="O22" s="77"/>
      <c r="P22" s="78"/>
      <c r="Q22" s="78"/>
      <c r="R22" s="11" t="e">
        <f t="shared" si="3"/>
        <v>#DIV/0!</v>
      </c>
      <c r="S22" s="78"/>
      <c r="T22" s="77"/>
      <c r="U22" s="78"/>
      <c r="V22" s="78"/>
      <c r="W22" s="11" t="e">
        <f t="shared" si="4"/>
        <v>#DIV/0!</v>
      </c>
      <c r="X22" s="81"/>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838</v>
      </c>
      <c r="J23" s="95"/>
      <c r="K23" s="78"/>
      <c r="L23" s="78"/>
      <c r="M23" s="11" t="e">
        <f t="shared" si="2"/>
        <v>#DIV/0!</v>
      </c>
      <c r="N23" s="78">
        <v>838</v>
      </c>
      <c r="O23" s="77"/>
      <c r="P23" s="78"/>
      <c r="Q23" s="78"/>
      <c r="R23" s="11" t="e">
        <f t="shared" si="3"/>
        <v>#DIV/0!</v>
      </c>
      <c r="S23" s="78"/>
      <c r="T23" s="77"/>
      <c r="U23" s="78"/>
      <c r="V23" s="78"/>
      <c r="W23" s="11"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8"/>
      <c r="O24" s="77"/>
      <c r="P24" s="78"/>
      <c r="Q24" s="78"/>
      <c r="R24" s="11" t="e">
        <f t="shared" si="3"/>
        <v>#DIV/0!</v>
      </c>
      <c r="S24" s="78"/>
      <c r="T24" s="77"/>
      <c r="U24" s="78"/>
      <c r="V24" s="78"/>
      <c r="W24" s="11" t="e">
        <f t="shared" si="4"/>
        <v>#DIV/0!</v>
      </c>
      <c r="X24" s="81"/>
    </row>
    <row r="25" spans="1:24" s="6" customFormat="1" ht="9.9499999999999993" customHeight="1" x14ac:dyDescent="0.2">
      <c r="A25" s="39" t="s">
        <v>22</v>
      </c>
      <c r="B25" s="48" t="s">
        <v>71</v>
      </c>
      <c r="C25" s="49"/>
      <c r="D25" s="56" t="s">
        <v>25</v>
      </c>
      <c r="E25" s="77">
        <f t="shared" si="6"/>
        <v>2000</v>
      </c>
      <c r="F25" s="78">
        <f t="shared" si="6"/>
        <v>2000</v>
      </c>
      <c r="G25" s="78">
        <f t="shared" si="6"/>
        <v>10493</v>
      </c>
      <c r="H25" s="11">
        <f t="shared" si="0"/>
        <v>524.65</v>
      </c>
      <c r="I25" s="79">
        <f t="shared" si="6"/>
        <v>0</v>
      </c>
      <c r="J25" s="95">
        <v>2000</v>
      </c>
      <c r="K25" s="98">
        <v>2000</v>
      </c>
      <c r="L25" s="98">
        <v>10493</v>
      </c>
      <c r="M25" s="11">
        <f t="shared" si="2"/>
        <v>524.65</v>
      </c>
      <c r="N25" s="98"/>
      <c r="O25" s="100"/>
      <c r="P25" s="98"/>
      <c r="Q25" s="98"/>
      <c r="R25" s="11" t="e">
        <f t="shared" si="3"/>
        <v>#DIV/0!</v>
      </c>
      <c r="S25" s="98"/>
      <c r="T25" s="100"/>
      <c r="U25" s="98"/>
      <c r="V25" s="98"/>
      <c r="W25" s="11" t="e">
        <f t="shared" si="4"/>
        <v>#DIV/0!</v>
      </c>
      <c r="X25" s="124"/>
    </row>
    <row r="26" spans="1:24" s="14" customFormat="1" ht="9.9499999999999993" customHeight="1" x14ac:dyDescent="0.2">
      <c r="A26" s="38" t="s">
        <v>23</v>
      </c>
      <c r="B26" s="815" t="s">
        <v>72</v>
      </c>
      <c r="C26" s="816"/>
      <c r="D26" s="56" t="s">
        <v>25</v>
      </c>
      <c r="E26" s="77">
        <f t="shared" si="6"/>
        <v>319200</v>
      </c>
      <c r="F26" s="78">
        <f t="shared" si="6"/>
        <v>319200</v>
      </c>
      <c r="G26" s="78">
        <f t="shared" si="6"/>
        <v>319132</v>
      </c>
      <c r="H26" s="11">
        <f t="shared" si="0"/>
        <v>99.978696741854634</v>
      </c>
      <c r="I26" s="79">
        <f t="shared" si="6"/>
        <v>319161</v>
      </c>
      <c r="J26" s="95">
        <v>319200</v>
      </c>
      <c r="K26" s="103">
        <v>319200</v>
      </c>
      <c r="L26" s="103">
        <v>319132</v>
      </c>
      <c r="M26" s="11">
        <f t="shared" si="2"/>
        <v>99.978696741854634</v>
      </c>
      <c r="N26" s="103">
        <v>319161</v>
      </c>
      <c r="O26" s="102"/>
      <c r="P26" s="103"/>
      <c r="Q26" s="103"/>
      <c r="R26" s="11" t="e">
        <f t="shared" si="3"/>
        <v>#DIV/0!</v>
      </c>
      <c r="S26" s="103"/>
      <c r="T26" s="142"/>
      <c r="U26" s="143"/>
      <c r="V26" s="105"/>
      <c r="W26" s="11" t="e">
        <f t="shared" si="4"/>
        <v>#DIV/0!</v>
      </c>
      <c r="X26" s="125"/>
    </row>
    <row r="27" spans="1:24" s="16" customFormat="1" ht="9.9499999999999993" customHeight="1" x14ac:dyDescent="0.2">
      <c r="A27" s="38" t="s">
        <v>45</v>
      </c>
      <c r="B27" s="46" t="s">
        <v>73</v>
      </c>
      <c r="C27" s="47"/>
      <c r="D27" s="56" t="s">
        <v>25</v>
      </c>
      <c r="E27" s="77">
        <f t="shared" si="6"/>
        <v>141290</v>
      </c>
      <c r="F27" s="78">
        <f t="shared" si="6"/>
        <v>873634</v>
      </c>
      <c r="G27" s="78">
        <f t="shared" si="6"/>
        <v>1240057</v>
      </c>
      <c r="H27" s="11">
        <f t="shared" si="0"/>
        <v>141.94239235194601</v>
      </c>
      <c r="I27" s="79">
        <f t="shared" si="6"/>
        <v>533613</v>
      </c>
      <c r="J27" s="95">
        <v>95000</v>
      </c>
      <c r="K27" s="103">
        <v>785200</v>
      </c>
      <c r="L27" s="103">
        <v>1156094</v>
      </c>
      <c r="M27" s="11">
        <f t="shared" si="2"/>
        <v>147.23560876209882</v>
      </c>
      <c r="N27" s="103">
        <v>113547</v>
      </c>
      <c r="O27" s="102">
        <v>46290</v>
      </c>
      <c r="P27" s="103">
        <v>88434</v>
      </c>
      <c r="Q27" s="103">
        <v>83963</v>
      </c>
      <c r="R27" s="11">
        <f t="shared" si="3"/>
        <v>94.944252210688191</v>
      </c>
      <c r="S27" s="103">
        <v>420066</v>
      </c>
      <c r="T27" s="142"/>
      <c r="U27" s="143"/>
      <c r="V27" s="105"/>
      <c r="W27" s="11" t="e">
        <f t="shared" si="4"/>
        <v>#DIV/0!</v>
      </c>
      <c r="X27" s="125"/>
    </row>
    <row r="28" spans="1:24" s="14" customFormat="1" ht="9.9499999999999993" customHeight="1" x14ac:dyDescent="0.2">
      <c r="A28" s="38" t="s">
        <v>53</v>
      </c>
      <c r="B28" s="815" t="s">
        <v>74</v>
      </c>
      <c r="C28" s="816"/>
      <c r="D28" s="56" t="s">
        <v>25</v>
      </c>
      <c r="E28" s="77">
        <f t="shared" ref="E28:G30" si="7">SUM(J28,O28)</f>
        <v>0</v>
      </c>
      <c r="F28" s="78">
        <f t="shared" si="7"/>
        <v>0</v>
      </c>
      <c r="G28" s="78">
        <f t="shared" si="7"/>
        <v>0</v>
      </c>
      <c r="H28" s="11" t="e">
        <f t="shared" si="0"/>
        <v>#DIV/0!</v>
      </c>
      <c r="I28" s="79">
        <f>SUM(N28,S28)</f>
        <v>988</v>
      </c>
      <c r="J28" s="95"/>
      <c r="K28" s="103"/>
      <c r="L28" s="103"/>
      <c r="M28" s="11" t="e">
        <f t="shared" si="2"/>
        <v>#DIV/0!</v>
      </c>
      <c r="N28" s="103">
        <v>988</v>
      </c>
      <c r="O28" s="102"/>
      <c r="P28" s="103"/>
      <c r="Q28" s="103"/>
      <c r="R28" s="11" t="e">
        <f t="shared" si="3"/>
        <v>#DIV/0!</v>
      </c>
      <c r="S28" s="103"/>
      <c r="T28" s="142"/>
      <c r="U28" s="143"/>
      <c r="V28" s="105"/>
      <c r="W28" s="11" t="e">
        <f t="shared" si="4"/>
        <v>#DIV/0!</v>
      </c>
      <c r="X28" s="125"/>
    </row>
    <row r="29" spans="1:24" s="6" customFormat="1" ht="9.75" x14ac:dyDescent="0.2">
      <c r="A29" s="38" t="s">
        <v>54</v>
      </c>
      <c r="B29" s="46" t="s">
        <v>55</v>
      </c>
      <c r="C29" s="47"/>
      <c r="D29" s="56" t="s">
        <v>25</v>
      </c>
      <c r="E29" s="77">
        <f t="shared" si="7"/>
        <v>0</v>
      </c>
      <c r="F29" s="78">
        <f t="shared" si="7"/>
        <v>0</v>
      </c>
      <c r="G29" s="78">
        <f t="shared" si="7"/>
        <v>0</v>
      </c>
      <c r="H29" s="11" t="e">
        <f t="shared" si="0"/>
        <v>#DIV/0!</v>
      </c>
      <c r="I29" s="79">
        <f>SUM(N29,S29)</f>
        <v>0</v>
      </c>
      <c r="J29" s="95"/>
      <c r="K29" s="103"/>
      <c r="L29" s="103"/>
      <c r="M29" s="11" t="e">
        <f t="shared" si="2"/>
        <v>#DIV/0!</v>
      </c>
      <c r="N29" s="103"/>
      <c r="O29" s="102"/>
      <c r="P29" s="103"/>
      <c r="Q29" s="103"/>
      <c r="R29" s="11" t="e">
        <f t="shared" si="3"/>
        <v>#DIV/0!</v>
      </c>
      <c r="S29" s="103"/>
      <c r="T29" s="142"/>
      <c r="U29" s="143"/>
      <c r="V29" s="105"/>
      <c r="W29" s="11" t="e">
        <f t="shared" si="4"/>
        <v>#DIV/0!</v>
      </c>
      <c r="X29" s="125"/>
    </row>
    <row r="30" spans="1:24" s="27" customFormat="1" ht="9.75" x14ac:dyDescent="0.2">
      <c r="A30" s="40" t="s">
        <v>56</v>
      </c>
      <c r="B30" s="44" t="s">
        <v>75</v>
      </c>
      <c r="C30" s="50"/>
      <c r="D30" s="59" t="s">
        <v>25</v>
      </c>
      <c r="E30" s="82">
        <f t="shared" si="7"/>
        <v>0</v>
      </c>
      <c r="F30" s="83">
        <f t="shared" si="7"/>
        <v>0</v>
      </c>
      <c r="G30" s="83">
        <f t="shared" si="7"/>
        <v>0</v>
      </c>
      <c r="H30" s="31" t="e">
        <f t="shared" si="0"/>
        <v>#DIV/0!</v>
      </c>
      <c r="I30" s="84">
        <f>SUM(N30,S30)</f>
        <v>0</v>
      </c>
      <c r="J30" s="106"/>
      <c r="K30" s="107"/>
      <c r="L30" s="107"/>
      <c r="M30" s="31" t="e">
        <f t="shared" si="2"/>
        <v>#DIV/0!</v>
      </c>
      <c r="N30" s="107"/>
      <c r="O30" s="109"/>
      <c r="P30" s="107"/>
      <c r="Q30" s="107"/>
      <c r="R30" s="31" t="e">
        <f t="shared" si="3"/>
        <v>#DIV/0!</v>
      </c>
      <c r="S30" s="107"/>
      <c r="T30" s="121"/>
      <c r="U30" s="110"/>
      <c r="V30" s="110"/>
      <c r="W30" s="31" t="e">
        <f t="shared" si="4"/>
        <v>#DIV/0!</v>
      </c>
      <c r="X30" s="126"/>
    </row>
    <row r="31" spans="1:24" s="27" customFormat="1" ht="9.75" x14ac:dyDescent="0.2">
      <c r="A31" s="33" t="s">
        <v>57</v>
      </c>
      <c r="B31" s="817" t="s">
        <v>58</v>
      </c>
      <c r="C31" s="818"/>
      <c r="D31" s="22" t="s">
        <v>25</v>
      </c>
      <c r="E31" s="67">
        <f>SUM(E6-E11)</f>
        <v>0</v>
      </c>
      <c r="F31" s="67">
        <f>SUM(F6-F11)</f>
        <v>0</v>
      </c>
      <c r="G31" s="67">
        <f>SUM(G6-G11)</f>
        <v>41533</v>
      </c>
      <c r="H31" s="21" t="e">
        <f t="shared" si="0"/>
        <v>#DIV/0!</v>
      </c>
      <c r="I31" s="68">
        <f>SUM(I6-I11)</f>
        <v>231312</v>
      </c>
      <c r="J31" s="67">
        <f>SUM(J6-J11)</f>
        <v>0</v>
      </c>
      <c r="K31" s="67">
        <f>SUM(K6-K11)</f>
        <v>0</v>
      </c>
      <c r="L31" s="67">
        <f>SUM(L6-L11)</f>
        <v>41533</v>
      </c>
      <c r="M31" s="21" t="e">
        <f t="shared" si="2"/>
        <v>#DIV/0!</v>
      </c>
      <c r="N31" s="67">
        <f>SUM(N6-N11)</f>
        <v>231312</v>
      </c>
      <c r="O31" s="67">
        <f>SUM(O6-O11)</f>
        <v>0</v>
      </c>
      <c r="P31" s="67">
        <f>SUM(P6-P11)</f>
        <v>0</v>
      </c>
      <c r="Q31" s="67">
        <f>SUM(Q6-Q11)</f>
        <v>0</v>
      </c>
      <c r="R31" s="21" t="e">
        <f t="shared" si="3"/>
        <v>#DIV/0!</v>
      </c>
      <c r="S31" s="67">
        <f>SUM(S6-S11)</f>
        <v>0</v>
      </c>
      <c r="T31" s="67">
        <f>SUM(T6-T11)</f>
        <v>0</v>
      </c>
      <c r="U31" s="67">
        <f>SUM(U6-U11)</f>
        <v>85800</v>
      </c>
      <c r="V31" s="67">
        <f>SUM(V6-V11)</f>
        <v>196405</v>
      </c>
      <c r="W31" s="21">
        <f t="shared" si="4"/>
        <v>228.91025641025641</v>
      </c>
      <c r="X31" s="67">
        <f>SUM(X6-X11)</f>
        <v>0</v>
      </c>
    </row>
    <row r="32" spans="1:24" s="27" customFormat="1" ht="9.75" x14ac:dyDescent="0.2">
      <c r="A32" s="41" t="s">
        <v>59</v>
      </c>
      <c r="B32" s="60" t="s">
        <v>76</v>
      </c>
      <c r="C32" s="61"/>
      <c r="D32" s="22" t="s">
        <v>25</v>
      </c>
      <c r="E32" s="130">
        <f>SUM(J32,O32)</f>
        <v>0</v>
      </c>
      <c r="F32" s="131">
        <f>SUM(K32,P32)</f>
        <v>0</v>
      </c>
      <c r="G32" s="131">
        <f>SUM(L32,Q32)</f>
        <v>0</v>
      </c>
      <c r="H32" s="26" t="e">
        <f t="shared" si="0"/>
        <v>#DIV/0!</v>
      </c>
      <c r="I32" s="132">
        <f>SUM(N32,S32)</f>
        <v>0</v>
      </c>
      <c r="J32" s="112"/>
      <c r="K32" s="113"/>
      <c r="L32" s="113"/>
      <c r="M32" s="9" t="e">
        <f t="shared" si="2"/>
        <v>#DIV/0!</v>
      </c>
      <c r="N32" s="113"/>
      <c r="O32" s="115"/>
      <c r="P32" s="113"/>
      <c r="Q32" s="113"/>
      <c r="R32" s="9" t="e">
        <f t="shared" si="3"/>
        <v>#DIV/0!</v>
      </c>
      <c r="S32" s="113"/>
      <c r="T32" s="115"/>
      <c r="U32" s="113"/>
      <c r="V32" s="113"/>
      <c r="W32" s="9" t="e">
        <f t="shared" si="4"/>
        <v>#DIV/0!</v>
      </c>
      <c r="X32" s="116"/>
    </row>
    <row r="33" spans="1:24" s="27" customFormat="1" ht="9.75" x14ac:dyDescent="0.2">
      <c r="A33" s="33" t="s">
        <v>60</v>
      </c>
      <c r="B33" s="24" t="s">
        <v>61</v>
      </c>
      <c r="C33" s="25"/>
      <c r="D33" s="22" t="s">
        <v>25</v>
      </c>
      <c r="E33" s="67">
        <f>E31-E32</f>
        <v>0</v>
      </c>
      <c r="F33" s="67">
        <f>F31-F32</f>
        <v>0</v>
      </c>
      <c r="G33" s="67">
        <f>G31-G32</f>
        <v>41533</v>
      </c>
      <c r="H33" s="29" t="e">
        <f t="shared" si="0"/>
        <v>#DIV/0!</v>
      </c>
      <c r="I33" s="68">
        <f>I31-I32</f>
        <v>231312</v>
      </c>
      <c r="J33" s="67">
        <f>J31-J32</f>
        <v>0</v>
      </c>
      <c r="K33" s="67">
        <f>K31-K32</f>
        <v>0</v>
      </c>
      <c r="L33" s="67">
        <f>L31-L32</f>
        <v>41533</v>
      </c>
      <c r="M33" s="21" t="e">
        <f t="shared" si="2"/>
        <v>#DIV/0!</v>
      </c>
      <c r="N33" s="67">
        <f>N31-N32</f>
        <v>231312</v>
      </c>
      <c r="O33" s="67">
        <f>O31-O32</f>
        <v>0</v>
      </c>
      <c r="P33" s="67">
        <f>P31-P32</f>
        <v>0</v>
      </c>
      <c r="Q33" s="67">
        <f>Q31-Q32</f>
        <v>0</v>
      </c>
      <c r="R33" s="21" t="e">
        <f t="shared" si="3"/>
        <v>#DIV/0!</v>
      </c>
      <c r="S33" s="67">
        <f>S31-S32</f>
        <v>0</v>
      </c>
      <c r="T33" s="67">
        <f>T31-T32</f>
        <v>0</v>
      </c>
      <c r="U33" s="67">
        <f>U31-U32</f>
        <v>85800</v>
      </c>
      <c r="V33" s="67">
        <f>V31-V32</f>
        <v>196405</v>
      </c>
      <c r="W33" s="21">
        <f t="shared" si="4"/>
        <v>228.91025641025641</v>
      </c>
      <c r="X33" s="67">
        <f>X31-X32</f>
        <v>0</v>
      </c>
    </row>
    <row r="34" spans="1:24" s="136" customFormat="1" ht="9" x14ac:dyDescent="0.2">
      <c r="A34" s="42" t="s">
        <v>62</v>
      </c>
      <c r="B34" s="813" t="s">
        <v>24</v>
      </c>
      <c r="C34" s="814"/>
      <c r="D34" s="62" t="s">
        <v>25</v>
      </c>
      <c r="E34" s="712">
        <v>22017</v>
      </c>
      <c r="F34" s="208">
        <v>22238</v>
      </c>
      <c r="G34" s="208">
        <v>23948</v>
      </c>
      <c r="H34" s="13">
        <f t="shared" si="0"/>
        <v>107.68954042629733</v>
      </c>
      <c r="I34" s="208">
        <v>22151</v>
      </c>
      <c r="J34" s="804"/>
      <c r="K34" s="805"/>
      <c r="L34" s="805"/>
      <c r="M34" s="805"/>
      <c r="N34" s="805"/>
      <c r="O34" s="805"/>
      <c r="P34" s="805"/>
      <c r="Q34" s="805"/>
      <c r="R34" s="805"/>
      <c r="S34" s="805"/>
      <c r="T34" s="805"/>
      <c r="U34" s="805"/>
      <c r="V34" s="805"/>
      <c r="W34" s="805"/>
      <c r="X34" s="806"/>
    </row>
    <row r="35" spans="1:24" s="136" customFormat="1" ht="9" x14ac:dyDescent="0.2">
      <c r="A35" s="32" t="s">
        <v>63</v>
      </c>
      <c r="B35" s="797" t="s">
        <v>33</v>
      </c>
      <c r="C35" s="798"/>
      <c r="D35" s="63" t="s">
        <v>26</v>
      </c>
      <c r="E35" s="713">
        <v>53</v>
      </c>
      <c r="F35" s="214">
        <v>55</v>
      </c>
      <c r="G35" s="214">
        <v>51</v>
      </c>
      <c r="H35" s="15">
        <f t="shared" si="0"/>
        <v>92.72727272727272</v>
      </c>
      <c r="I35" s="214">
        <v>51</v>
      </c>
      <c r="J35" s="804"/>
      <c r="K35" s="805"/>
      <c r="L35" s="805"/>
      <c r="M35" s="805"/>
      <c r="N35" s="805"/>
      <c r="O35" s="805"/>
      <c r="P35" s="805"/>
      <c r="Q35" s="805"/>
      <c r="R35" s="805"/>
      <c r="S35" s="805"/>
      <c r="T35" s="805"/>
      <c r="U35" s="805"/>
      <c r="V35" s="805"/>
      <c r="W35" s="805"/>
      <c r="X35" s="806"/>
    </row>
    <row r="36" spans="1:24" s="136" customFormat="1" ht="9" x14ac:dyDescent="0.2">
      <c r="A36" s="43" t="s">
        <v>64</v>
      </c>
      <c r="B36" s="799" t="s">
        <v>27</v>
      </c>
      <c r="C36" s="800"/>
      <c r="D36" s="64" t="s">
        <v>26</v>
      </c>
      <c r="E36" s="714">
        <v>55</v>
      </c>
      <c r="F36" s="211">
        <v>55</v>
      </c>
      <c r="G36" s="211">
        <v>53.808</v>
      </c>
      <c r="H36" s="17">
        <f t="shared" si="0"/>
        <v>97.832727272727269</v>
      </c>
      <c r="I36" s="211">
        <v>53.808</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53"/>
      <c r="K37" s="54"/>
      <c r="L37" s="54"/>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5"/>
  <sheetViews>
    <sheetView tabSelected="1" zoomScaleNormal="100" workbookViewId="0"/>
  </sheetViews>
  <sheetFormatPr defaultRowHeight="12.75" x14ac:dyDescent="0.2"/>
  <cols>
    <col min="1" max="1" width="58" style="66" customWidth="1"/>
    <col min="2" max="2" width="35.5" style="66" customWidth="1"/>
    <col min="3" max="3" width="26.75" style="66" customWidth="1"/>
    <col min="4" max="5" width="25.75" style="66" customWidth="1"/>
    <col min="6" max="6" width="22.75" style="66" customWidth="1"/>
    <col min="7" max="7" width="16" style="66" customWidth="1"/>
    <col min="8" max="8" width="17.5" style="66" customWidth="1"/>
    <col min="9" max="9" width="16.25" style="66" customWidth="1"/>
  </cols>
  <sheetData>
    <row r="1" spans="1:9" ht="18.75" x14ac:dyDescent="0.3">
      <c r="A1" s="134" t="s">
        <v>99</v>
      </c>
      <c r="B1" s="134"/>
      <c r="C1" s="134"/>
      <c r="D1" s="134"/>
      <c r="E1" s="134"/>
      <c r="F1" s="134"/>
      <c r="G1" s="134"/>
      <c r="H1" s="134"/>
      <c r="I1" s="134"/>
    </row>
    <row r="2" spans="1:9" x14ac:dyDescent="0.2">
      <c r="A2" s="133"/>
      <c r="B2" s="133"/>
      <c r="C2" s="133"/>
      <c r="D2" s="133"/>
      <c r="E2" s="133"/>
      <c r="F2" s="133"/>
      <c r="G2" s="133"/>
      <c r="H2" s="133"/>
      <c r="I2" s="133"/>
    </row>
    <row r="3" spans="1:9" s="217" customFormat="1" ht="10.5" x14ac:dyDescent="0.15">
      <c r="A3" s="852" t="s">
        <v>133</v>
      </c>
      <c r="B3" s="852"/>
      <c r="C3" s="852"/>
      <c r="D3" s="852"/>
      <c r="E3" s="852"/>
      <c r="F3" s="852"/>
      <c r="G3" s="852"/>
      <c r="H3" s="852"/>
      <c r="I3" s="852"/>
    </row>
    <row r="4" spans="1:9" s="218" customFormat="1" ht="11.25" x14ac:dyDescent="0.2"/>
    <row r="5" spans="1:9" s="219" customFormat="1" ht="9.75" x14ac:dyDescent="0.2">
      <c r="A5" s="870" t="s">
        <v>77</v>
      </c>
      <c r="B5" s="871"/>
      <c r="C5" s="551" t="s">
        <v>25</v>
      </c>
      <c r="D5" s="847" t="s">
        <v>281</v>
      </c>
      <c r="E5" s="847"/>
      <c r="F5" s="847"/>
      <c r="G5" s="847"/>
      <c r="H5" s="847"/>
      <c r="I5" s="847"/>
    </row>
    <row r="6" spans="1:9" s="218" customFormat="1" ht="15" customHeight="1" x14ac:dyDescent="0.2">
      <c r="A6" s="872" t="s">
        <v>134</v>
      </c>
      <c r="B6" s="872"/>
      <c r="C6" s="226">
        <f>SUM(C7:C9)</f>
        <v>141850.63</v>
      </c>
      <c r="D6" s="876"/>
      <c r="E6" s="877"/>
      <c r="F6" s="877"/>
      <c r="G6" s="877"/>
      <c r="H6" s="877"/>
      <c r="I6" s="877"/>
    </row>
    <row r="7" spans="1:9" s="218" customFormat="1" ht="102.75" customHeight="1" x14ac:dyDescent="0.2">
      <c r="A7" s="873" t="s">
        <v>78</v>
      </c>
      <c r="B7" s="874"/>
      <c r="C7" s="245">
        <v>74974.63</v>
      </c>
      <c r="D7" s="875" t="s">
        <v>820</v>
      </c>
      <c r="E7" s="875"/>
      <c r="F7" s="875"/>
      <c r="G7" s="875"/>
      <c r="H7" s="875"/>
      <c r="I7" s="875"/>
    </row>
    <row r="8" spans="1:9" s="217" customFormat="1" ht="57.75" customHeight="1" x14ac:dyDescent="0.15">
      <c r="A8" s="863" t="s">
        <v>113</v>
      </c>
      <c r="B8" s="864"/>
      <c r="C8" s="261">
        <v>66876</v>
      </c>
      <c r="D8" s="875" t="s">
        <v>512</v>
      </c>
      <c r="E8" s="875"/>
      <c r="F8" s="875"/>
      <c r="G8" s="875"/>
      <c r="H8" s="875"/>
      <c r="I8" s="875"/>
    </row>
    <row r="9" spans="1:9" s="217" customFormat="1" ht="15" customHeight="1" x14ac:dyDescent="0.15">
      <c r="A9" s="863" t="s">
        <v>114</v>
      </c>
      <c r="B9" s="864"/>
      <c r="C9" s="261">
        <v>0</v>
      </c>
      <c r="D9" s="921"/>
      <c r="E9" s="922"/>
      <c r="F9" s="922"/>
      <c r="G9" s="922"/>
      <c r="H9" s="922"/>
      <c r="I9" s="923"/>
    </row>
    <row r="10" spans="1:9" s="218" customFormat="1" ht="11.25" x14ac:dyDescent="0.2">
      <c r="C10" s="220"/>
    </row>
    <row r="11" spans="1:9" s="218" customFormat="1" ht="11.25" x14ac:dyDescent="0.2">
      <c r="A11" s="852" t="s">
        <v>135</v>
      </c>
      <c r="B11" s="852"/>
      <c r="C11" s="852"/>
      <c r="D11" s="852"/>
      <c r="E11" s="852"/>
      <c r="F11" s="852"/>
      <c r="G11" s="852"/>
      <c r="H11" s="852"/>
      <c r="I11" s="852"/>
    </row>
    <row r="12" spans="1:9" s="218" customFormat="1" ht="11.25" x14ac:dyDescent="0.2">
      <c r="C12" s="220"/>
      <c r="D12" s="231"/>
      <c r="E12" s="231"/>
      <c r="F12" s="231"/>
      <c r="G12" s="231"/>
      <c r="H12" s="231"/>
      <c r="I12" s="231"/>
    </row>
    <row r="13" spans="1:9" s="221" customFormat="1" ht="9.75" x14ac:dyDescent="0.2">
      <c r="A13" s="551" t="s">
        <v>77</v>
      </c>
      <c r="B13" s="551" t="s">
        <v>79</v>
      </c>
      <c r="C13" s="551" t="s">
        <v>25</v>
      </c>
      <c r="D13" s="470"/>
      <c r="E13" s="436"/>
      <c r="F13" s="436"/>
      <c r="G13" s="436"/>
      <c r="H13" s="436"/>
      <c r="I13" s="436"/>
    </row>
    <row r="14" spans="1:9" s="218" customFormat="1" ht="15" customHeight="1" x14ac:dyDescent="0.2">
      <c r="A14" s="222" t="s">
        <v>136</v>
      </c>
      <c r="B14" s="437"/>
      <c r="C14" s="223">
        <v>74974.63</v>
      </c>
      <c r="D14" s="471"/>
      <c r="E14" s="439"/>
      <c r="F14" s="439"/>
      <c r="G14" s="439"/>
      <c r="H14" s="439"/>
      <c r="I14" s="439"/>
    </row>
    <row r="15" spans="1:9" s="218" customFormat="1" ht="15" customHeight="1" x14ac:dyDescent="0.2">
      <c r="A15" s="868" t="s">
        <v>137</v>
      </c>
      <c r="B15" s="263" t="s">
        <v>80</v>
      </c>
      <c r="C15" s="264">
        <v>66876</v>
      </c>
      <c r="D15" s="472"/>
      <c r="E15" s="441"/>
      <c r="F15" s="441"/>
      <c r="G15" s="441"/>
      <c r="H15" s="441"/>
      <c r="I15" s="441"/>
    </row>
    <row r="16" spans="1:9" s="218" customFormat="1" ht="15" customHeight="1" x14ac:dyDescent="0.2">
      <c r="A16" s="869"/>
      <c r="B16" s="262" t="s">
        <v>81</v>
      </c>
      <c r="C16" s="473">
        <v>0</v>
      </c>
      <c r="D16" s="554"/>
      <c r="E16" s="443"/>
      <c r="F16" s="443"/>
      <c r="G16" s="443"/>
      <c r="H16" s="443"/>
      <c r="I16" s="443"/>
    </row>
    <row r="17" spans="1:9" s="218" customFormat="1" ht="15" customHeight="1" x14ac:dyDescent="0.2">
      <c r="A17" s="552" t="s">
        <v>134</v>
      </c>
      <c r="B17" s="445"/>
      <c r="C17" s="226">
        <f>SUM(C14:C16)</f>
        <v>141850.63</v>
      </c>
      <c r="D17" s="447"/>
      <c r="E17" s="447"/>
      <c r="F17" s="447"/>
      <c r="G17" s="447"/>
      <c r="H17" s="447"/>
      <c r="I17" s="447"/>
    </row>
    <row r="18" spans="1:9" s="449" customFormat="1" ht="11.25" x14ac:dyDescent="0.2">
      <c r="A18" s="448"/>
      <c r="C18" s="476"/>
      <c r="D18" s="452"/>
      <c r="E18" s="452"/>
      <c r="F18" s="452"/>
      <c r="G18" s="452"/>
      <c r="H18" s="452"/>
      <c r="I18" s="452"/>
    </row>
    <row r="19" spans="1:9" s="218" customFormat="1" ht="11.25" x14ac:dyDescent="0.2">
      <c r="A19" s="852" t="s">
        <v>138</v>
      </c>
      <c r="B19" s="852"/>
      <c r="C19" s="852"/>
      <c r="D19" s="852"/>
      <c r="E19" s="852"/>
      <c r="F19" s="852"/>
      <c r="G19" s="852"/>
      <c r="H19" s="852"/>
      <c r="I19" s="852"/>
    </row>
    <row r="20" spans="1:9" s="218" customFormat="1" ht="11.25" x14ac:dyDescent="0.2">
      <c r="C20" s="220"/>
    </row>
    <row r="21" spans="1:9" s="224" customFormat="1" ht="9.75" x14ac:dyDescent="0.2">
      <c r="A21" s="551" t="s">
        <v>79</v>
      </c>
      <c r="B21" s="551" t="s">
        <v>139</v>
      </c>
      <c r="C21" s="550" t="s">
        <v>140</v>
      </c>
      <c r="D21" s="551" t="s">
        <v>141</v>
      </c>
      <c r="E21" s="551" t="s">
        <v>142</v>
      </c>
      <c r="F21" s="847" t="s">
        <v>115</v>
      </c>
      <c r="G21" s="847"/>
      <c r="H21" s="847"/>
      <c r="I21" s="847"/>
    </row>
    <row r="22" spans="1:9" s="218" customFormat="1" ht="60.75" customHeight="1" x14ac:dyDescent="0.2">
      <c r="A22" s="265" t="s">
        <v>116</v>
      </c>
      <c r="B22" s="266">
        <v>89394.08</v>
      </c>
      <c r="C22" s="266">
        <v>225031.44</v>
      </c>
      <c r="D22" s="266">
        <v>180512</v>
      </c>
      <c r="E22" s="266">
        <f>B22+C22-D22</f>
        <v>133913.52000000002</v>
      </c>
      <c r="F22" s="785" t="s">
        <v>513</v>
      </c>
      <c r="G22" s="786"/>
      <c r="H22" s="786"/>
      <c r="I22" s="787"/>
    </row>
    <row r="23" spans="1:9" s="218" customFormat="1" ht="46.5" customHeight="1" x14ac:dyDescent="0.2">
      <c r="A23" s="263" t="s">
        <v>143</v>
      </c>
      <c r="B23" s="267">
        <v>258064</v>
      </c>
      <c r="C23" s="267">
        <v>145000</v>
      </c>
      <c r="D23" s="267">
        <v>295000</v>
      </c>
      <c r="E23" s="267">
        <f t="shared" ref="E23:E25" si="0">B23+C23-D23</f>
        <v>108064</v>
      </c>
      <c r="F23" s="747" t="s">
        <v>514</v>
      </c>
      <c r="G23" s="795"/>
      <c r="H23" s="795"/>
      <c r="I23" s="796"/>
    </row>
    <row r="24" spans="1:9" s="218" customFormat="1" ht="21.75" customHeight="1" x14ac:dyDescent="0.2">
      <c r="A24" s="263" t="s">
        <v>81</v>
      </c>
      <c r="B24" s="267">
        <v>53313.98</v>
      </c>
      <c r="C24" s="267">
        <v>0</v>
      </c>
      <c r="D24" s="267">
        <v>0</v>
      </c>
      <c r="E24" s="267">
        <f t="shared" si="0"/>
        <v>53313.98</v>
      </c>
      <c r="F24" s="747" t="s">
        <v>515</v>
      </c>
      <c r="G24" s="795"/>
      <c r="H24" s="795"/>
      <c r="I24" s="796"/>
    </row>
    <row r="25" spans="1:9" s="218" customFormat="1" ht="12" customHeight="1" x14ac:dyDescent="0.2">
      <c r="A25" s="262" t="s">
        <v>82</v>
      </c>
      <c r="B25" s="268">
        <v>88090.92</v>
      </c>
      <c r="C25" s="268">
        <v>70379</v>
      </c>
      <c r="D25" s="268">
        <v>81117.399999999994</v>
      </c>
      <c r="E25" s="268">
        <f t="shared" si="0"/>
        <v>77352.51999999999</v>
      </c>
      <c r="F25" s="759" t="s">
        <v>516</v>
      </c>
      <c r="G25" s="848"/>
      <c r="H25" s="848"/>
      <c r="I25" s="849"/>
    </row>
    <row r="26" spans="1:9" s="217" customFormat="1" ht="10.5" x14ac:dyDescent="0.15">
      <c r="A26" s="225" t="s">
        <v>34</v>
      </c>
      <c r="B26" s="226">
        <f>SUM(B22:B25)</f>
        <v>488862.98</v>
      </c>
      <c r="C26" s="226">
        <f t="shared" ref="C26:E26" si="1">SUM(C22:C25)</f>
        <v>440410.44</v>
      </c>
      <c r="D26" s="226">
        <f t="shared" si="1"/>
        <v>556629.4</v>
      </c>
      <c r="E26" s="226">
        <f t="shared" si="1"/>
        <v>372644.02</v>
      </c>
      <c r="F26" s="850"/>
      <c r="G26" s="850"/>
      <c r="H26" s="850"/>
      <c r="I26" s="851"/>
    </row>
    <row r="27" spans="1:9" s="218" customFormat="1" ht="11.25" x14ac:dyDescent="0.2">
      <c r="C27" s="220"/>
    </row>
    <row r="28" spans="1:9" s="218" customFormat="1" ht="11.25" x14ac:dyDescent="0.2">
      <c r="A28" s="852" t="s">
        <v>144</v>
      </c>
      <c r="B28" s="852"/>
      <c r="C28" s="852"/>
      <c r="D28" s="852"/>
      <c r="E28" s="852"/>
      <c r="F28" s="852"/>
      <c r="G28" s="852"/>
      <c r="H28" s="852"/>
      <c r="I28" s="852"/>
    </row>
    <row r="29" spans="1:9" s="218" customFormat="1" ht="11.25" x14ac:dyDescent="0.2">
      <c r="C29" s="220"/>
    </row>
    <row r="30" spans="1:9" s="218" customFormat="1" ht="11.25" x14ac:dyDescent="0.2">
      <c r="A30" s="551" t="s">
        <v>83</v>
      </c>
      <c r="B30" s="551" t="s">
        <v>25</v>
      </c>
      <c r="C30" s="550" t="s">
        <v>84</v>
      </c>
      <c r="D30" s="847" t="s">
        <v>117</v>
      </c>
      <c r="E30" s="847"/>
      <c r="F30" s="847"/>
      <c r="G30" s="847"/>
      <c r="H30" s="847"/>
      <c r="I30" s="847"/>
    </row>
    <row r="31" spans="1:9" s="218" customFormat="1" ht="15" customHeight="1" x14ac:dyDescent="0.2">
      <c r="A31" s="239"/>
      <c r="B31" s="266">
        <v>0</v>
      </c>
      <c r="C31" s="227"/>
      <c r="D31" s="1133"/>
      <c r="E31" s="1134"/>
      <c r="F31" s="1134"/>
      <c r="G31" s="1134"/>
      <c r="H31" s="1134"/>
      <c r="I31" s="1135"/>
    </row>
    <row r="32" spans="1:9" s="217" customFormat="1" ht="11.25" x14ac:dyDescent="0.2">
      <c r="A32" s="225" t="s">
        <v>34</v>
      </c>
      <c r="B32" s="226">
        <f>SUM(B31:B31)</f>
        <v>0</v>
      </c>
      <c r="C32" s="879"/>
      <c r="D32" s="879"/>
      <c r="E32" s="879"/>
      <c r="F32" s="879"/>
      <c r="G32" s="879"/>
      <c r="H32" s="879"/>
      <c r="I32" s="880"/>
    </row>
    <row r="33" spans="1:9" s="218" customFormat="1" ht="11.25" x14ac:dyDescent="0.2">
      <c r="C33" s="220"/>
    </row>
    <row r="34" spans="1:9" s="218" customFormat="1" ht="11.25" x14ac:dyDescent="0.2">
      <c r="A34" s="852" t="s">
        <v>145</v>
      </c>
      <c r="B34" s="852"/>
      <c r="C34" s="852"/>
      <c r="D34" s="852"/>
      <c r="E34" s="852"/>
      <c r="F34" s="852"/>
      <c r="G34" s="852"/>
      <c r="H34" s="852"/>
      <c r="I34" s="852"/>
    </row>
    <row r="35" spans="1:9" s="218" customFormat="1" ht="11.25" x14ac:dyDescent="0.2">
      <c r="C35" s="220"/>
    </row>
    <row r="36" spans="1:9" s="218" customFormat="1" ht="11.25" x14ac:dyDescent="0.2">
      <c r="A36" s="551" t="s">
        <v>83</v>
      </c>
      <c r="B36" s="551" t="s">
        <v>25</v>
      </c>
      <c r="C36" s="550" t="s">
        <v>84</v>
      </c>
      <c r="D36" s="847" t="s">
        <v>117</v>
      </c>
      <c r="E36" s="847"/>
      <c r="F36" s="847"/>
      <c r="G36" s="847"/>
      <c r="H36" s="847"/>
      <c r="I36" s="881"/>
    </row>
    <row r="37" spans="1:9" s="218" customFormat="1" ht="15" customHeight="1" x14ac:dyDescent="0.2">
      <c r="A37" s="239"/>
      <c r="B37" s="266">
        <v>0</v>
      </c>
      <c r="C37" s="227"/>
      <c r="D37" s="1133"/>
      <c r="E37" s="1134"/>
      <c r="F37" s="1134"/>
      <c r="G37" s="1134"/>
      <c r="H37" s="1134"/>
      <c r="I37" s="1135"/>
    </row>
    <row r="38" spans="1:9" s="217" customFormat="1" ht="10.5" x14ac:dyDescent="0.15">
      <c r="A38" s="225" t="s">
        <v>34</v>
      </c>
      <c r="B38" s="226">
        <f>SUM(B37:B37)</f>
        <v>0</v>
      </c>
      <c r="C38" s="882"/>
      <c r="D38" s="882"/>
      <c r="E38" s="882"/>
      <c r="F38" s="882"/>
      <c r="G38" s="882"/>
      <c r="H38" s="882"/>
      <c r="I38" s="882"/>
    </row>
    <row r="39" spans="1:9" s="218" customFormat="1" ht="11.25" x14ac:dyDescent="0.2">
      <c r="C39" s="220"/>
    </row>
    <row r="40" spans="1:9" s="218" customFormat="1" ht="11.25" x14ac:dyDescent="0.2">
      <c r="A40" s="852" t="s">
        <v>146</v>
      </c>
      <c r="B40" s="852"/>
      <c r="C40" s="852"/>
      <c r="D40" s="852"/>
      <c r="E40" s="852"/>
      <c r="F40" s="852"/>
      <c r="G40" s="852"/>
      <c r="H40" s="852"/>
      <c r="I40" s="852"/>
    </row>
    <row r="41" spans="1:9" s="218" customFormat="1" ht="11.25" x14ac:dyDescent="0.2">
      <c r="C41" s="220"/>
    </row>
    <row r="42" spans="1:9" s="218" customFormat="1" ht="11.25" x14ac:dyDescent="0.2">
      <c r="A42" s="551" t="s">
        <v>25</v>
      </c>
      <c r="B42" s="550" t="s">
        <v>147</v>
      </c>
      <c r="C42" s="861" t="s">
        <v>85</v>
      </c>
      <c r="D42" s="861"/>
      <c r="E42" s="861"/>
      <c r="F42" s="861"/>
      <c r="G42" s="861"/>
      <c r="H42" s="861"/>
      <c r="I42" s="862"/>
    </row>
    <row r="43" spans="1:9" s="218" customFormat="1" ht="24.75" customHeight="1" x14ac:dyDescent="0.2">
      <c r="A43" s="228">
        <v>10000</v>
      </c>
      <c r="B43" s="228">
        <v>0</v>
      </c>
      <c r="C43" s="767" t="s">
        <v>517</v>
      </c>
      <c r="D43" s="768"/>
      <c r="E43" s="768"/>
      <c r="F43" s="768"/>
      <c r="G43" s="768"/>
      <c r="H43" s="768"/>
      <c r="I43" s="769"/>
    </row>
    <row r="44" spans="1:9" s="217" customFormat="1" ht="10.5" x14ac:dyDescent="0.15">
      <c r="A44" s="226">
        <f>SUM(A43)</f>
        <v>10000</v>
      </c>
      <c r="B44" s="226">
        <f>SUM(B43)</f>
        <v>0</v>
      </c>
      <c r="C44" s="859" t="s">
        <v>34</v>
      </c>
      <c r="D44" s="859"/>
      <c r="E44" s="859"/>
      <c r="F44" s="859"/>
      <c r="G44" s="859"/>
      <c r="H44" s="859"/>
      <c r="I44" s="860"/>
    </row>
    <row r="45" spans="1:9" s="218" customFormat="1" ht="11.25" x14ac:dyDescent="0.2">
      <c r="C45" s="220"/>
    </row>
    <row r="46" spans="1:9" s="218" customFormat="1" ht="11.25" x14ac:dyDescent="0.2">
      <c r="A46" s="852" t="s">
        <v>148</v>
      </c>
      <c r="B46" s="852"/>
      <c r="C46" s="852"/>
      <c r="D46" s="852"/>
      <c r="E46" s="852"/>
      <c r="F46" s="852"/>
      <c r="G46" s="852"/>
      <c r="H46" s="852"/>
      <c r="I46" s="852"/>
    </row>
    <row r="47" spans="1:9" s="218" customFormat="1" ht="11.25" x14ac:dyDescent="0.2">
      <c r="C47" s="220"/>
    </row>
    <row r="48" spans="1:9" s="229" customFormat="1" ht="11.25" x14ac:dyDescent="0.2">
      <c r="A48" s="847" t="s">
        <v>86</v>
      </c>
      <c r="B48" s="847"/>
      <c r="C48" s="550" t="s">
        <v>87</v>
      </c>
      <c r="D48" s="551" t="s">
        <v>88</v>
      </c>
      <c r="E48" s="551" t="s">
        <v>25</v>
      </c>
    </row>
    <row r="49" spans="1:5" s="218" customFormat="1" ht="11.25" customHeight="1" x14ac:dyDescent="0.2">
      <c r="A49" s="916" t="s">
        <v>457</v>
      </c>
      <c r="B49" s="917"/>
      <c r="C49" s="917"/>
      <c r="D49" s="917"/>
      <c r="E49" s="918"/>
    </row>
    <row r="50" spans="1:5" s="218" customFormat="1" ht="11.25" x14ac:dyDescent="0.2">
      <c r="A50" s="878" t="s">
        <v>458</v>
      </c>
      <c r="B50" s="878"/>
      <c r="C50" s="269">
        <v>41788</v>
      </c>
      <c r="D50" s="269">
        <v>41788</v>
      </c>
      <c r="E50" s="230">
        <v>155606</v>
      </c>
    </row>
    <row r="51" spans="1:5" s="218" customFormat="1" ht="11.25" x14ac:dyDescent="0.2">
      <c r="A51" s="1131" t="s">
        <v>459</v>
      </c>
      <c r="B51" s="1131"/>
      <c r="C51" s="698">
        <v>41788</v>
      </c>
      <c r="D51" s="698">
        <v>41788</v>
      </c>
      <c r="E51" s="615">
        <v>581667</v>
      </c>
    </row>
    <row r="52" spans="1:5" s="218" customFormat="1" ht="11.25" x14ac:dyDescent="0.2">
      <c r="A52" s="1131" t="s">
        <v>460</v>
      </c>
      <c r="B52" s="1131"/>
      <c r="C52" s="698">
        <v>41788</v>
      </c>
      <c r="D52" s="698">
        <v>41788</v>
      </c>
      <c r="E52" s="615">
        <v>88775</v>
      </c>
    </row>
    <row r="53" spans="1:5" s="218" customFormat="1" ht="11.25" x14ac:dyDescent="0.2">
      <c r="A53" s="1131" t="s">
        <v>461</v>
      </c>
      <c r="B53" s="1131"/>
      <c r="C53" s="698">
        <v>41788</v>
      </c>
      <c r="D53" s="698">
        <v>41788</v>
      </c>
      <c r="E53" s="615">
        <v>283211</v>
      </c>
    </row>
    <row r="54" spans="1:5" s="218" customFormat="1" ht="11.25" x14ac:dyDescent="0.2">
      <c r="A54" s="1131" t="s">
        <v>462</v>
      </c>
      <c r="B54" s="1131"/>
      <c r="C54" s="698">
        <v>41788</v>
      </c>
      <c r="D54" s="698">
        <v>41788</v>
      </c>
      <c r="E54" s="615">
        <v>124125</v>
      </c>
    </row>
    <row r="55" spans="1:5" s="218" customFormat="1" ht="11.25" x14ac:dyDescent="0.2">
      <c r="A55" s="1138" t="s">
        <v>463</v>
      </c>
      <c r="B55" s="1138"/>
      <c r="C55" s="715">
        <v>41905</v>
      </c>
      <c r="D55" s="715">
        <v>41905</v>
      </c>
      <c r="E55" s="616">
        <v>-305000</v>
      </c>
    </row>
    <row r="56" spans="1:5" s="218" customFormat="1" ht="11.25" x14ac:dyDescent="0.2">
      <c r="A56" s="1139" t="s">
        <v>464</v>
      </c>
      <c r="B56" s="1140"/>
      <c r="C56" s="715">
        <v>41919</v>
      </c>
      <c r="D56" s="715">
        <v>41919</v>
      </c>
      <c r="E56" s="616">
        <v>-116500</v>
      </c>
    </row>
    <row r="57" spans="1:5" s="218" customFormat="1" ht="11.25" x14ac:dyDescent="0.2">
      <c r="A57" s="1136" t="s">
        <v>465</v>
      </c>
      <c r="B57" s="1137"/>
      <c r="C57" s="698">
        <v>41955</v>
      </c>
      <c r="D57" s="698"/>
      <c r="E57" s="615">
        <v>-200000</v>
      </c>
    </row>
    <row r="58" spans="1:5" s="218" customFormat="1" ht="11.25" x14ac:dyDescent="0.2">
      <c r="A58" s="251" t="s">
        <v>466</v>
      </c>
      <c r="B58" s="617" t="s">
        <v>467</v>
      </c>
      <c r="C58" s="698">
        <v>41955</v>
      </c>
      <c r="D58" s="698">
        <v>41996</v>
      </c>
      <c r="E58" s="615">
        <v>112000</v>
      </c>
    </row>
    <row r="59" spans="1:5" s="218" customFormat="1" ht="11.25" x14ac:dyDescent="0.2">
      <c r="A59" s="251" t="s">
        <v>468</v>
      </c>
      <c r="B59" s="617" t="s">
        <v>467</v>
      </c>
      <c r="C59" s="698">
        <v>41977</v>
      </c>
      <c r="D59" s="698">
        <v>41996</v>
      </c>
      <c r="E59" s="615">
        <v>78000</v>
      </c>
    </row>
    <row r="60" spans="1:5" s="218" customFormat="1" ht="11.25" x14ac:dyDescent="0.2">
      <c r="A60" s="251" t="s">
        <v>469</v>
      </c>
      <c r="B60" s="617" t="s">
        <v>470</v>
      </c>
      <c r="C60" s="698">
        <v>41977</v>
      </c>
      <c r="D60" s="698">
        <v>42004</v>
      </c>
      <c r="E60" s="615">
        <v>10000</v>
      </c>
    </row>
    <row r="61" spans="1:5" s="218" customFormat="1" ht="11.25" x14ac:dyDescent="0.2">
      <c r="A61" s="1138" t="s">
        <v>471</v>
      </c>
      <c r="B61" s="1138"/>
      <c r="C61" s="715">
        <v>41815</v>
      </c>
      <c r="D61" s="715"/>
      <c r="E61" s="616">
        <v>35512</v>
      </c>
    </row>
    <row r="62" spans="1:5" s="218" customFormat="1" ht="11.25" x14ac:dyDescent="0.2">
      <c r="A62" s="618" t="s">
        <v>472</v>
      </c>
      <c r="B62" s="619" t="s">
        <v>473</v>
      </c>
      <c r="C62" s="715"/>
      <c r="D62" s="715">
        <v>41855</v>
      </c>
      <c r="E62" s="616">
        <v>35512</v>
      </c>
    </row>
    <row r="63" spans="1:5" s="218" customFormat="1" ht="11.25" x14ac:dyDescent="0.2">
      <c r="A63" s="620" t="s">
        <v>474</v>
      </c>
      <c r="B63" s="621" t="s">
        <v>475</v>
      </c>
      <c r="C63" s="716">
        <v>41821</v>
      </c>
      <c r="D63" s="716"/>
      <c r="E63" s="622">
        <v>15000</v>
      </c>
    </row>
    <row r="64" spans="1:5" s="218" customFormat="1" ht="11.25" x14ac:dyDescent="0.2">
      <c r="A64" s="620" t="s">
        <v>476</v>
      </c>
      <c r="B64" s="621" t="s">
        <v>477</v>
      </c>
      <c r="C64" s="716"/>
      <c r="D64" s="716">
        <v>41992</v>
      </c>
      <c r="E64" s="622">
        <v>15000</v>
      </c>
    </row>
    <row r="65" spans="1:5" s="218" customFormat="1" ht="11.25" x14ac:dyDescent="0.2">
      <c r="A65" s="618" t="s">
        <v>478</v>
      </c>
      <c r="B65" s="619" t="s">
        <v>479</v>
      </c>
      <c r="C65" s="715">
        <v>42002</v>
      </c>
      <c r="D65" s="715"/>
      <c r="E65" s="616">
        <v>10421</v>
      </c>
    </row>
    <row r="66" spans="1:5" s="218" customFormat="1" ht="11.25" x14ac:dyDescent="0.2">
      <c r="A66" s="618" t="s">
        <v>480</v>
      </c>
      <c r="B66" s="618" t="s">
        <v>481</v>
      </c>
      <c r="C66" s="717"/>
      <c r="D66" s="715">
        <v>42002</v>
      </c>
      <c r="E66" s="616">
        <v>-10000</v>
      </c>
    </row>
    <row r="67" spans="1:5" s="218" customFormat="1" ht="11.25" x14ac:dyDescent="0.2">
      <c r="A67" s="618" t="s">
        <v>482</v>
      </c>
      <c r="B67" s="618" t="s">
        <v>483</v>
      </c>
      <c r="C67" s="717"/>
      <c r="D67" s="715">
        <v>42002</v>
      </c>
      <c r="E67" s="616">
        <v>-421</v>
      </c>
    </row>
    <row r="68" spans="1:5" s="218" customFormat="1" ht="11.25" x14ac:dyDescent="0.2">
      <c r="A68" s="251" t="s">
        <v>484</v>
      </c>
      <c r="B68" s="251" t="s">
        <v>485</v>
      </c>
      <c r="C68" s="698">
        <v>41975</v>
      </c>
      <c r="D68" s="718"/>
      <c r="E68" s="615">
        <v>1820</v>
      </c>
    </row>
    <row r="69" spans="1:5" s="218" customFormat="1" ht="11.25" x14ac:dyDescent="0.2">
      <c r="A69" s="251" t="s">
        <v>486</v>
      </c>
      <c r="B69" s="251" t="s">
        <v>487</v>
      </c>
      <c r="C69" s="698"/>
      <c r="D69" s="698">
        <v>41975</v>
      </c>
      <c r="E69" s="615">
        <v>-1820</v>
      </c>
    </row>
    <row r="70" spans="1:5" s="218" customFormat="1" ht="11.25" x14ac:dyDescent="0.2">
      <c r="A70" s="618" t="s">
        <v>488</v>
      </c>
      <c r="B70" s="618" t="s">
        <v>489</v>
      </c>
      <c r="C70" s="715">
        <v>41983</v>
      </c>
      <c r="D70" s="719"/>
      <c r="E70" s="616">
        <v>13000</v>
      </c>
    </row>
    <row r="71" spans="1:5" s="218" customFormat="1" ht="11.25" x14ac:dyDescent="0.2">
      <c r="A71" s="618" t="s">
        <v>490</v>
      </c>
      <c r="B71" s="618" t="s">
        <v>491</v>
      </c>
      <c r="C71" s="715"/>
      <c r="D71" s="715">
        <v>41983</v>
      </c>
      <c r="E71" s="616">
        <v>-13000</v>
      </c>
    </row>
    <row r="72" spans="1:5" s="218" customFormat="1" ht="11.25" x14ac:dyDescent="0.2">
      <c r="A72" s="251" t="s">
        <v>492</v>
      </c>
      <c r="B72" s="251" t="s">
        <v>493</v>
      </c>
      <c r="C72" s="698">
        <v>42004</v>
      </c>
      <c r="D72" s="718"/>
      <c r="E72" s="615">
        <v>9000</v>
      </c>
    </row>
    <row r="73" spans="1:5" s="218" customFormat="1" ht="11.25" x14ac:dyDescent="0.2">
      <c r="A73" s="251" t="s">
        <v>494</v>
      </c>
      <c r="B73" s="251" t="s">
        <v>495</v>
      </c>
      <c r="C73" s="698"/>
      <c r="D73" s="698">
        <v>42004</v>
      </c>
      <c r="E73" s="615">
        <v>-9000</v>
      </c>
    </row>
    <row r="74" spans="1:5" s="218" customFormat="1" ht="11.25" x14ac:dyDescent="0.2">
      <c r="A74" s="618" t="s">
        <v>496</v>
      </c>
      <c r="B74" s="618" t="s">
        <v>497</v>
      </c>
      <c r="C74" s="715">
        <v>41996</v>
      </c>
      <c r="D74" s="719"/>
      <c r="E74" s="616">
        <v>2000</v>
      </c>
    </row>
    <row r="75" spans="1:5" s="218" customFormat="1" ht="11.25" x14ac:dyDescent="0.2">
      <c r="A75" s="618" t="s">
        <v>498</v>
      </c>
      <c r="B75" s="618" t="s">
        <v>499</v>
      </c>
      <c r="C75" s="715"/>
      <c r="D75" s="715">
        <v>42004</v>
      </c>
      <c r="E75" s="616">
        <v>-2000</v>
      </c>
    </row>
    <row r="76" spans="1:5" s="218" customFormat="1" ht="11.25" x14ac:dyDescent="0.2">
      <c r="A76" s="251" t="s">
        <v>488</v>
      </c>
      <c r="B76" s="251" t="s">
        <v>500</v>
      </c>
      <c r="C76" s="698">
        <v>41996</v>
      </c>
      <c r="D76" s="718"/>
      <c r="E76" s="615">
        <v>6000</v>
      </c>
    </row>
    <row r="77" spans="1:5" s="218" customFormat="1" ht="11.25" x14ac:dyDescent="0.2">
      <c r="A77" s="251" t="s">
        <v>490</v>
      </c>
      <c r="B77" s="251" t="s">
        <v>491</v>
      </c>
      <c r="C77" s="698"/>
      <c r="D77" s="698">
        <v>42004</v>
      </c>
      <c r="E77" s="615">
        <v>-6000</v>
      </c>
    </row>
    <row r="78" spans="1:5" s="218" customFormat="1" ht="11.25" x14ac:dyDescent="0.2">
      <c r="A78" s="618" t="s">
        <v>488</v>
      </c>
      <c r="B78" s="618" t="s">
        <v>500</v>
      </c>
      <c r="C78" s="715">
        <v>41996</v>
      </c>
      <c r="D78" s="719"/>
      <c r="E78" s="616">
        <v>14000</v>
      </c>
    </row>
    <row r="79" spans="1:5" s="218" customFormat="1" ht="11.25" x14ac:dyDescent="0.2">
      <c r="A79" s="618" t="s">
        <v>501</v>
      </c>
      <c r="B79" s="618" t="s">
        <v>502</v>
      </c>
      <c r="C79" s="715"/>
      <c r="D79" s="715">
        <v>42004</v>
      </c>
      <c r="E79" s="616">
        <v>-14000</v>
      </c>
    </row>
    <row r="80" spans="1:5" s="218" customFormat="1" ht="11.25" x14ac:dyDescent="0.2">
      <c r="A80" s="251" t="s">
        <v>503</v>
      </c>
      <c r="B80" s="251" t="s">
        <v>504</v>
      </c>
      <c r="C80" s="698">
        <v>42004</v>
      </c>
      <c r="D80" s="718"/>
      <c r="E80" s="615">
        <v>2000</v>
      </c>
    </row>
    <row r="81" spans="1:9" s="218" customFormat="1" ht="11.25" x14ac:dyDescent="0.2">
      <c r="A81" s="251" t="s">
        <v>505</v>
      </c>
      <c r="B81" s="251" t="s">
        <v>506</v>
      </c>
      <c r="C81" s="698"/>
      <c r="D81" s="698">
        <v>42004</v>
      </c>
      <c r="E81" s="615">
        <v>-2000</v>
      </c>
    </row>
    <row r="82" spans="1:9" s="218" customFormat="1" ht="11.25" x14ac:dyDescent="0.2">
      <c r="A82" s="618" t="s">
        <v>507</v>
      </c>
      <c r="B82" s="618" t="s">
        <v>508</v>
      </c>
      <c r="C82" s="715">
        <v>42004</v>
      </c>
      <c r="D82" s="719"/>
      <c r="E82" s="616">
        <v>2000</v>
      </c>
    </row>
    <row r="83" spans="1:9" s="218" customFormat="1" ht="11.25" x14ac:dyDescent="0.2">
      <c r="A83" s="618" t="s">
        <v>490</v>
      </c>
      <c r="B83" s="618" t="s">
        <v>491</v>
      </c>
      <c r="C83" s="715"/>
      <c r="D83" s="715">
        <v>42004</v>
      </c>
      <c r="E83" s="616">
        <v>-2000</v>
      </c>
    </row>
    <row r="84" spans="1:9" s="218" customFormat="1" ht="11.25" x14ac:dyDescent="0.2">
      <c r="A84" s="251" t="s">
        <v>509</v>
      </c>
      <c r="B84" s="251" t="s">
        <v>510</v>
      </c>
      <c r="C84" s="698">
        <v>42004</v>
      </c>
      <c r="D84" s="718"/>
      <c r="E84" s="615">
        <v>9000</v>
      </c>
    </row>
    <row r="85" spans="1:9" s="218" customFormat="1" ht="11.25" x14ac:dyDescent="0.2">
      <c r="A85" s="251" t="s">
        <v>511</v>
      </c>
      <c r="B85" s="251" t="s">
        <v>491</v>
      </c>
      <c r="C85" s="698"/>
      <c r="D85" s="698">
        <v>42004</v>
      </c>
      <c r="E85" s="615">
        <v>-9000</v>
      </c>
    </row>
    <row r="86" spans="1:9" s="218" customFormat="1" ht="11.25" x14ac:dyDescent="0.2">
      <c r="A86" s="231"/>
      <c r="B86" s="231"/>
      <c r="C86" s="434"/>
      <c r="D86" s="231"/>
      <c r="E86" s="614"/>
    </row>
    <row r="87" spans="1:9" s="218" customFormat="1" ht="11.25" x14ac:dyDescent="0.2">
      <c r="A87" s="794" t="s">
        <v>152</v>
      </c>
      <c r="B87" s="794"/>
      <c r="C87" s="794"/>
      <c r="D87" s="794"/>
      <c r="E87" s="794"/>
      <c r="F87" s="794"/>
      <c r="G87" s="794"/>
      <c r="H87" s="794"/>
      <c r="I87" s="794"/>
    </row>
    <row r="88" spans="1:9" s="218" customFormat="1" ht="11.25" x14ac:dyDescent="0.2"/>
    <row r="89" spans="1:9" s="218" customFormat="1" ht="11.25" x14ac:dyDescent="0.2">
      <c r="A89" s="884" t="s">
        <v>518</v>
      </c>
      <c r="B89" s="890"/>
      <c r="C89" s="890"/>
      <c r="D89" s="890"/>
      <c r="E89" s="890"/>
      <c r="F89" s="890"/>
      <c r="G89" s="890"/>
      <c r="H89" s="890"/>
      <c r="I89" s="885"/>
    </row>
    <row r="90" spans="1:9" s="218" customFormat="1" ht="11.25" x14ac:dyDescent="0.2"/>
    <row r="91" spans="1:9" s="217" customFormat="1" ht="10.5" x14ac:dyDescent="0.15">
      <c r="A91" s="852" t="s">
        <v>153</v>
      </c>
      <c r="B91" s="852"/>
      <c r="C91" s="852"/>
      <c r="D91" s="852"/>
      <c r="E91" s="852"/>
      <c r="F91" s="852"/>
      <c r="G91" s="852"/>
      <c r="H91" s="852"/>
      <c r="I91" s="852"/>
    </row>
    <row r="92" spans="1:9" s="218" customFormat="1" ht="11.25" x14ac:dyDescent="0.2"/>
    <row r="93" spans="1:9" s="218" customFormat="1" ht="24" customHeight="1" x14ac:dyDescent="0.2">
      <c r="A93" s="789" t="s">
        <v>519</v>
      </c>
      <c r="B93" s="790"/>
      <c r="C93" s="790"/>
      <c r="D93" s="790"/>
      <c r="E93" s="790"/>
      <c r="F93" s="790"/>
      <c r="G93" s="790"/>
      <c r="H93" s="790"/>
      <c r="I93" s="791"/>
    </row>
    <row r="94" spans="1:9" s="218" customFormat="1" ht="12.75" customHeight="1" x14ac:dyDescent="0.2">
      <c r="A94" s="887" t="s">
        <v>520</v>
      </c>
      <c r="B94" s="888"/>
      <c r="C94" s="888"/>
      <c r="D94" s="888"/>
      <c r="E94" s="888"/>
      <c r="F94" s="888"/>
      <c r="G94" s="888"/>
      <c r="H94" s="888"/>
      <c r="I94" s="889"/>
    </row>
    <row r="95" spans="1:9" s="218" customFormat="1" ht="11.25" customHeight="1" x14ac:dyDescent="0.2">
      <c r="A95" s="789" t="s">
        <v>249</v>
      </c>
      <c r="B95" s="790"/>
      <c r="C95" s="790"/>
      <c r="D95" s="790"/>
      <c r="E95" s="790"/>
      <c r="F95" s="790"/>
      <c r="G95" s="790"/>
      <c r="H95" s="790"/>
      <c r="I95" s="791"/>
    </row>
  </sheetData>
  <mergeCells count="50">
    <mergeCell ref="A15:A16"/>
    <mergeCell ref="A3:I3"/>
    <mergeCell ref="A5:B5"/>
    <mergeCell ref="D5:I5"/>
    <mergeCell ref="A6:B6"/>
    <mergeCell ref="D6:I6"/>
    <mergeCell ref="A7:B7"/>
    <mergeCell ref="D7:I7"/>
    <mergeCell ref="A8:B8"/>
    <mergeCell ref="D8:I8"/>
    <mergeCell ref="A11:I11"/>
    <mergeCell ref="A9:B9"/>
    <mergeCell ref="D9:I9"/>
    <mergeCell ref="D36:I36"/>
    <mergeCell ref="D37:I37"/>
    <mergeCell ref="C38:I38"/>
    <mergeCell ref="F25:I25"/>
    <mergeCell ref="F26:I26"/>
    <mergeCell ref="A28:I28"/>
    <mergeCell ref="D30:I30"/>
    <mergeCell ref="D31:I31"/>
    <mergeCell ref="C32:I32"/>
    <mergeCell ref="A34:I34"/>
    <mergeCell ref="A19:I19"/>
    <mergeCell ref="F21:I21"/>
    <mergeCell ref="F22:I22"/>
    <mergeCell ref="F23:I23"/>
    <mergeCell ref="F24:I24"/>
    <mergeCell ref="A40:I40"/>
    <mergeCell ref="C43:I43"/>
    <mergeCell ref="C44:I44"/>
    <mergeCell ref="A46:I46"/>
    <mergeCell ref="A48:B48"/>
    <mergeCell ref="C42:I42"/>
    <mergeCell ref="A50:B50"/>
    <mergeCell ref="A87:I87"/>
    <mergeCell ref="A89:I89"/>
    <mergeCell ref="A91:I91"/>
    <mergeCell ref="A49:E49"/>
    <mergeCell ref="A57:B57"/>
    <mergeCell ref="A61:B61"/>
    <mergeCell ref="A53:B53"/>
    <mergeCell ref="A54:B54"/>
    <mergeCell ref="A55:B55"/>
    <mergeCell ref="A56:B56"/>
    <mergeCell ref="A93:I93"/>
    <mergeCell ref="A94:I94"/>
    <mergeCell ref="A95:I95"/>
    <mergeCell ref="A51:B51"/>
    <mergeCell ref="A52:B52"/>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111" enableFormatConditionsCalculation="0">
    <tabColor rgb="FF92D050"/>
  </sheetPr>
  <dimension ref="A1:AE68"/>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833" t="s">
        <v>107</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38"/>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45"/>
      <c r="B4" s="839"/>
      <c r="C4" s="840"/>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846"/>
      <c r="B5" s="841"/>
      <c r="C5" s="842"/>
      <c r="D5" s="844"/>
      <c r="E5" s="820"/>
      <c r="F5" s="357" t="s">
        <v>35</v>
      </c>
      <c r="G5" s="358" t="s">
        <v>36</v>
      </c>
      <c r="H5" s="357" t="s">
        <v>37</v>
      </c>
      <c r="I5" s="825"/>
      <c r="J5" s="820"/>
      <c r="K5" s="357" t="s">
        <v>35</v>
      </c>
      <c r="L5" s="358" t="s">
        <v>36</v>
      </c>
      <c r="M5" s="357" t="s">
        <v>37</v>
      </c>
      <c r="N5" s="825"/>
      <c r="O5" s="820"/>
      <c r="P5" s="357" t="s">
        <v>35</v>
      </c>
      <c r="Q5" s="358" t="s">
        <v>36</v>
      </c>
      <c r="R5" s="357" t="s">
        <v>37</v>
      </c>
      <c r="S5" s="825"/>
      <c r="T5" s="820"/>
      <c r="U5" s="357" t="s">
        <v>35</v>
      </c>
      <c r="V5" s="358" t="s">
        <v>36</v>
      </c>
      <c r="W5" s="357" t="s">
        <v>37</v>
      </c>
      <c r="X5" s="825"/>
    </row>
    <row r="6" spans="1:24" s="6" customFormat="1" ht="9.75" customHeight="1" x14ac:dyDescent="0.2">
      <c r="A6" s="33" t="s">
        <v>0</v>
      </c>
      <c r="B6" s="826" t="s">
        <v>1</v>
      </c>
      <c r="C6" s="826"/>
      <c r="D6" s="23" t="s">
        <v>25</v>
      </c>
      <c r="E6" s="67">
        <f>SUM(E7:E9)</f>
        <v>6786500</v>
      </c>
      <c r="F6" s="67">
        <f>SUM(F7:F9)</f>
        <v>7169560</v>
      </c>
      <c r="G6" s="67">
        <f>SUM(G7:G9)</f>
        <v>7168078</v>
      </c>
      <c r="H6" s="28">
        <f t="shared" ref="H6:H36" si="0">G6/F6*100</f>
        <v>99.979329275436712</v>
      </c>
      <c r="I6" s="67">
        <f>SUM(I7:I9)</f>
        <v>6856954</v>
      </c>
      <c r="J6" s="67">
        <f>SUM(J7:J9)</f>
        <v>1931300</v>
      </c>
      <c r="K6" s="67">
        <f t="shared" ref="K6:S6" si="1">SUM(K7:K9)</f>
        <v>2224696</v>
      </c>
      <c r="L6" s="67">
        <f t="shared" si="1"/>
        <v>2223214</v>
      </c>
      <c r="M6" s="28">
        <f t="shared" ref="M6:M32" si="2">L6/K6*100</f>
        <v>99.933384156756702</v>
      </c>
      <c r="N6" s="67">
        <f t="shared" si="1"/>
        <v>2054754</v>
      </c>
      <c r="O6" s="67">
        <f t="shared" si="1"/>
        <v>4855200</v>
      </c>
      <c r="P6" s="67">
        <f t="shared" si="1"/>
        <v>4944864</v>
      </c>
      <c r="Q6" s="67">
        <f t="shared" si="1"/>
        <v>4944864</v>
      </c>
      <c r="R6" s="28">
        <f t="shared" ref="R6:R11" si="3">Q6/P6*100</f>
        <v>100</v>
      </c>
      <c r="S6" s="67">
        <f t="shared" si="1"/>
        <v>4802200</v>
      </c>
      <c r="T6" s="67"/>
      <c r="U6" s="67"/>
      <c r="V6" s="67"/>
      <c r="W6" s="28" t="e">
        <f t="shared" ref="W6:W33" si="4">V6/U6*100</f>
        <v>#DIV/0!</v>
      </c>
      <c r="X6" s="67"/>
    </row>
    <row r="7" spans="1:24" s="6" customFormat="1" ht="9.9499999999999993" customHeight="1" x14ac:dyDescent="0.2">
      <c r="A7" s="34" t="s">
        <v>2</v>
      </c>
      <c r="B7" s="827" t="s">
        <v>47</v>
      </c>
      <c r="C7" s="828"/>
      <c r="D7" s="58" t="s">
        <v>25</v>
      </c>
      <c r="E7" s="158">
        <f t="shared" ref="E7:G9" si="5">SUM(J7,O7)</f>
        <v>770000</v>
      </c>
      <c r="F7" s="159">
        <f t="shared" si="5"/>
        <v>932444</v>
      </c>
      <c r="G7" s="159">
        <f t="shared" si="5"/>
        <v>931237</v>
      </c>
      <c r="H7" s="160">
        <f t="shared" si="0"/>
        <v>99.870555229053963</v>
      </c>
      <c r="I7" s="161">
        <f>SUM(N7,S7)</f>
        <v>933661</v>
      </c>
      <c r="J7" s="371">
        <v>770000</v>
      </c>
      <c r="K7" s="372">
        <v>932444</v>
      </c>
      <c r="L7" s="372">
        <v>931237</v>
      </c>
      <c r="M7" s="160">
        <f t="shared" si="2"/>
        <v>99.870555229053963</v>
      </c>
      <c r="N7" s="373">
        <v>933661</v>
      </c>
      <c r="O7" s="374"/>
      <c r="P7" s="372"/>
      <c r="Q7" s="372"/>
      <c r="R7" s="368" t="e">
        <f t="shared" si="3"/>
        <v>#DIV/0!</v>
      </c>
      <c r="S7" s="373"/>
      <c r="T7" s="374"/>
      <c r="U7" s="372"/>
      <c r="V7" s="372"/>
      <c r="W7" s="160" t="e">
        <f t="shared" si="4"/>
        <v>#DIV/0!</v>
      </c>
      <c r="X7" s="375"/>
    </row>
    <row r="8" spans="1:24" s="6" customFormat="1" ht="9.9499999999999993" customHeight="1" x14ac:dyDescent="0.2">
      <c r="A8" s="35" t="s">
        <v>3</v>
      </c>
      <c r="B8" s="829" t="s">
        <v>48</v>
      </c>
      <c r="C8" s="830"/>
      <c r="D8" s="56" t="s">
        <v>25</v>
      </c>
      <c r="E8" s="77">
        <f t="shared" si="5"/>
        <v>300</v>
      </c>
      <c r="F8" s="78">
        <f t="shared" si="5"/>
        <v>300</v>
      </c>
      <c r="G8" s="78">
        <f t="shared" si="5"/>
        <v>25</v>
      </c>
      <c r="H8" s="11">
        <f t="shared" si="0"/>
        <v>8.3333333333333321</v>
      </c>
      <c r="I8" s="79">
        <f>SUM(N8,S8)</f>
        <v>93</v>
      </c>
      <c r="J8" s="80">
        <v>300</v>
      </c>
      <c r="K8" s="78">
        <v>300</v>
      </c>
      <c r="L8" s="78">
        <v>25</v>
      </c>
      <c r="M8" s="11">
        <f t="shared" si="2"/>
        <v>8.3333333333333321</v>
      </c>
      <c r="N8" s="79">
        <v>93</v>
      </c>
      <c r="O8" s="77"/>
      <c r="P8" s="78"/>
      <c r="Q8" s="78"/>
      <c r="R8" s="31" t="e">
        <f t="shared" si="3"/>
        <v>#DIV/0!</v>
      </c>
      <c r="S8" s="79"/>
      <c r="T8" s="77"/>
      <c r="U8" s="78"/>
      <c r="V8" s="78"/>
      <c r="W8" s="11" t="e">
        <f t="shared" si="4"/>
        <v>#DIV/0!</v>
      </c>
      <c r="X8" s="81"/>
    </row>
    <row r="9" spans="1:24" s="6" customFormat="1" ht="9.9499999999999993" customHeight="1" x14ac:dyDescent="0.2">
      <c r="A9" s="36" t="s">
        <v>4</v>
      </c>
      <c r="B9" s="44" t="s">
        <v>66</v>
      </c>
      <c r="C9" s="45"/>
      <c r="D9" s="57" t="s">
        <v>25</v>
      </c>
      <c r="E9" s="154">
        <f t="shared" si="5"/>
        <v>6016200</v>
      </c>
      <c r="F9" s="155">
        <f t="shared" si="5"/>
        <v>6236816</v>
      </c>
      <c r="G9" s="155">
        <f t="shared" si="5"/>
        <v>6236816</v>
      </c>
      <c r="H9" s="156">
        <f t="shared" si="0"/>
        <v>100</v>
      </c>
      <c r="I9" s="157">
        <f>SUM(N9,S9)</f>
        <v>5923200</v>
      </c>
      <c r="J9" s="355">
        <v>1161000</v>
      </c>
      <c r="K9" s="155">
        <v>1291952</v>
      </c>
      <c r="L9" s="155">
        <v>1291952</v>
      </c>
      <c r="M9" s="156">
        <f t="shared" si="2"/>
        <v>100</v>
      </c>
      <c r="N9" s="157">
        <v>1121000</v>
      </c>
      <c r="O9" s="154">
        <v>4855200</v>
      </c>
      <c r="P9" s="155">
        <v>4944864</v>
      </c>
      <c r="Q9" s="155">
        <v>4944864</v>
      </c>
      <c r="R9" s="156">
        <f t="shared" si="3"/>
        <v>100</v>
      </c>
      <c r="S9" s="157">
        <v>4802200</v>
      </c>
      <c r="T9" s="154"/>
      <c r="U9" s="155"/>
      <c r="V9" s="155"/>
      <c r="W9" s="156" t="e">
        <f t="shared" si="4"/>
        <v>#DIV/0!</v>
      </c>
      <c r="X9" s="356"/>
    </row>
    <row r="10" spans="1:24" s="6" customFormat="1" ht="9.9499999999999993" customHeight="1" x14ac:dyDescent="0.2">
      <c r="A10" s="33" t="s">
        <v>5</v>
      </c>
      <c r="B10" s="826" t="s">
        <v>7</v>
      </c>
      <c r="C10" s="826"/>
      <c r="D10" s="23" t="s">
        <v>25</v>
      </c>
      <c r="E10" s="87"/>
      <c r="F10" s="87"/>
      <c r="G10" s="87"/>
      <c r="H10" s="28" t="e">
        <f t="shared" si="0"/>
        <v>#DIV/0!</v>
      </c>
      <c r="I10" s="87">
        <f>SUM(N10,S10)</f>
        <v>0</v>
      </c>
      <c r="J10" s="69"/>
      <c r="K10" s="87"/>
      <c r="L10" s="87"/>
      <c r="M10" s="28" t="e">
        <f t="shared" si="2"/>
        <v>#DIV/0!</v>
      </c>
      <c r="N10" s="87"/>
      <c r="O10" s="87"/>
      <c r="P10" s="87"/>
      <c r="Q10" s="87"/>
      <c r="R10" s="28" t="e">
        <f t="shared" si="3"/>
        <v>#DIV/0!</v>
      </c>
      <c r="S10" s="87"/>
      <c r="T10" s="87"/>
      <c r="U10" s="87"/>
      <c r="V10" s="87"/>
      <c r="W10" s="28" t="e">
        <f t="shared" si="4"/>
        <v>#DIV/0!</v>
      </c>
      <c r="X10" s="87"/>
    </row>
    <row r="11" spans="1:24" s="6" customFormat="1" ht="9.9499999999999993" customHeight="1" x14ac:dyDescent="0.2">
      <c r="A11" s="33" t="s">
        <v>6</v>
      </c>
      <c r="B11" s="826" t="s">
        <v>9</v>
      </c>
      <c r="C11" s="826"/>
      <c r="D11" s="23" t="s">
        <v>25</v>
      </c>
      <c r="E11" s="67">
        <f>SUM(E12:E30)</f>
        <v>6786500</v>
      </c>
      <c r="F11" s="67">
        <f>SUM(F12:F30)</f>
        <v>7169560</v>
      </c>
      <c r="G11" s="67">
        <f>SUM(G12:G30)</f>
        <v>7074034</v>
      </c>
      <c r="H11" s="28">
        <f t="shared" si="0"/>
        <v>98.667616980679426</v>
      </c>
      <c r="I11" s="67">
        <f>SUM(I12:I30)</f>
        <v>6692329</v>
      </c>
      <c r="J11" s="67">
        <f>SUM(J12:J30)</f>
        <v>1931300</v>
      </c>
      <c r="K11" s="67">
        <f>SUM(K12:K30)</f>
        <v>2224696</v>
      </c>
      <c r="L11" s="67">
        <f>SUM(L12:L30)</f>
        <v>2129170</v>
      </c>
      <c r="M11" s="28">
        <f t="shared" si="2"/>
        <v>95.706109958394308</v>
      </c>
      <c r="N11" s="67">
        <f>SUM(N12:N30)</f>
        <v>1890129</v>
      </c>
      <c r="O11" s="67">
        <f>SUM(O12:O30)</f>
        <v>4855200</v>
      </c>
      <c r="P11" s="67">
        <f>SUM(P12:P30)</f>
        <v>4944864</v>
      </c>
      <c r="Q11" s="67">
        <f>SUM(Q12:Q30)</f>
        <v>4944864</v>
      </c>
      <c r="R11" s="28">
        <f t="shared" si="3"/>
        <v>100</v>
      </c>
      <c r="S11" s="67">
        <f>SUM(S12:S30)</f>
        <v>4802200</v>
      </c>
      <c r="T11" s="67"/>
      <c r="U11" s="67"/>
      <c r="V11" s="67"/>
      <c r="W11" s="28" t="e">
        <f t="shared" si="4"/>
        <v>#DIV/0!</v>
      </c>
      <c r="X11" s="67"/>
    </row>
    <row r="12" spans="1:24" s="6" customFormat="1" ht="9.9499999999999993" customHeight="1" x14ac:dyDescent="0.2">
      <c r="A12" s="37" t="s">
        <v>8</v>
      </c>
      <c r="B12" s="831" t="s">
        <v>28</v>
      </c>
      <c r="C12" s="832"/>
      <c r="D12" s="58" t="s">
        <v>25</v>
      </c>
      <c r="E12" s="77">
        <f t="shared" ref="E12:I27" si="6">SUM(J12,O12)</f>
        <v>587500</v>
      </c>
      <c r="F12" s="77">
        <f t="shared" si="6"/>
        <v>752736</v>
      </c>
      <c r="G12" s="77">
        <f t="shared" si="6"/>
        <v>748675</v>
      </c>
      <c r="H12" s="160">
        <f t="shared" si="0"/>
        <v>99.460501424138087</v>
      </c>
      <c r="I12" s="77">
        <f t="shared" si="6"/>
        <v>675439</v>
      </c>
      <c r="J12" s="364">
        <v>587500</v>
      </c>
      <c r="K12" s="365">
        <v>747997</v>
      </c>
      <c r="L12" s="365">
        <v>743936</v>
      </c>
      <c r="M12" s="160">
        <f t="shared" si="2"/>
        <v>99.457083384024273</v>
      </c>
      <c r="N12" s="366">
        <v>675439</v>
      </c>
      <c r="O12" s="367"/>
      <c r="P12" s="365">
        <v>4739</v>
      </c>
      <c r="Q12" s="365">
        <v>4739</v>
      </c>
      <c r="R12" s="10">
        <f t="shared" ref="R12:R30" si="7">Q12/P12*100</f>
        <v>100</v>
      </c>
      <c r="S12" s="369"/>
      <c r="T12" s="367"/>
      <c r="U12" s="365"/>
      <c r="V12" s="365"/>
      <c r="W12" s="160" t="e">
        <f t="shared" si="4"/>
        <v>#DIV/0!</v>
      </c>
      <c r="X12" s="370"/>
    </row>
    <row r="13" spans="1:24" s="6" customFormat="1" ht="9.9499999999999993" customHeight="1" x14ac:dyDescent="0.2">
      <c r="A13" s="38" t="s">
        <v>10</v>
      </c>
      <c r="B13" s="815" t="s">
        <v>29</v>
      </c>
      <c r="C13" s="816"/>
      <c r="D13" s="56" t="s">
        <v>25</v>
      </c>
      <c r="E13" s="77">
        <f t="shared" si="6"/>
        <v>780000</v>
      </c>
      <c r="F13" s="77">
        <f t="shared" si="6"/>
        <v>602500</v>
      </c>
      <c r="G13" s="77">
        <f t="shared" si="6"/>
        <v>527974</v>
      </c>
      <c r="H13" s="160">
        <f t="shared" si="0"/>
        <v>87.630539419087143</v>
      </c>
      <c r="I13" s="77">
        <f t="shared" si="6"/>
        <v>569149</v>
      </c>
      <c r="J13" s="95">
        <v>780000</v>
      </c>
      <c r="K13" s="78">
        <v>602500</v>
      </c>
      <c r="L13" s="78">
        <v>527974</v>
      </c>
      <c r="M13" s="11">
        <f t="shared" si="2"/>
        <v>87.630539419087143</v>
      </c>
      <c r="N13" s="79">
        <v>569149</v>
      </c>
      <c r="O13" s="77"/>
      <c r="P13" s="78"/>
      <c r="Q13" s="78"/>
      <c r="R13" s="11" t="e">
        <f t="shared" si="7"/>
        <v>#DIV/0!</v>
      </c>
      <c r="S13" s="79"/>
      <c r="T13" s="77"/>
      <c r="U13" s="78"/>
      <c r="V13" s="78"/>
      <c r="W13" s="11" t="e">
        <f t="shared" si="4"/>
        <v>#DIV/0!</v>
      </c>
      <c r="X13" s="81"/>
    </row>
    <row r="14" spans="1:24" s="6" customFormat="1" ht="9.9499999999999993" customHeight="1" x14ac:dyDescent="0.2">
      <c r="A14" s="38" t="s">
        <v>11</v>
      </c>
      <c r="B14" s="46" t="s">
        <v>67</v>
      </c>
      <c r="C14" s="47"/>
      <c r="D14" s="56" t="s">
        <v>25</v>
      </c>
      <c r="E14" s="77">
        <f t="shared" si="6"/>
        <v>0</v>
      </c>
      <c r="F14" s="77">
        <f t="shared" si="6"/>
        <v>0</v>
      </c>
      <c r="G14" s="77">
        <f t="shared" si="6"/>
        <v>0</v>
      </c>
      <c r="H14" s="160" t="e">
        <f t="shared" si="0"/>
        <v>#DIV/0!</v>
      </c>
      <c r="I14" s="77">
        <f t="shared" si="6"/>
        <v>0</v>
      </c>
      <c r="J14" s="95"/>
      <c r="K14" s="78"/>
      <c r="L14" s="78"/>
      <c r="M14" s="11" t="e">
        <f t="shared" si="2"/>
        <v>#DIV/0!</v>
      </c>
      <c r="N14" s="79"/>
      <c r="O14" s="77"/>
      <c r="P14" s="78"/>
      <c r="Q14" s="78"/>
      <c r="R14" s="11" t="e">
        <f t="shared" si="7"/>
        <v>#DIV/0!</v>
      </c>
      <c r="S14" s="79"/>
      <c r="T14" s="77"/>
      <c r="U14" s="78"/>
      <c r="V14" s="78"/>
      <c r="W14" s="11" t="e">
        <f t="shared" si="4"/>
        <v>#DIV/0!</v>
      </c>
      <c r="X14" s="81"/>
    </row>
    <row r="15" spans="1:24" s="6" customFormat="1" ht="9.9499999999999993" customHeight="1" x14ac:dyDescent="0.2">
      <c r="A15" s="38" t="s">
        <v>12</v>
      </c>
      <c r="B15" s="815" t="s">
        <v>68</v>
      </c>
      <c r="C15" s="816"/>
      <c r="D15" s="56" t="s">
        <v>25</v>
      </c>
      <c r="E15" s="77">
        <f t="shared" si="6"/>
        <v>282000</v>
      </c>
      <c r="F15" s="77">
        <f t="shared" si="6"/>
        <v>428514</v>
      </c>
      <c r="G15" s="77">
        <f t="shared" si="6"/>
        <v>426664</v>
      </c>
      <c r="H15" s="160">
        <f t="shared" si="0"/>
        <v>99.568275482247955</v>
      </c>
      <c r="I15" s="77">
        <f t="shared" si="6"/>
        <v>343888</v>
      </c>
      <c r="J15" s="95">
        <v>282000</v>
      </c>
      <c r="K15" s="78">
        <v>428514</v>
      </c>
      <c r="L15" s="78">
        <v>426664</v>
      </c>
      <c r="M15" s="11">
        <f t="shared" si="2"/>
        <v>99.568275482247955</v>
      </c>
      <c r="N15" s="79">
        <v>343888</v>
      </c>
      <c r="O15" s="77"/>
      <c r="P15" s="78"/>
      <c r="Q15" s="78"/>
      <c r="R15" s="11" t="e">
        <f t="shared" si="7"/>
        <v>#DIV/0!</v>
      </c>
      <c r="S15" s="79"/>
      <c r="T15" s="77"/>
      <c r="U15" s="78"/>
      <c r="V15" s="78"/>
      <c r="W15" s="11" t="e">
        <f t="shared" si="4"/>
        <v>#DIV/0!</v>
      </c>
      <c r="X15" s="81"/>
    </row>
    <row r="16" spans="1:24" s="6" customFormat="1" ht="9.9499999999999993" customHeight="1" x14ac:dyDescent="0.2">
      <c r="A16" s="38" t="s">
        <v>13</v>
      </c>
      <c r="B16" s="815" t="s">
        <v>30</v>
      </c>
      <c r="C16" s="816"/>
      <c r="D16" s="56" t="s">
        <v>25</v>
      </c>
      <c r="E16" s="77">
        <f t="shared" si="6"/>
        <v>1800</v>
      </c>
      <c r="F16" s="77">
        <f t="shared" si="6"/>
        <v>1800</v>
      </c>
      <c r="G16" s="77">
        <f t="shared" si="6"/>
        <v>1162</v>
      </c>
      <c r="H16" s="160">
        <f t="shared" si="0"/>
        <v>64.555555555555557</v>
      </c>
      <c r="I16" s="77">
        <f t="shared" si="6"/>
        <v>752</v>
      </c>
      <c r="J16" s="95">
        <v>1800</v>
      </c>
      <c r="K16" s="78">
        <v>1800</v>
      </c>
      <c r="L16" s="78">
        <v>1162</v>
      </c>
      <c r="M16" s="11">
        <f t="shared" si="2"/>
        <v>64.555555555555557</v>
      </c>
      <c r="N16" s="79">
        <v>752</v>
      </c>
      <c r="O16" s="77"/>
      <c r="P16" s="78"/>
      <c r="Q16" s="78"/>
      <c r="R16" s="11" t="e">
        <f t="shared" si="7"/>
        <v>#DIV/0!</v>
      </c>
      <c r="S16" s="79"/>
      <c r="T16" s="77"/>
      <c r="U16" s="78"/>
      <c r="V16" s="78"/>
      <c r="W16" s="11" t="e">
        <f t="shared" si="4"/>
        <v>#DIV/0!</v>
      </c>
      <c r="X16" s="81"/>
    </row>
    <row r="17" spans="1:24" s="6" customFormat="1" ht="9.9499999999999993" customHeight="1" x14ac:dyDescent="0.2">
      <c r="A17" s="38" t="s">
        <v>14</v>
      </c>
      <c r="B17" s="46" t="s">
        <v>49</v>
      </c>
      <c r="C17" s="47"/>
      <c r="D17" s="56" t="s">
        <v>25</v>
      </c>
      <c r="E17" s="77">
        <f t="shared" si="6"/>
        <v>0</v>
      </c>
      <c r="F17" s="77">
        <f t="shared" si="6"/>
        <v>0</v>
      </c>
      <c r="G17" s="77">
        <f t="shared" si="6"/>
        <v>0</v>
      </c>
      <c r="H17" s="160" t="e">
        <f t="shared" si="0"/>
        <v>#DIV/0!</v>
      </c>
      <c r="I17" s="77">
        <f t="shared" si="6"/>
        <v>0</v>
      </c>
      <c r="J17" s="95"/>
      <c r="K17" s="78"/>
      <c r="L17" s="78"/>
      <c r="M17" s="11" t="e">
        <f t="shared" si="2"/>
        <v>#DIV/0!</v>
      </c>
      <c r="N17" s="79"/>
      <c r="O17" s="77"/>
      <c r="P17" s="78"/>
      <c r="Q17" s="78"/>
      <c r="R17" s="11" t="e">
        <f t="shared" si="7"/>
        <v>#DIV/0!</v>
      </c>
      <c r="S17" s="79"/>
      <c r="T17" s="77"/>
      <c r="U17" s="78"/>
      <c r="V17" s="78"/>
      <c r="W17" s="11" t="e">
        <f t="shared" si="4"/>
        <v>#DIV/0!</v>
      </c>
      <c r="X17" s="81"/>
    </row>
    <row r="18" spans="1:24" s="6" customFormat="1" ht="9.9499999999999993" customHeight="1" x14ac:dyDescent="0.2">
      <c r="A18" s="38" t="s">
        <v>15</v>
      </c>
      <c r="B18" s="815" t="s">
        <v>31</v>
      </c>
      <c r="C18" s="816"/>
      <c r="D18" s="56" t="s">
        <v>25</v>
      </c>
      <c r="E18" s="77">
        <f t="shared" si="6"/>
        <v>209000</v>
      </c>
      <c r="F18" s="77">
        <f t="shared" si="6"/>
        <v>189175</v>
      </c>
      <c r="G18" s="77">
        <f t="shared" si="6"/>
        <v>185766</v>
      </c>
      <c r="H18" s="160">
        <f t="shared" si="0"/>
        <v>98.197964847363551</v>
      </c>
      <c r="I18" s="77">
        <f t="shared" si="6"/>
        <v>176822</v>
      </c>
      <c r="J18" s="95">
        <v>209000</v>
      </c>
      <c r="K18" s="78">
        <v>188825</v>
      </c>
      <c r="L18" s="78">
        <v>185416</v>
      </c>
      <c r="M18" s="11">
        <f t="shared" si="2"/>
        <v>98.194624652455971</v>
      </c>
      <c r="N18" s="79">
        <v>176122</v>
      </c>
      <c r="O18" s="77"/>
      <c r="P18" s="78">
        <v>350</v>
      </c>
      <c r="Q18" s="78">
        <v>350</v>
      </c>
      <c r="R18" s="11">
        <f t="shared" si="7"/>
        <v>100</v>
      </c>
      <c r="S18" s="79">
        <v>700</v>
      </c>
      <c r="T18" s="77"/>
      <c r="U18" s="78"/>
      <c r="V18" s="78"/>
      <c r="W18" s="11" t="e">
        <f t="shared" si="4"/>
        <v>#DIV/0!</v>
      </c>
      <c r="X18" s="81"/>
    </row>
    <row r="19" spans="1:24" s="12" customFormat="1" ht="9.9499999999999993" customHeight="1" x14ac:dyDescent="0.2">
      <c r="A19" s="38" t="s">
        <v>16</v>
      </c>
      <c r="B19" s="815" t="s">
        <v>32</v>
      </c>
      <c r="C19" s="816"/>
      <c r="D19" s="56" t="s">
        <v>25</v>
      </c>
      <c r="E19" s="77">
        <f t="shared" si="6"/>
        <v>3556000</v>
      </c>
      <c r="F19" s="77">
        <f t="shared" si="6"/>
        <v>3640526</v>
      </c>
      <c r="G19" s="77">
        <f t="shared" si="6"/>
        <v>3640526</v>
      </c>
      <c r="H19" s="160">
        <f t="shared" si="0"/>
        <v>100</v>
      </c>
      <c r="I19" s="77">
        <f t="shared" si="6"/>
        <v>3547680</v>
      </c>
      <c r="J19" s="96"/>
      <c r="K19" s="78"/>
      <c r="L19" s="78"/>
      <c r="M19" s="11" t="e">
        <f t="shared" si="2"/>
        <v>#DIV/0!</v>
      </c>
      <c r="N19" s="79"/>
      <c r="O19" s="77">
        <v>3556000</v>
      </c>
      <c r="P19" s="78">
        <v>3640526</v>
      </c>
      <c r="Q19" s="78">
        <v>3640526</v>
      </c>
      <c r="R19" s="11">
        <f t="shared" si="7"/>
        <v>100</v>
      </c>
      <c r="S19" s="79">
        <v>3547680</v>
      </c>
      <c r="T19" s="119"/>
      <c r="U19" s="97"/>
      <c r="V19" s="97"/>
      <c r="W19" s="11" t="e">
        <f t="shared" si="4"/>
        <v>#DIV/0!</v>
      </c>
      <c r="X19" s="123"/>
    </row>
    <row r="20" spans="1:24" s="6" customFormat="1" ht="9.9499999999999993" customHeight="1" x14ac:dyDescent="0.2">
      <c r="A20" s="38" t="s">
        <v>17</v>
      </c>
      <c r="B20" s="815" t="s">
        <v>50</v>
      </c>
      <c r="C20" s="816"/>
      <c r="D20" s="56" t="s">
        <v>25</v>
      </c>
      <c r="E20" s="77">
        <f t="shared" si="6"/>
        <v>1223975</v>
      </c>
      <c r="F20" s="77">
        <f t="shared" si="6"/>
        <v>1246437</v>
      </c>
      <c r="G20" s="77">
        <f t="shared" si="6"/>
        <v>1246437</v>
      </c>
      <c r="H20" s="160">
        <f t="shared" si="0"/>
        <v>100</v>
      </c>
      <c r="I20" s="77">
        <f t="shared" si="6"/>
        <v>1209914</v>
      </c>
      <c r="J20" s="95"/>
      <c r="K20" s="78"/>
      <c r="L20" s="78"/>
      <c r="M20" s="11" t="e">
        <f t="shared" si="2"/>
        <v>#DIV/0!</v>
      </c>
      <c r="N20" s="79"/>
      <c r="O20" s="77">
        <v>1223975</v>
      </c>
      <c r="P20" s="78">
        <v>1246437</v>
      </c>
      <c r="Q20" s="78">
        <v>1246437</v>
      </c>
      <c r="R20" s="11">
        <f t="shared" si="7"/>
        <v>100</v>
      </c>
      <c r="S20" s="79">
        <v>1209914</v>
      </c>
      <c r="T20" s="77"/>
      <c r="U20" s="78"/>
      <c r="V20" s="78"/>
      <c r="W20" s="11" t="e">
        <f t="shared" si="4"/>
        <v>#DIV/0!</v>
      </c>
      <c r="X20" s="81"/>
    </row>
    <row r="21" spans="1:24" s="6" customFormat="1" ht="9.9499999999999993" customHeight="1" x14ac:dyDescent="0.2">
      <c r="A21" s="38" t="s">
        <v>18</v>
      </c>
      <c r="B21" s="815" t="s">
        <v>51</v>
      </c>
      <c r="C21" s="816"/>
      <c r="D21" s="56" t="s">
        <v>25</v>
      </c>
      <c r="E21" s="77">
        <f t="shared" si="6"/>
        <v>85225</v>
      </c>
      <c r="F21" s="77">
        <f t="shared" si="6"/>
        <v>62812</v>
      </c>
      <c r="G21" s="77">
        <f t="shared" si="6"/>
        <v>52812</v>
      </c>
      <c r="H21" s="160">
        <f t="shared" si="0"/>
        <v>84.079475259504548</v>
      </c>
      <c r="I21" s="77">
        <f t="shared" si="6"/>
        <v>47439</v>
      </c>
      <c r="J21" s="95">
        <v>10000</v>
      </c>
      <c r="K21" s="78">
        <v>10000</v>
      </c>
      <c r="L21" s="78"/>
      <c r="M21" s="11">
        <f t="shared" si="2"/>
        <v>0</v>
      </c>
      <c r="N21" s="79">
        <v>3533</v>
      </c>
      <c r="O21" s="77">
        <v>75225</v>
      </c>
      <c r="P21" s="78">
        <v>52812</v>
      </c>
      <c r="Q21" s="78">
        <v>52812</v>
      </c>
      <c r="R21" s="11">
        <f t="shared" si="7"/>
        <v>100</v>
      </c>
      <c r="S21" s="79">
        <v>43906</v>
      </c>
      <c r="T21" s="77"/>
      <c r="U21" s="78"/>
      <c r="V21" s="78"/>
      <c r="W21" s="11" t="e">
        <f t="shared" si="4"/>
        <v>#DIV/0!</v>
      </c>
      <c r="X21" s="81"/>
    </row>
    <row r="22" spans="1:24" s="6" customFormat="1" ht="9.9499999999999993" customHeight="1" x14ac:dyDescent="0.2">
      <c r="A22" s="38" t="s">
        <v>19</v>
      </c>
      <c r="B22" s="815" t="s">
        <v>69</v>
      </c>
      <c r="C22" s="816"/>
      <c r="D22" s="56" t="s">
        <v>25</v>
      </c>
      <c r="E22" s="77">
        <f t="shared" si="6"/>
        <v>0</v>
      </c>
      <c r="F22" s="77">
        <f t="shared" si="6"/>
        <v>0</v>
      </c>
      <c r="G22" s="77">
        <f t="shared" si="6"/>
        <v>0</v>
      </c>
      <c r="H22" s="160" t="e">
        <f t="shared" si="0"/>
        <v>#DIV/0!</v>
      </c>
      <c r="I22" s="77">
        <f t="shared" si="6"/>
        <v>0</v>
      </c>
      <c r="J22" s="95"/>
      <c r="K22" s="78"/>
      <c r="L22" s="78"/>
      <c r="M22" s="11" t="e">
        <f t="shared" si="2"/>
        <v>#DIV/0!</v>
      </c>
      <c r="N22" s="79"/>
      <c r="O22" s="77"/>
      <c r="P22" s="78"/>
      <c r="Q22" s="78"/>
      <c r="R22" s="11" t="e">
        <f t="shared" si="7"/>
        <v>#DIV/0!</v>
      </c>
      <c r="S22" s="79"/>
      <c r="T22" s="77"/>
      <c r="U22" s="78"/>
      <c r="V22" s="78"/>
      <c r="W22" s="11" t="e">
        <f t="shared" si="4"/>
        <v>#DIV/0!</v>
      </c>
      <c r="X22" s="81"/>
    </row>
    <row r="23" spans="1:24" s="6" customFormat="1" ht="9.9499999999999993" customHeight="1" x14ac:dyDescent="0.2">
      <c r="A23" s="38" t="s">
        <v>20</v>
      </c>
      <c r="B23" s="46" t="s">
        <v>70</v>
      </c>
      <c r="C23" s="47"/>
      <c r="D23" s="56" t="s">
        <v>25</v>
      </c>
      <c r="E23" s="77">
        <f t="shared" si="6"/>
        <v>0</v>
      </c>
      <c r="F23" s="77">
        <f t="shared" si="6"/>
        <v>0</v>
      </c>
      <c r="G23" s="77">
        <f t="shared" si="6"/>
        <v>0</v>
      </c>
      <c r="H23" s="160" t="e">
        <f t="shared" si="0"/>
        <v>#DIV/0!</v>
      </c>
      <c r="I23" s="77">
        <f t="shared" si="6"/>
        <v>0</v>
      </c>
      <c r="J23" s="95"/>
      <c r="K23" s="78"/>
      <c r="L23" s="78"/>
      <c r="M23" s="11" t="e">
        <f t="shared" si="2"/>
        <v>#DIV/0!</v>
      </c>
      <c r="N23" s="79"/>
      <c r="O23" s="77"/>
      <c r="P23" s="78"/>
      <c r="Q23" s="78"/>
      <c r="R23" s="11" t="e">
        <f t="shared" si="7"/>
        <v>#DIV/0!</v>
      </c>
      <c r="S23" s="79"/>
      <c r="T23" s="77"/>
      <c r="U23" s="78"/>
      <c r="V23" s="78"/>
      <c r="W23" s="11" t="e">
        <f t="shared" si="4"/>
        <v>#DIV/0!</v>
      </c>
      <c r="X23" s="81"/>
    </row>
    <row r="24" spans="1:24" s="6" customFormat="1" ht="9.9499999999999993" customHeight="1" x14ac:dyDescent="0.2">
      <c r="A24" s="38" t="s">
        <v>21</v>
      </c>
      <c r="B24" s="46" t="s">
        <v>52</v>
      </c>
      <c r="C24" s="47"/>
      <c r="D24" s="56" t="s">
        <v>25</v>
      </c>
      <c r="E24" s="77">
        <f t="shared" si="6"/>
        <v>0</v>
      </c>
      <c r="F24" s="77">
        <f t="shared" si="6"/>
        <v>0</v>
      </c>
      <c r="G24" s="77">
        <f t="shared" si="6"/>
        <v>0</v>
      </c>
      <c r="H24" s="160" t="e">
        <f t="shared" si="0"/>
        <v>#DIV/0!</v>
      </c>
      <c r="I24" s="77">
        <f t="shared" si="6"/>
        <v>0</v>
      </c>
      <c r="J24" s="95"/>
      <c r="K24" s="78"/>
      <c r="L24" s="78"/>
      <c r="M24" s="11" t="e">
        <f t="shared" si="2"/>
        <v>#DIV/0!</v>
      </c>
      <c r="N24" s="79"/>
      <c r="O24" s="77"/>
      <c r="P24" s="78"/>
      <c r="Q24" s="78"/>
      <c r="R24" s="11" t="e">
        <f t="shared" si="7"/>
        <v>#DIV/0!</v>
      </c>
      <c r="S24" s="79"/>
      <c r="T24" s="77"/>
      <c r="U24" s="78"/>
      <c r="V24" s="78"/>
      <c r="W24" s="11" t="e">
        <f t="shared" si="4"/>
        <v>#DIV/0!</v>
      </c>
      <c r="X24" s="81"/>
    </row>
    <row r="25" spans="1:24" s="6" customFormat="1" ht="9.9499999999999993" customHeight="1" x14ac:dyDescent="0.2">
      <c r="A25" s="39" t="s">
        <v>22</v>
      </c>
      <c r="B25" s="48" t="s">
        <v>71</v>
      </c>
      <c r="C25" s="49"/>
      <c r="D25" s="56" t="s">
        <v>25</v>
      </c>
      <c r="E25" s="77">
        <f t="shared" si="6"/>
        <v>1000</v>
      </c>
      <c r="F25" s="77">
        <f t="shared" si="6"/>
        <v>40500</v>
      </c>
      <c r="G25" s="77">
        <f t="shared" si="6"/>
        <v>40415</v>
      </c>
      <c r="H25" s="160">
        <f t="shared" si="0"/>
        <v>99.790123456790127</v>
      </c>
      <c r="I25" s="77">
        <f t="shared" si="6"/>
        <v>3266</v>
      </c>
      <c r="J25" s="95">
        <v>1000</v>
      </c>
      <c r="K25" s="98">
        <v>40500</v>
      </c>
      <c r="L25" s="98">
        <v>40415</v>
      </c>
      <c r="M25" s="11">
        <f t="shared" si="2"/>
        <v>99.790123456790127</v>
      </c>
      <c r="N25" s="99">
        <v>3266</v>
      </c>
      <c r="O25" s="100"/>
      <c r="P25" s="98"/>
      <c r="Q25" s="98"/>
      <c r="R25" s="11" t="e">
        <f t="shared" si="7"/>
        <v>#DIV/0!</v>
      </c>
      <c r="S25" s="101"/>
      <c r="T25" s="100"/>
      <c r="U25" s="98"/>
      <c r="V25" s="98"/>
      <c r="W25" s="11" t="e">
        <f t="shared" si="4"/>
        <v>#DIV/0!</v>
      </c>
      <c r="X25" s="124"/>
    </row>
    <row r="26" spans="1:24" s="14" customFormat="1" ht="9.9499999999999993" customHeight="1" x14ac:dyDescent="0.2">
      <c r="A26" s="38" t="s">
        <v>23</v>
      </c>
      <c r="B26" s="815" t="s">
        <v>72</v>
      </c>
      <c r="C26" s="816"/>
      <c r="D26" s="56" t="s">
        <v>25</v>
      </c>
      <c r="E26" s="77">
        <f t="shared" si="6"/>
        <v>0</v>
      </c>
      <c r="F26" s="77">
        <f t="shared" si="6"/>
        <v>4175</v>
      </c>
      <c r="G26" s="77">
        <f t="shared" si="6"/>
        <v>4175</v>
      </c>
      <c r="H26" s="160">
        <f t="shared" si="0"/>
        <v>100</v>
      </c>
      <c r="I26" s="77">
        <f t="shared" si="6"/>
        <v>0</v>
      </c>
      <c r="J26" s="95"/>
      <c r="K26" s="103">
        <v>4175</v>
      </c>
      <c r="L26" s="103">
        <v>4175</v>
      </c>
      <c r="M26" s="11">
        <f t="shared" si="2"/>
        <v>100</v>
      </c>
      <c r="N26" s="79"/>
      <c r="O26" s="102"/>
      <c r="P26" s="103"/>
      <c r="Q26" s="103"/>
      <c r="R26" s="11" t="e">
        <f t="shared" si="7"/>
        <v>#DIV/0!</v>
      </c>
      <c r="S26" s="99"/>
      <c r="T26" s="120"/>
      <c r="U26" s="105"/>
      <c r="V26" s="105"/>
      <c r="W26" s="11" t="e">
        <f t="shared" si="4"/>
        <v>#DIV/0!</v>
      </c>
      <c r="X26" s="125"/>
    </row>
    <row r="27" spans="1:24" s="16" customFormat="1" ht="9.9499999999999993" customHeight="1" x14ac:dyDescent="0.2">
      <c r="A27" s="38" t="s">
        <v>45</v>
      </c>
      <c r="B27" s="46" t="s">
        <v>73</v>
      </c>
      <c r="C27" s="47"/>
      <c r="D27" s="56" t="s">
        <v>25</v>
      </c>
      <c r="E27" s="77">
        <f t="shared" si="6"/>
        <v>60000</v>
      </c>
      <c r="F27" s="77">
        <f t="shared" si="6"/>
        <v>200385</v>
      </c>
      <c r="G27" s="77">
        <f t="shared" si="6"/>
        <v>199428</v>
      </c>
      <c r="H27" s="160">
        <f t="shared" si="0"/>
        <v>99.522419342765176</v>
      </c>
      <c r="I27" s="77">
        <f t="shared" si="6"/>
        <v>117980</v>
      </c>
      <c r="J27" s="95">
        <v>60000</v>
      </c>
      <c r="K27" s="103">
        <v>200385</v>
      </c>
      <c r="L27" s="103">
        <v>199428</v>
      </c>
      <c r="M27" s="11">
        <f t="shared" si="2"/>
        <v>99.522419342765176</v>
      </c>
      <c r="N27" s="99">
        <v>117980</v>
      </c>
      <c r="O27" s="102"/>
      <c r="P27" s="103"/>
      <c r="Q27" s="103"/>
      <c r="R27" s="11" t="e">
        <f t="shared" si="7"/>
        <v>#DIV/0!</v>
      </c>
      <c r="S27" s="99"/>
      <c r="T27" s="120"/>
      <c r="U27" s="105"/>
      <c r="V27" s="105"/>
      <c r="W27" s="11" t="e">
        <f t="shared" si="4"/>
        <v>#DIV/0!</v>
      </c>
      <c r="X27" s="125"/>
    </row>
    <row r="28" spans="1:24" s="14" customFormat="1" ht="9.9499999999999993" customHeight="1" x14ac:dyDescent="0.2">
      <c r="A28" s="38" t="s">
        <v>53</v>
      </c>
      <c r="B28" s="815" t="s">
        <v>74</v>
      </c>
      <c r="C28" s="816"/>
      <c r="D28" s="56" t="s">
        <v>25</v>
      </c>
      <c r="E28" s="77">
        <f t="shared" ref="E28:G30" si="8">SUM(J28,O28)</f>
        <v>0</v>
      </c>
      <c r="F28" s="77">
        <f t="shared" si="8"/>
        <v>0</v>
      </c>
      <c r="G28" s="77">
        <f t="shared" si="8"/>
        <v>0</v>
      </c>
      <c r="H28" s="160" t="e">
        <f t="shared" si="0"/>
        <v>#DIV/0!</v>
      </c>
      <c r="I28" s="77">
        <f>SUM(N28,S28)</f>
        <v>0</v>
      </c>
      <c r="J28" s="95"/>
      <c r="K28" s="103"/>
      <c r="L28" s="103"/>
      <c r="M28" s="11" t="e">
        <f t="shared" si="2"/>
        <v>#DIV/0!</v>
      </c>
      <c r="N28" s="99"/>
      <c r="O28" s="102"/>
      <c r="P28" s="103"/>
      <c r="Q28" s="103"/>
      <c r="R28" s="11" t="e">
        <f t="shared" si="7"/>
        <v>#DIV/0!</v>
      </c>
      <c r="S28" s="99"/>
      <c r="T28" s="120"/>
      <c r="U28" s="105"/>
      <c r="V28" s="105"/>
      <c r="W28" s="11" t="e">
        <f t="shared" si="4"/>
        <v>#DIV/0!</v>
      </c>
      <c r="X28" s="125"/>
    </row>
    <row r="29" spans="1:24" s="6" customFormat="1" ht="9.75" x14ac:dyDescent="0.2">
      <c r="A29" s="38" t="s">
        <v>54</v>
      </c>
      <c r="B29" s="46" t="s">
        <v>55</v>
      </c>
      <c r="C29" s="47"/>
      <c r="D29" s="56" t="s">
        <v>25</v>
      </c>
      <c r="E29" s="77">
        <f t="shared" si="8"/>
        <v>0</v>
      </c>
      <c r="F29" s="77">
        <f t="shared" si="8"/>
        <v>0</v>
      </c>
      <c r="G29" s="77">
        <f t="shared" si="8"/>
        <v>0</v>
      </c>
      <c r="H29" s="160" t="e">
        <f t="shared" si="0"/>
        <v>#DIV/0!</v>
      </c>
      <c r="I29" s="77">
        <f>SUM(N29,S29)</f>
        <v>0</v>
      </c>
      <c r="J29" s="95"/>
      <c r="K29" s="103"/>
      <c r="L29" s="103"/>
      <c r="M29" s="11" t="e">
        <f t="shared" si="2"/>
        <v>#DIV/0!</v>
      </c>
      <c r="N29" s="99"/>
      <c r="O29" s="102"/>
      <c r="P29" s="103"/>
      <c r="Q29" s="103"/>
      <c r="R29" s="11" t="e">
        <f t="shared" si="7"/>
        <v>#DIV/0!</v>
      </c>
      <c r="S29" s="99"/>
      <c r="T29" s="120"/>
      <c r="U29" s="105"/>
      <c r="V29" s="105"/>
      <c r="W29" s="11" t="e">
        <f t="shared" si="4"/>
        <v>#DIV/0!</v>
      </c>
      <c r="X29" s="125"/>
    </row>
    <row r="30" spans="1:24" s="27" customFormat="1" ht="9.75" x14ac:dyDescent="0.2">
      <c r="A30" s="40" t="s">
        <v>56</v>
      </c>
      <c r="B30" s="44" t="s">
        <v>75</v>
      </c>
      <c r="C30" s="50"/>
      <c r="D30" s="57" t="s">
        <v>25</v>
      </c>
      <c r="E30" s="77">
        <f t="shared" si="8"/>
        <v>0</v>
      </c>
      <c r="F30" s="77">
        <f t="shared" si="8"/>
        <v>0</v>
      </c>
      <c r="G30" s="77">
        <f t="shared" si="8"/>
        <v>0</v>
      </c>
      <c r="H30" s="160" t="e">
        <f t="shared" si="0"/>
        <v>#DIV/0!</v>
      </c>
      <c r="I30" s="77">
        <f>SUM(N30,S30)</f>
        <v>0</v>
      </c>
      <c r="J30" s="347"/>
      <c r="K30" s="348"/>
      <c r="L30" s="348"/>
      <c r="M30" s="156" t="e">
        <f t="shared" si="2"/>
        <v>#DIV/0!</v>
      </c>
      <c r="N30" s="349"/>
      <c r="O30" s="350"/>
      <c r="P30" s="348"/>
      <c r="Q30" s="348"/>
      <c r="R30" s="31" t="e">
        <f t="shared" si="7"/>
        <v>#DIV/0!</v>
      </c>
      <c r="S30" s="349"/>
      <c r="T30" s="351"/>
      <c r="U30" s="352"/>
      <c r="V30" s="352"/>
      <c r="W30" s="156" t="e">
        <f t="shared" si="4"/>
        <v>#DIV/0!</v>
      </c>
      <c r="X30" s="353"/>
    </row>
    <row r="31" spans="1:24" s="27" customFormat="1" ht="9.75" x14ac:dyDescent="0.2">
      <c r="A31" s="33" t="s">
        <v>57</v>
      </c>
      <c r="B31" s="817" t="s">
        <v>58</v>
      </c>
      <c r="C31" s="818"/>
      <c r="D31" s="23" t="s">
        <v>25</v>
      </c>
      <c r="E31" s="67">
        <f>SUM(E6-E11)</f>
        <v>0</v>
      </c>
      <c r="F31" s="67">
        <f>SUM(F6-F11)</f>
        <v>0</v>
      </c>
      <c r="G31" s="67">
        <f>SUM(G6-G11)</f>
        <v>94044</v>
      </c>
      <c r="H31" s="28" t="e">
        <f t="shared" si="0"/>
        <v>#DIV/0!</v>
      </c>
      <c r="I31" s="67">
        <f>SUM(I6-I11)</f>
        <v>164625</v>
      </c>
      <c r="J31" s="67">
        <f>SUM(J6-J11)</f>
        <v>0</v>
      </c>
      <c r="K31" s="67">
        <f>SUM(K6-K11)</f>
        <v>0</v>
      </c>
      <c r="L31" s="67">
        <f>SUM(L6-L11)</f>
        <v>94044</v>
      </c>
      <c r="M31" s="28" t="e">
        <f t="shared" si="2"/>
        <v>#DIV/0!</v>
      </c>
      <c r="N31" s="67">
        <f>SUM(N6-N11)</f>
        <v>164625</v>
      </c>
      <c r="O31" s="67">
        <f>SUM(O6-O11)</f>
        <v>0</v>
      </c>
      <c r="P31" s="67">
        <f>SUM(P6-P11)</f>
        <v>0</v>
      </c>
      <c r="Q31" s="67">
        <f>SUM(Q6-Q11)</f>
        <v>0</v>
      </c>
      <c r="R31" s="28" t="e">
        <f>Q31/P31*100</f>
        <v>#DIV/0!</v>
      </c>
      <c r="S31" s="67">
        <f>SUM(S6-S11)</f>
        <v>0</v>
      </c>
      <c r="T31" s="67"/>
      <c r="U31" s="67"/>
      <c r="V31" s="67"/>
      <c r="W31" s="28" t="e">
        <f t="shared" si="4"/>
        <v>#DIV/0!</v>
      </c>
      <c r="X31" s="67"/>
    </row>
    <row r="32" spans="1:24" s="27" customFormat="1" ht="9.75" x14ac:dyDescent="0.2">
      <c r="A32" s="41" t="s">
        <v>59</v>
      </c>
      <c r="B32" s="60" t="s">
        <v>76</v>
      </c>
      <c r="C32" s="61"/>
      <c r="D32" s="354" t="s">
        <v>25</v>
      </c>
      <c r="E32" s="77">
        <f>SUM(J32,O32)</f>
        <v>0</v>
      </c>
      <c r="F32" s="77">
        <f>SUM(K32,P32)</f>
        <v>0</v>
      </c>
      <c r="G32" s="77">
        <f>SUM(L32,Q32)</f>
        <v>0</v>
      </c>
      <c r="H32" s="160" t="e">
        <f t="shared" si="0"/>
        <v>#DIV/0!</v>
      </c>
      <c r="I32" s="77">
        <f>SUM(N32,S32)</f>
        <v>0</v>
      </c>
      <c r="J32" s="359"/>
      <c r="K32" s="360"/>
      <c r="L32" s="360"/>
      <c r="M32" s="162" t="e">
        <f t="shared" si="2"/>
        <v>#DIV/0!</v>
      </c>
      <c r="N32" s="361"/>
      <c r="O32" s="362"/>
      <c r="P32" s="360"/>
      <c r="Q32" s="360"/>
      <c r="R32" s="162" t="e">
        <f>Q32/P32*100</f>
        <v>#DIV/0!</v>
      </c>
      <c r="S32" s="361"/>
      <c r="T32" s="362"/>
      <c r="U32" s="360"/>
      <c r="V32" s="360"/>
      <c r="W32" s="162" t="e">
        <f t="shared" si="4"/>
        <v>#DIV/0!</v>
      </c>
      <c r="X32" s="363"/>
    </row>
    <row r="33" spans="1:31" s="27" customFormat="1" ht="9.75" x14ac:dyDescent="0.2">
      <c r="A33" s="33" t="s">
        <v>60</v>
      </c>
      <c r="B33" s="24" t="s">
        <v>61</v>
      </c>
      <c r="C33" s="25"/>
      <c r="D33" s="23" t="s">
        <v>25</v>
      </c>
      <c r="E33" s="67">
        <f>E31-E32</f>
        <v>0</v>
      </c>
      <c r="F33" s="67">
        <f>F31-F32</f>
        <v>0</v>
      </c>
      <c r="G33" s="67">
        <f>G31-G32</f>
        <v>94044</v>
      </c>
      <c r="H33" s="28" t="e">
        <f t="shared" si="0"/>
        <v>#DIV/0!</v>
      </c>
      <c r="I33" s="67">
        <f>I31-I32</f>
        <v>164625</v>
      </c>
      <c r="J33" s="67">
        <f>J31-J32</f>
        <v>0</v>
      </c>
      <c r="K33" s="67">
        <f>K31-K32</f>
        <v>0</v>
      </c>
      <c r="L33" s="67">
        <f>L31-L32</f>
        <v>94044</v>
      </c>
      <c r="M33" s="28"/>
      <c r="N33" s="67">
        <f>N31-N32</f>
        <v>164625</v>
      </c>
      <c r="O33" s="67">
        <f>O31-O32</f>
        <v>0</v>
      </c>
      <c r="P33" s="67">
        <f>P31-P32</f>
        <v>0</v>
      </c>
      <c r="Q33" s="67">
        <f>Q31-Q32</f>
        <v>0</v>
      </c>
      <c r="R33" s="28" t="e">
        <f>Q33/P33*100</f>
        <v>#DIV/0!</v>
      </c>
      <c r="S33" s="67">
        <f>S31-S32</f>
        <v>0</v>
      </c>
      <c r="T33" s="67"/>
      <c r="U33" s="67"/>
      <c r="V33" s="67"/>
      <c r="W33" s="28" t="e">
        <f t="shared" si="4"/>
        <v>#DIV/0!</v>
      </c>
      <c r="X33" s="67"/>
    </row>
    <row r="34" spans="1:31" ht="9" x14ac:dyDescent="0.2">
      <c r="A34" s="42" t="s">
        <v>62</v>
      </c>
      <c r="B34" s="813" t="s">
        <v>24</v>
      </c>
      <c r="C34" s="814"/>
      <c r="D34" s="62" t="s">
        <v>25</v>
      </c>
      <c r="E34" s="207">
        <v>17981</v>
      </c>
      <c r="F34" s="208">
        <v>18961</v>
      </c>
      <c r="G34" s="208">
        <v>18961</v>
      </c>
      <c r="H34" s="167">
        <f t="shared" si="0"/>
        <v>100</v>
      </c>
      <c r="I34" s="209">
        <v>19024</v>
      </c>
      <c r="J34" s="804"/>
      <c r="K34" s="805"/>
      <c r="L34" s="805"/>
      <c r="M34" s="805"/>
      <c r="N34" s="805"/>
      <c r="O34" s="805"/>
      <c r="P34" s="805"/>
      <c r="Q34" s="805"/>
      <c r="R34" s="805"/>
      <c r="S34" s="805"/>
      <c r="T34" s="805"/>
      <c r="U34" s="805"/>
      <c r="V34" s="805"/>
      <c r="W34" s="805"/>
      <c r="X34" s="806"/>
    </row>
    <row r="35" spans="1:31" ht="9" x14ac:dyDescent="0.2">
      <c r="A35" s="32" t="s">
        <v>63</v>
      </c>
      <c r="B35" s="797" t="s">
        <v>33</v>
      </c>
      <c r="C35" s="798"/>
      <c r="D35" s="63" t="s">
        <v>26</v>
      </c>
      <c r="E35" s="213">
        <v>16.48</v>
      </c>
      <c r="F35" s="214">
        <v>16</v>
      </c>
      <c r="G35" s="214">
        <v>16</v>
      </c>
      <c r="H35" s="15">
        <f t="shared" si="0"/>
        <v>100</v>
      </c>
      <c r="I35" s="215">
        <v>15.54</v>
      </c>
      <c r="J35" s="804"/>
      <c r="K35" s="805"/>
      <c r="L35" s="805"/>
      <c r="M35" s="805"/>
      <c r="N35" s="805"/>
      <c r="O35" s="805"/>
      <c r="P35" s="805"/>
      <c r="Q35" s="805"/>
      <c r="R35" s="805"/>
      <c r="S35" s="805"/>
      <c r="T35" s="805"/>
      <c r="U35" s="805"/>
      <c r="V35" s="805"/>
      <c r="W35" s="805"/>
      <c r="X35" s="806"/>
    </row>
    <row r="36" spans="1:31" ht="9" x14ac:dyDescent="0.2">
      <c r="A36" s="43" t="s">
        <v>64</v>
      </c>
      <c r="B36" s="799" t="s">
        <v>27</v>
      </c>
      <c r="C36" s="800"/>
      <c r="D36" s="64" t="s">
        <v>26</v>
      </c>
      <c r="E36" s="210">
        <v>21</v>
      </c>
      <c r="F36" s="211">
        <v>21</v>
      </c>
      <c r="G36" s="211">
        <v>21</v>
      </c>
      <c r="H36" s="17">
        <f t="shared" si="0"/>
        <v>100</v>
      </c>
      <c r="I36" s="212">
        <v>20</v>
      </c>
      <c r="J36" s="807"/>
      <c r="K36" s="808"/>
      <c r="L36" s="808"/>
      <c r="M36" s="808"/>
      <c r="N36" s="808"/>
      <c r="O36" s="808"/>
      <c r="P36" s="808"/>
      <c r="Q36" s="808"/>
      <c r="R36" s="808"/>
      <c r="S36" s="808"/>
      <c r="T36" s="808"/>
      <c r="U36" s="808"/>
      <c r="V36" s="808"/>
      <c r="W36" s="808"/>
      <c r="X36" s="809"/>
    </row>
    <row r="37" spans="1:31" s="6" customFormat="1" ht="9.75" x14ac:dyDescent="0.2">
      <c r="A37" s="51" t="s">
        <v>65</v>
      </c>
      <c r="B37" s="52" t="s">
        <v>46</v>
      </c>
      <c r="C37" s="52"/>
      <c r="D37" s="20" t="s">
        <v>25</v>
      </c>
      <c r="E37" s="810"/>
      <c r="F37" s="811"/>
      <c r="G37" s="811"/>
      <c r="H37" s="811"/>
      <c r="I37" s="812"/>
      <c r="J37" s="52"/>
      <c r="K37" s="52"/>
      <c r="L37" s="52"/>
      <c r="M37" s="28" t="e">
        <f>L37/K37*100</f>
        <v>#DIV/0!</v>
      </c>
      <c r="N37" s="801"/>
      <c r="O37" s="802"/>
      <c r="P37" s="802"/>
      <c r="Q37" s="802"/>
      <c r="R37" s="802"/>
      <c r="S37" s="802"/>
      <c r="T37" s="802"/>
      <c r="U37" s="802"/>
      <c r="V37" s="802"/>
      <c r="W37" s="802"/>
      <c r="X37" s="803"/>
    </row>
    <row r="38" spans="1:31" s="136" customFormat="1" x14ac:dyDescent="0.15">
      <c r="A38" s="137"/>
    </row>
    <row r="39" spans="1:31" s="136" customFormat="1" x14ac:dyDescent="0.15">
      <c r="A39" s="137"/>
      <c r="P39" s="138"/>
    </row>
    <row r="40" spans="1:31" s="136" customFormat="1" x14ac:dyDescent="0.15">
      <c r="A40" s="137"/>
    </row>
    <row r="41" spans="1:31" s="136" customFormat="1" x14ac:dyDescent="0.15">
      <c r="A41" s="137"/>
    </row>
    <row r="42" spans="1:31" s="136" customFormat="1" x14ac:dyDescent="0.15">
      <c r="A42" s="137"/>
    </row>
    <row r="43" spans="1:31" s="136" customFormat="1" x14ac:dyDescent="0.15">
      <c r="A43" s="137"/>
    </row>
    <row r="44" spans="1:31" s="136" customFormat="1" x14ac:dyDescent="0.15">
      <c r="A44" s="137"/>
    </row>
    <row r="45" spans="1:31" s="136" customFormat="1" x14ac:dyDescent="0.15">
      <c r="A45" s="137"/>
    </row>
    <row r="46" spans="1:31" s="136" customFormat="1" x14ac:dyDescent="0.15">
      <c r="A46" s="137"/>
      <c r="AE46" s="138"/>
    </row>
    <row r="47" spans="1:31" s="136" customFormat="1" x14ac:dyDescent="0.15">
      <c r="A47" s="137"/>
    </row>
    <row r="48" spans="1:31"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B35:C35"/>
    <mergeCell ref="B36:C36"/>
    <mergeCell ref="N37:X37"/>
    <mergeCell ref="J34:X36"/>
    <mergeCell ref="E37:I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833" t="s">
        <v>99</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38"/>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45"/>
      <c r="B4" s="839"/>
      <c r="C4" s="840"/>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846"/>
      <c r="B5" s="841"/>
      <c r="C5" s="842"/>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11334100</v>
      </c>
      <c r="F6" s="67">
        <f>SUM(F7:F9)</f>
        <v>11294352</v>
      </c>
      <c r="G6" s="67">
        <f>SUM(G7:G9)</f>
        <v>11294796.359999999</v>
      </c>
      <c r="H6" s="28">
        <f t="shared" ref="H6:H36" si="0">G6/F6*100</f>
        <v>100.0039343558621</v>
      </c>
      <c r="I6" s="67">
        <f>SUM(I7:I9)</f>
        <v>11003568</v>
      </c>
      <c r="J6" s="67">
        <f>SUM(J7:J9)</f>
        <v>2061500</v>
      </c>
      <c r="K6" s="67">
        <f t="shared" ref="K6:X6" si="1">SUM(K7:K9)</f>
        <v>1548512</v>
      </c>
      <c r="L6" s="67">
        <f t="shared" si="1"/>
        <v>1548956.36</v>
      </c>
      <c r="M6" s="28">
        <f t="shared" ref="M6:M33" si="2">L6/K6*100</f>
        <v>100.02869593519456</v>
      </c>
      <c r="N6" s="68">
        <f t="shared" si="1"/>
        <v>1909641</v>
      </c>
      <c r="O6" s="67">
        <f t="shared" si="1"/>
        <v>9272600</v>
      </c>
      <c r="P6" s="67">
        <f t="shared" si="1"/>
        <v>9745840</v>
      </c>
      <c r="Q6" s="67">
        <f t="shared" si="1"/>
        <v>9745840</v>
      </c>
      <c r="R6" s="28">
        <f t="shared" ref="R6:R30" si="3">Q6/P6*100</f>
        <v>100</v>
      </c>
      <c r="S6" s="67">
        <f t="shared" si="1"/>
        <v>9093927</v>
      </c>
      <c r="T6" s="67">
        <f t="shared" si="1"/>
        <v>0</v>
      </c>
      <c r="U6" s="67">
        <v>142000</v>
      </c>
      <c r="V6" s="67">
        <f t="shared" si="1"/>
        <v>195923</v>
      </c>
      <c r="W6" s="28">
        <f>V6/U6*100</f>
        <v>137.97394366197182</v>
      </c>
      <c r="X6" s="67">
        <f t="shared" si="1"/>
        <v>0</v>
      </c>
    </row>
    <row r="7" spans="1:24" s="6" customFormat="1" ht="9.9499999999999993" customHeight="1" x14ac:dyDescent="0.2">
      <c r="A7" s="34" t="s">
        <v>2</v>
      </c>
      <c r="B7" s="827" t="s">
        <v>47</v>
      </c>
      <c r="C7" s="828"/>
      <c r="D7" s="55" t="s">
        <v>25</v>
      </c>
      <c r="E7" s="70">
        <f t="shared" ref="E7:G10" si="4">SUM(J7,O7)</f>
        <v>184500</v>
      </c>
      <c r="F7" s="71">
        <f t="shared" si="4"/>
        <v>93012</v>
      </c>
      <c r="G7" s="71">
        <f t="shared" si="4"/>
        <v>94371</v>
      </c>
      <c r="H7" s="10">
        <f t="shared" si="0"/>
        <v>101.461101793317</v>
      </c>
      <c r="I7" s="72">
        <f>SUM(N7,S7)</f>
        <v>431305</v>
      </c>
      <c r="J7" s="73">
        <v>184500</v>
      </c>
      <c r="K7" s="74">
        <v>93012</v>
      </c>
      <c r="L7" s="74">
        <v>94371</v>
      </c>
      <c r="M7" s="10">
        <f t="shared" si="2"/>
        <v>101.461101793317</v>
      </c>
      <c r="N7" s="75">
        <v>431305</v>
      </c>
      <c r="O7" s="76"/>
      <c r="P7" s="74"/>
      <c r="Q7" s="74"/>
      <c r="R7" s="10" t="e">
        <f t="shared" si="3"/>
        <v>#DIV/0!</v>
      </c>
      <c r="S7" s="75"/>
      <c r="T7" s="76"/>
      <c r="U7" s="74">
        <v>142000</v>
      </c>
      <c r="V7" s="74">
        <v>195923</v>
      </c>
      <c r="W7" s="10">
        <f>V7/U7*100</f>
        <v>137.97394366197182</v>
      </c>
      <c r="X7" s="122"/>
    </row>
    <row r="8" spans="1:24" s="6" customFormat="1" ht="9.9499999999999993" customHeight="1" x14ac:dyDescent="0.2">
      <c r="A8" s="35" t="s">
        <v>3</v>
      </c>
      <c r="B8" s="829" t="s">
        <v>48</v>
      </c>
      <c r="C8" s="830"/>
      <c r="D8" s="56" t="s">
        <v>25</v>
      </c>
      <c r="E8" s="77">
        <f t="shared" si="4"/>
        <v>1000</v>
      </c>
      <c r="F8" s="78">
        <f t="shared" si="4"/>
        <v>1000</v>
      </c>
      <c r="G8" s="78">
        <f t="shared" si="4"/>
        <v>85.36</v>
      </c>
      <c r="H8" s="11">
        <f t="shared" si="0"/>
        <v>8.5360000000000014</v>
      </c>
      <c r="I8" s="79">
        <f>SUM(N8,S8)</f>
        <v>336</v>
      </c>
      <c r="J8" s="80">
        <v>1000</v>
      </c>
      <c r="K8" s="78">
        <v>1000</v>
      </c>
      <c r="L8" s="78">
        <v>85.36</v>
      </c>
      <c r="M8" s="11">
        <f t="shared" si="2"/>
        <v>8.5360000000000014</v>
      </c>
      <c r="N8" s="79">
        <v>336</v>
      </c>
      <c r="O8" s="77"/>
      <c r="P8" s="78"/>
      <c r="Q8" s="78"/>
      <c r="R8" s="11" t="e">
        <f t="shared" si="3"/>
        <v>#DIV/0!</v>
      </c>
      <c r="S8" s="79"/>
      <c r="T8" s="77"/>
      <c r="U8" s="78"/>
      <c r="V8" s="78"/>
      <c r="W8" s="11" t="e">
        <f>V8/U8*100</f>
        <v>#DIV/0!</v>
      </c>
      <c r="X8" s="81"/>
    </row>
    <row r="9" spans="1:24" s="6" customFormat="1" ht="9.9499999999999993" customHeight="1" x14ac:dyDescent="0.2">
      <c r="A9" s="36" t="s">
        <v>4</v>
      </c>
      <c r="B9" s="44" t="s">
        <v>66</v>
      </c>
      <c r="C9" s="45"/>
      <c r="D9" s="57" t="s">
        <v>25</v>
      </c>
      <c r="E9" s="82">
        <f t="shared" si="4"/>
        <v>11148600</v>
      </c>
      <c r="F9" s="83">
        <f t="shared" si="4"/>
        <v>11200340</v>
      </c>
      <c r="G9" s="83">
        <f t="shared" si="4"/>
        <v>11200340</v>
      </c>
      <c r="H9" s="31">
        <f t="shared" si="0"/>
        <v>100</v>
      </c>
      <c r="I9" s="84">
        <f>SUM(N9,S9)</f>
        <v>10571927</v>
      </c>
      <c r="J9" s="85">
        <v>1876000</v>
      </c>
      <c r="K9" s="83">
        <v>1454500</v>
      </c>
      <c r="L9" s="83">
        <v>1454500</v>
      </c>
      <c r="M9" s="31">
        <f t="shared" si="2"/>
        <v>100</v>
      </c>
      <c r="N9" s="84">
        <v>1478000</v>
      </c>
      <c r="O9" s="82">
        <v>9272600</v>
      </c>
      <c r="P9" s="83">
        <v>9745840</v>
      </c>
      <c r="Q9" s="83">
        <v>9745840</v>
      </c>
      <c r="R9" s="31">
        <f t="shared" si="3"/>
        <v>100</v>
      </c>
      <c r="S9" s="84">
        <v>9093927</v>
      </c>
      <c r="T9" s="82"/>
      <c r="U9" s="83"/>
      <c r="V9" s="83"/>
      <c r="W9" s="31" t="e">
        <f>V9/U9*100</f>
        <v>#DIV/0!</v>
      </c>
      <c r="X9" s="86"/>
    </row>
    <row r="10" spans="1:24" s="6" customFormat="1" ht="9.9499999999999993" customHeight="1" x14ac:dyDescent="0.2">
      <c r="A10" s="33" t="s">
        <v>5</v>
      </c>
      <c r="B10" s="826" t="s">
        <v>7</v>
      </c>
      <c r="C10" s="826"/>
      <c r="D10" s="23" t="s">
        <v>25</v>
      </c>
      <c r="E10" s="87">
        <f t="shared" si="4"/>
        <v>0</v>
      </c>
      <c r="F10" s="87">
        <f t="shared" si="4"/>
        <v>0</v>
      </c>
      <c r="G10" s="87">
        <f t="shared" si="4"/>
        <v>0</v>
      </c>
      <c r="H10" s="28" t="e">
        <f t="shared" si="0"/>
        <v>#DIV/0!</v>
      </c>
      <c r="I10" s="88">
        <f>SUM(N10,S10)</f>
        <v>0</v>
      </c>
      <c r="J10" s="69"/>
      <c r="K10" s="87"/>
      <c r="L10" s="87"/>
      <c r="M10" s="28">
        <v>0</v>
      </c>
      <c r="N10" s="88"/>
      <c r="O10" s="87"/>
      <c r="P10" s="87"/>
      <c r="Q10" s="87"/>
      <c r="R10" s="28">
        <v>0</v>
      </c>
      <c r="S10" s="88"/>
      <c r="T10" s="87"/>
      <c r="U10" s="87"/>
      <c r="V10" s="87"/>
      <c r="W10" s="28">
        <v>0</v>
      </c>
      <c r="X10" s="87"/>
    </row>
    <row r="11" spans="1:24" s="6" customFormat="1" ht="9.9499999999999993" customHeight="1" x14ac:dyDescent="0.2">
      <c r="A11" s="33" t="s">
        <v>6</v>
      </c>
      <c r="B11" s="826" t="s">
        <v>9</v>
      </c>
      <c r="C11" s="826"/>
      <c r="D11" s="23" t="s">
        <v>25</v>
      </c>
      <c r="E11" s="67">
        <f>SUM(E12:E30)</f>
        <v>11334100</v>
      </c>
      <c r="F11" s="67">
        <f>SUM(F12:F30)</f>
        <v>11294352.43</v>
      </c>
      <c r="G11" s="67">
        <f>SUM(G12:G30)</f>
        <v>11219821.85</v>
      </c>
      <c r="H11" s="28">
        <f t="shared" si="0"/>
        <v>99.340107540809214</v>
      </c>
      <c r="I11" s="68">
        <f>SUM(I12:I30)</f>
        <v>10788537</v>
      </c>
      <c r="J11" s="67">
        <f>SUM(J12:J30)</f>
        <v>2061500</v>
      </c>
      <c r="K11" s="67">
        <f>SUM(K12:K30)</f>
        <v>1548512</v>
      </c>
      <c r="L11" s="67">
        <f>SUM(L12:L30)</f>
        <v>1473981.85</v>
      </c>
      <c r="M11" s="28">
        <f t="shared" si="2"/>
        <v>95.186982729226514</v>
      </c>
      <c r="N11" s="68">
        <f>SUM(N12:N30)</f>
        <v>1694610</v>
      </c>
      <c r="O11" s="67">
        <f>SUM(O12:O30)</f>
        <v>9272600</v>
      </c>
      <c r="P11" s="67">
        <f>SUM(P12:P30)</f>
        <v>9745840.4299999997</v>
      </c>
      <c r="Q11" s="67">
        <f>SUM(Q12:Q30)</f>
        <v>9745840</v>
      </c>
      <c r="R11" s="28">
        <f t="shared" si="3"/>
        <v>99.999995587861278</v>
      </c>
      <c r="S11" s="68">
        <f>SUM(S12:S30)</f>
        <v>9093927</v>
      </c>
      <c r="T11" s="67">
        <f>SUM(T12:T30)</f>
        <v>0</v>
      </c>
      <c r="U11" s="67">
        <f>SUM(U12:U30)</f>
        <v>99125</v>
      </c>
      <c r="V11" s="67">
        <f>SUM(V12:V30)</f>
        <v>129047</v>
      </c>
      <c r="W11" s="28">
        <f>V11/U11*100</f>
        <v>130.18612862547289</v>
      </c>
      <c r="X11" s="67">
        <f>SUM(X12:X30)</f>
        <v>0</v>
      </c>
    </row>
    <row r="12" spans="1:24" s="6" customFormat="1" ht="9.9499999999999993" customHeight="1" x14ac:dyDescent="0.2">
      <c r="A12" s="37" t="s">
        <v>8</v>
      </c>
      <c r="B12" s="831" t="s">
        <v>28</v>
      </c>
      <c r="C12" s="832"/>
      <c r="D12" s="58" t="s">
        <v>25</v>
      </c>
      <c r="E12" s="70">
        <f t="shared" ref="E12:I27" si="5">SUM(J12,O12)</f>
        <v>278384</v>
      </c>
      <c r="F12" s="71">
        <f t="shared" si="5"/>
        <v>384295.43</v>
      </c>
      <c r="G12" s="71">
        <f t="shared" si="5"/>
        <v>369769.77</v>
      </c>
      <c r="H12" s="10">
        <f t="shared" si="0"/>
        <v>96.220184039138857</v>
      </c>
      <c r="I12" s="72">
        <f t="shared" si="5"/>
        <v>376479</v>
      </c>
      <c r="J12" s="89">
        <v>158384</v>
      </c>
      <c r="K12" s="90">
        <v>276606</v>
      </c>
      <c r="L12" s="90">
        <v>262080.77</v>
      </c>
      <c r="M12" s="10">
        <f t="shared" si="2"/>
        <v>94.748765391929311</v>
      </c>
      <c r="N12" s="91">
        <v>241371</v>
      </c>
      <c r="O12" s="92">
        <v>120000</v>
      </c>
      <c r="P12" s="90">
        <v>107689.43</v>
      </c>
      <c r="Q12" s="90">
        <v>107689</v>
      </c>
      <c r="R12" s="10">
        <f t="shared" si="3"/>
        <v>99.999600703615954</v>
      </c>
      <c r="S12" s="93">
        <v>135108</v>
      </c>
      <c r="T12" s="92"/>
      <c r="U12" s="90">
        <v>2778</v>
      </c>
      <c r="V12" s="90">
        <v>4285</v>
      </c>
      <c r="W12" s="10">
        <f>V12/U12*100</f>
        <v>154.24766018718503</v>
      </c>
      <c r="X12" s="94"/>
    </row>
    <row r="13" spans="1:24" s="6" customFormat="1" ht="9.9499999999999993" customHeight="1" x14ac:dyDescent="0.2">
      <c r="A13" s="38" t="s">
        <v>10</v>
      </c>
      <c r="B13" s="815" t="s">
        <v>29</v>
      </c>
      <c r="C13" s="816"/>
      <c r="D13" s="56" t="s">
        <v>25</v>
      </c>
      <c r="E13" s="77">
        <f t="shared" si="5"/>
        <v>1050000</v>
      </c>
      <c r="F13" s="78">
        <f t="shared" si="5"/>
        <v>332153</v>
      </c>
      <c r="G13" s="78">
        <f t="shared" si="5"/>
        <v>302654.58</v>
      </c>
      <c r="H13" s="11">
        <f t="shared" si="0"/>
        <v>91.119026472739975</v>
      </c>
      <c r="I13" s="79">
        <f t="shared" si="5"/>
        <v>734520</v>
      </c>
      <c r="J13" s="95">
        <v>1050000</v>
      </c>
      <c r="K13" s="78">
        <v>332153</v>
      </c>
      <c r="L13" s="78">
        <v>302654.58</v>
      </c>
      <c r="M13" s="11">
        <f t="shared" si="2"/>
        <v>91.119026472739975</v>
      </c>
      <c r="N13" s="79">
        <v>734520</v>
      </c>
      <c r="O13" s="77"/>
      <c r="P13" s="78"/>
      <c r="Q13" s="78"/>
      <c r="R13" s="11" t="e">
        <f t="shared" si="3"/>
        <v>#DIV/0!</v>
      </c>
      <c r="S13" s="79"/>
      <c r="T13" s="77"/>
      <c r="U13" s="78">
        <v>96347</v>
      </c>
      <c r="V13" s="78">
        <v>124762</v>
      </c>
      <c r="W13" s="11">
        <f>V13/U13*100</f>
        <v>129.49235575575784</v>
      </c>
      <c r="X13" s="81"/>
    </row>
    <row r="14" spans="1:24" s="6" customFormat="1" ht="9.9499999999999993" customHeight="1" x14ac:dyDescent="0.2">
      <c r="A14" s="38" t="s">
        <v>11</v>
      </c>
      <c r="B14" s="46" t="s">
        <v>67</v>
      </c>
      <c r="C14" s="47"/>
      <c r="D14" s="56" t="s">
        <v>25</v>
      </c>
      <c r="E14" s="77">
        <f t="shared" si="5"/>
        <v>0</v>
      </c>
      <c r="F14" s="78">
        <f t="shared" si="5"/>
        <v>0</v>
      </c>
      <c r="G14" s="78">
        <f t="shared" si="5"/>
        <v>0</v>
      </c>
      <c r="H14" s="11">
        <v>0</v>
      </c>
      <c r="I14" s="79">
        <f t="shared" si="5"/>
        <v>0</v>
      </c>
      <c r="J14" s="95"/>
      <c r="K14" s="78"/>
      <c r="L14" s="78"/>
      <c r="M14" s="11">
        <v>0</v>
      </c>
      <c r="N14" s="79"/>
      <c r="O14" s="77"/>
      <c r="P14" s="78"/>
      <c r="Q14" s="78"/>
      <c r="R14" s="11" t="e">
        <f t="shared" si="3"/>
        <v>#DIV/0!</v>
      </c>
      <c r="S14" s="79"/>
      <c r="T14" s="77"/>
      <c r="U14" s="78"/>
      <c r="V14" s="78"/>
      <c r="W14" s="11" t="e">
        <f t="shared" ref="W14:W30" si="6">V14/U14*100</f>
        <v>#DIV/0!</v>
      </c>
      <c r="X14" s="81"/>
    </row>
    <row r="15" spans="1:24" s="6" customFormat="1" ht="9.9499999999999993" customHeight="1" x14ac:dyDescent="0.2">
      <c r="A15" s="38" t="s">
        <v>12</v>
      </c>
      <c r="B15" s="815" t="s">
        <v>68</v>
      </c>
      <c r="C15" s="816"/>
      <c r="D15" s="56" t="s">
        <v>25</v>
      </c>
      <c r="E15" s="77">
        <f t="shared" si="5"/>
        <v>270000</v>
      </c>
      <c r="F15" s="78">
        <f t="shared" si="5"/>
        <v>270421</v>
      </c>
      <c r="G15" s="78">
        <f t="shared" si="5"/>
        <v>269538</v>
      </c>
      <c r="H15" s="11">
        <f t="shared" si="0"/>
        <v>99.673472104607271</v>
      </c>
      <c r="I15" s="79">
        <f t="shared" si="5"/>
        <v>267820</v>
      </c>
      <c r="J15" s="95">
        <v>270000</v>
      </c>
      <c r="K15" s="78">
        <v>270421</v>
      </c>
      <c r="L15" s="78">
        <v>269538</v>
      </c>
      <c r="M15" s="11">
        <f t="shared" si="2"/>
        <v>99.673472104607271</v>
      </c>
      <c r="N15" s="79">
        <v>267820</v>
      </c>
      <c r="O15" s="77"/>
      <c r="P15" s="78"/>
      <c r="Q15" s="78"/>
      <c r="R15" s="11" t="e">
        <f t="shared" si="3"/>
        <v>#DIV/0!</v>
      </c>
      <c r="S15" s="79"/>
      <c r="T15" s="77"/>
      <c r="U15" s="78"/>
      <c r="V15" s="78"/>
      <c r="W15" s="11" t="e">
        <f t="shared" si="6"/>
        <v>#DIV/0!</v>
      </c>
      <c r="X15" s="81"/>
    </row>
    <row r="16" spans="1:24" s="6" customFormat="1" ht="9.9499999999999993" customHeight="1" x14ac:dyDescent="0.2">
      <c r="A16" s="38" t="s">
        <v>13</v>
      </c>
      <c r="B16" s="815" t="s">
        <v>30</v>
      </c>
      <c r="C16" s="816"/>
      <c r="D16" s="56" t="s">
        <v>25</v>
      </c>
      <c r="E16" s="77">
        <f t="shared" si="5"/>
        <v>8000</v>
      </c>
      <c r="F16" s="78">
        <f t="shared" si="5"/>
        <v>5344</v>
      </c>
      <c r="G16" s="78">
        <f t="shared" si="5"/>
        <v>4442</v>
      </c>
      <c r="H16" s="11">
        <f t="shared" si="0"/>
        <v>83.121257485029943</v>
      </c>
      <c r="I16" s="79">
        <f t="shared" si="5"/>
        <v>3203</v>
      </c>
      <c r="J16" s="95">
        <v>5000</v>
      </c>
      <c r="K16" s="78">
        <v>3180</v>
      </c>
      <c r="L16" s="78">
        <v>2278</v>
      </c>
      <c r="M16" s="279">
        <f t="shared" si="2"/>
        <v>71.635220125786162</v>
      </c>
      <c r="N16" s="79">
        <v>3203</v>
      </c>
      <c r="O16" s="77">
        <v>3000</v>
      </c>
      <c r="P16" s="78">
        <v>2164</v>
      </c>
      <c r="Q16" s="78">
        <v>2164</v>
      </c>
      <c r="R16" s="11">
        <f t="shared" si="3"/>
        <v>100</v>
      </c>
      <c r="S16" s="79"/>
      <c r="T16" s="77"/>
      <c r="U16" s="78"/>
      <c r="V16" s="78"/>
      <c r="W16" s="11" t="e">
        <f t="shared" si="6"/>
        <v>#DIV/0!</v>
      </c>
      <c r="X16" s="81"/>
    </row>
    <row r="17" spans="1:24" s="6" customFormat="1" ht="9.9499999999999993" customHeight="1" x14ac:dyDescent="0.2">
      <c r="A17" s="38" t="s">
        <v>14</v>
      </c>
      <c r="B17" s="46" t="s">
        <v>49</v>
      </c>
      <c r="C17" s="47"/>
      <c r="D17" s="56" t="s">
        <v>25</v>
      </c>
      <c r="E17" s="77">
        <f t="shared" si="5"/>
        <v>4000</v>
      </c>
      <c r="F17" s="78">
        <f t="shared" si="5"/>
        <v>4000</v>
      </c>
      <c r="G17" s="78">
        <f t="shared" si="5"/>
        <v>3998</v>
      </c>
      <c r="H17" s="11">
        <f t="shared" si="0"/>
        <v>99.95</v>
      </c>
      <c r="I17" s="79">
        <f t="shared" si="5"/>
        <v>2000</v>
      </c>
      <c r="J17" s="95">
        <v>4000</v>
      </c>
      <c r="K17" s="78">
        <v>4000</v>
      </c>
      <c r="L17" s="78">
        <v>3998</v>
      </c>
      <c r="M17" s="11">
        <f t="shared" si="2"/>
        <v>99.95</v>
      </c>
      <c r="N17" s="79">
        <v>2000</v>
      </c>
      <c r="O17" s="77"/>
      <c r="P17" s="78"/>
      <c r="Q17" s="78"/>
      <c r="R17" s="11" t="e">
        <f t="shared" si="3"/>
        <v>#DIV/0!</v>
      </c>
      <c r="S17" s="79"/>
      <c r="T17" s="77"/>
      <c r="U17" s="78"/>
      <c r="V17" s="78"/>
      <c r="W17" s="11" t="e">
        <f t="shared" si="6"/>
        <v>#DIV/0!</v>
      </c>
      <c r="X17" s="81"/>
    </row>
    <row r="18" spans="1:24" s="6" customFormat="1" ht="9.9499999999999993" customHeight="1" x14ac:dyDescent="0.2">
      <c r="A18" s="38" t="s">
        <v>15</v>
      </c>
      <c r="B18" s="815" t="s">
        <v>31</v>
      </c>
      <c r="C18" s="816"/>
      <c r="D18" s="56" t="s">
        <v>25</v>
      </c>
      <c r="E18" s="77">
        <f t="shared" si="5"/>
        <v>393600</v>
      </c>
      <c r="F18" s="78">
        <f t="shared" si="5"/>
        <v>364360</v>
      </c>
      <c r="G18" s="78">
        <f t="shared" si="5"/>
        <v>340367</v>
      </c>
      <c r="H18" s="11">
        <f t="shared" si="0"/>
        <v>93.415029092106707</v>
      </c>
      <c r="I18" s="79">
        <f t="shared" si="5"/>
        <v>290912</v>
      </c>
      <c r="J18" s="95">
        <v>283000</v>
      </c>
      <c r="K18" s="78">
        <v>250000</v>
      </c>
      <c r="L18" s="78">
        <v>226007</v>
      </c>
      <c r="M18" s="11">
        <f t="shared" si="2"/>
        <v>90.402799999999999</v>
      </c>
      <c r="N18" s="79">
        <v>255847</v>
      </c>
      <c r="O18" s="77">
        <v>110600</v>
      </c>
      <c r="P18" s="78">
        <v>114360</v>
      </c>
      <c r="Q18" s="78">
        <v>114360</v>
      </c>
      <c r="R18" s="11">
        <f t="shared" si="3"/>
        <v>100</v>
      </c>
      <c r="S18" s="79">
        <v>35065</v>
      </c>
      <c r="T18" s="77"/>
      <c r="U18" s="78"/>
      <c r="V18" s="78"/>
      <c r="W18" s="11" t="e">
        <f t="shared" si="6"/>
        <v>#DIV/0!</v>
      </c>
      <c r="X18" s="81"/>
    </row>
    <row r="19" spans="1:24" s="12" customFormat="1" ht="9.9499999999999993" customHeight="1" x14ac:dyDescent="0.2">
      <c r="A19" s="38" t="s">
        <v>16</v>
      </c>
      <c r="B19" s="815" t="s">
        <v>32</v>
      </c>
      <c r="C19" s="816"/>
      <c r="D19" s="56" t="s">
        <v>25</v>
      </c>
      <c r="E19" s="77">
        <f t="shared" si="5"/>
        <v>6758635</v>
      </c>
      <c r="F19" s="78">
        <f t="shared" si="5"/>
        <v>7119503</v>
      </c>
      <c r="G19" s="78">
        <f t="shared" si="5"/>
        <v>7116804</v>
      </c>
      <c r="H19" s="11">
        <f t="shared" si="0"/>
        <v>99.962090050386948</v>
      </c>
      <c r="I19" s="79">
        <f t="shared" si="5"/>
        <v>6676106</v>
      </c>
      <c r="J19" s="96">
        <v>81635</v>
      </c>
      <c r="K19" s="78">
        <v>81635</v>
      </c>
      <c r="L19" s="78">
        <v>78936</v>
      </c>
      <c r="M19" s="11">
        <f t="shared" si="2"/>
        <v>96.693820052673487</v>
      </c>
      <c r="N19" s="79">
        <v>79776</v>
      </c>
      <c r="O19" s="77">
        <v>6677000</v>
      </c>
      <c r="P19" s="78">
        <v>7037868</v>
      </c>
      <c r="Q19" s="78">
        <v>7037868</v>
      </c>
      <c r="R19" s="11">
        <f t="shared" si="3"/>
        <v>100</v>
      </c>
      <c r="S19" s="79">
        <v>6596330</v>
      </c>
      <c r="T19" s="119"/>
      <c r="U19" s="97"/>
      <c r="V19" s="97"/>
      <c r="W19" s="11" t="e">
        <f t="shared" si="6"/>
        <v>#DIV/0!</v>
      </c>
      <c r="X19" s="123"/>
    </row>
    <row r="20" spans="1:24" s="6" customFormat="1" ht="9.9499999999999993" customHeight="1" x14ac:dyDescent="0.2">
      <c r="A20" s="38" t="s">
        <v>17</v>
      </c>
      <c r="B20" s="815" t="s">
        <v>50</v>
      </c>
      <c r="C20" s="816"/>
      <c r="D20" s="56" t="s">
        <v>25</v>
      </c>
      <c r="E20" s="77">
        <f t="shared" si="5"/>
        <v>2307411</v>
      </c>
      <c r="F20" s="78">
        <f t="shared" si="5"/>
        <v>2425542</v>
      </c>
      <c r="G20" s="78">
        <f t="shared" si="5"/>
        <v>2425415</v>
      </c>
      <c r="H20" s="11">
        <f t="shared" si="0"/>
        <v>99.994764056858216</v>
      </c>
      <c r="I20" s="79">
        <f t="shared" si="5"/>
        <v>2268663</v>
      </c>
      <c r="J20" s="95">
        <v>12181</v>
      </c>
      <c r="K20" s="78">
        <v>12181</v>
      </c>
      <c r="L20" s="78">
        <v>12054</v>
      </c>
      <c r="M20" s="11">
        <f t="shared" si="2"/>
        <v>98.957392660701089</v>
      </c>
      <c r="N20" s="79">
        <v>11951</v>
      </c>
      <c r="O20" s="77">
        <v>2295230</v>
      </c>
      <c r="P20" s="78">
        <v>2413361</v>
      </c>
      <c r="Q20" s="78">
        <v>2413361</v>
      </c>
      <c r="R20" s="11">
        <f t="shared" si="3"/>
        <v>100</v>
      </c>
      <c r="S20" s="79">
        <v>2256712</v>
      </c>
      <c r="T20" s="77"/>
      <c r="U20" s="78"/>
      <c r="V20" s="78"/>
      <c r="W20" s="11" t="e">
        <f t="shared" si="6"/>
        <v>#DIV/0!</v>
      </c>
      <c r="X20" s="81"/>
    </row>
    <row r="21" spans="1:24" s="6" customFormat="1" ht="9.9499999999999993" customHeight="1" x14ac:dyDescent="0.2">
      <c r="A21" s="38" t="s">
        <v>18</v>
      </c>
      <c r="B21" s="815" t="s">
        <v>51</v>
      </c>
      <c r="C21" s="816"/>
      <c r="D21" s="56" t="s">
        <v>25</v>
      </c>
      <c r="E21" s="77">
        <f t="shared" si="5"/>
        <v>95070</v>
      </c>
      <c r="F21" s="78">
        <f t="shared" si="5"/>
        <v>100518</v>
      </c>
      <c r="G21" s="78">
        <f t="shared" si="5"/>
        <v>100518</v>
      </c>
      <c r="H21" s="11">
        <f t="shared" si="0"/>
        <v>100</v>
      </c>
      <c r="I21" s="79">
        <f t="shared" si="5"/>
        <v>77402</v>
      </c>
      <c r="J21" s="95">
        <v>28300</v>
      </c>
      <c r="K21" s="78">
        <v>30120</v>
      </c>
      <c r="L21" s="78">
        <v>30120</v>
      </c>
      <c r="M21" s="11">
        <f t="shared" si="2"/>
        <v>100</v>
      </c>
      <c r="N21" s="79">
        <v>6690</v>
      </c>
      <c r="O21" s="77">
        <v>66770</v>
      </c>
      <c r="P21" s="78">
        <v>70398</v>
      </c>
      <c r="Q21" s="78">
        <v>70398</v>
      </c>
      <c r="R21" s="11">
        <f t="shared" si="3"/>
        <v>100</v>
      </c>
      <c r="S21" s="79">
        <v>70712</v>
      </c>
      <c r="T21" s="77"/>
      <c r="U21" s="78"/>
      <c r="V21" s="78"/>
      <c r="W21" s="11" t="e">
        <f t="shared" si="6"/>
        <v>#DIV/0!</v>
      </c>
      <c r="X21" s="81"/>
    </row>
    <row r="22" spans="1:24" s="6" customFormat="1" ht="9.9499999999999993" customHeight="1" x14ac:dyDescent="0.2">
      <c r="A22" s="38" t="s">
        <v>19</v>
      </c>
      <c r="B22" s="815" t="s">
        <v>69</v>
      </c>
      <c r="C22" s="816"/>
      <c r="D22" s="56" t="s">
        <v>25</v>
      </c>
      <c r="E22" s="77">
        <f t="shared" si="5"/>
        <v>0</v>
      </c>
      <c r="F22" s="78">
        <f t="shared" si="5"/>
        <v>0</v>
      </c>
      <c r="G22" s="78">
        <f t="shared" si="5"/>
        <v>0</v>
      </c>
      <c r="H22" s="11" t="e">
        <f t="shared" si="0"/>
        <v>#DIV/0!</v>
      </c>
      <c r="I22" s="79">
        <f t="shared" si="5"/>
        <v>0</v>
      </c>
      <c r="J22" s="95"/>
      <c r="K22" s="78"/>
      <c r="L22" s="78"/>
      <c r="M22" s="11" t="e">
        <f t="shared" si="2"/>
        <v>#DIV/0!</v>
      </c>
      <c r="N22" s="79"/>
      <c r="O22" s="77"/>
      <c r="P22" s="78"/>
      <c r="Q22" s="78"/>
      <c r="R22" s="11" t="e">
        <f t="shared" si="3"/>
        <v>#DIV/0!</v>
      </c>
      <c r="S22" s="79"/>
      <c r="T22" s="77"/>
      <c r="U22" s="78"/>
      <c r="V22" s="78"/>
      <c r="W22" s="11" t="e">
        <f t="shared" si="6"/>
        <v>#DIV/0!</v>
      </c>
      <c r="X22" s="81"/>
    </row>
    <row r="23" spans="1:24" s="6" customFormat="1" ht="9.9499999999999993" customHeight="1" x14ac:dyDescent="0.2">
      <c r="A23" s="38" t="s">
        <v>20</v>
      </c>
      <c r="B23" s="46" t="s">
        <v>70</v>
      </c>
      <c r="C23" s="47"/>
      <c r="D23" s="56" t="s">
        <v>25</v>
      </c>
      <c r="E23" s="77">
        <f t="shared" si="5"/>
        <v>0</v>
      </c>
      <c r="F23" s="78">
        <f t="shared" si="5"/>
        <v>0</v>
      </c>
      <c r="G23" s="78">
        <f t="shared" si="5"/>
        <v>0</v>
      </c>
      <c r="H23" s="11" t="e">
        <f t="shared" si="0"/>
        <v>#DIV/0!</v>
      </c>
      <c r="I23" s="79">
        <f t="shared" si="5"/>
        <v>0</v>
      </c>
      <c r="J23" s="95"/>
      <c r="K23" s="78"/>
      <c r="L23" s="78"/>
      <c r="M23" s="11" t="e">
        <f t="shared" si="2"/>
        <v>#DIV/0!</v>
      </c>
      <c r="N23" s="79"/>
      <c r="O23" s="77"/>
      <c r="P23" s="78"/>
      <c r="Q23" s="78"/>
      <c r="R23" s="11" t="e">
        <f t="shared" si="3"/>
        <v>#DIV/0!</v>
      </c>
      <c r="S23" s="79"/>
      <c r="T23" s="77"/>
      <c r="U23" s="78"/>
      <c r="V23" s="78"/>
      <c r="W23" s="11" t="e">
        <f t="shared" si="6"/>
        <v>#DIV/0!</v>
      </c>
      <c r="X23" s="81"/>
    </row>
    <row r="24" spans="1:24" s="6" customFormat="1" ht="9.9499999999999993" customHeight="1" x14ac:dyDescent="0.2">
      <c r="A24" s="38" t="s">
        <v>21</v>
      </c>
      <c r="B24" s="46" t="s">
        <v>52</v>
      </c>
      <c r="C24" s="47"/>
      <c r="D24" s="56" t="s">
        <v>25</v>
      </c>
      <c r="E24" s="77">
        <f t="shared" si="5"/>
        <v>0</v>
      </c>
      <c r="F24" s="78">
        <f t="shared" si="5"/>
        <v>0</v>
      </c>
      <c r="G24" s="78">
        <f t="shared" si="5"/>
        <v>0</v>
      </c>
      <c r="H24" s="11" t="e">
        <f t="shared" si="0"/>
        <v>#DIV/0!</v>
      </c>
      <c r="I24" s="79">
        <f t="shared" si="5"/>
        <v>0</v>
      </c>
      <c r="J24" s="95"/>
      <c r="K24" s="78"/>
      <c r="L24" s="78"/>
      <c r="M24" s="11" t="e">
        <f t="shared" si="2"/>
        <v>#DIV/0!</v>
      </c>
      <c r="N24" s="79"/>
      <c r="O24" s="77"/>
      <c r="P24" s="78"/>
      <c r="Q24" s="78"/>
      <c r="R24" s="11" t="e">
        <f t="shared" si="3"/>
        <v>#DIV/0!</v>
      </c>
      <c r="S24" s="79"/>
      <c r="T24" s="77"/>
      <c r="U24" s="78"/>
      <c r="V24" s="78"/>
      <c r="W24" s="11" t="e">
        <f t="shared" si="6"/>
        <v>#DIV/0!</v>
      </c>
      <c r="X24" s="81"/>
    </row>
    <row r="25" spans="1:24" s="6" customFormat="1" ht="9.9499999999999993" customHeight="1" x14ac:dyDescent="0.2">
      <c r="A25" s="39" t="s">
        <v>22</v>
      </c>
      <c r="B25" s="48" t="s">
        <v>71</v>
      </c>
      <c r="C25" s="49"/>
      <c r="D25" s="56" t="s">
        <v>25</v>
      </c>
      <c r="E25" s="77">
        <f t="shared" si="5"/>
        <v>0</v>
      </c>
      <c r="F25" s="78">
        <f t="shared" si="5"/>
        <v>0</v>
      </c>
      <c r="G25" s="78">
        <f t="shared" si="5"/>
        <v>0</v>
      </c>
      <c r="H25" s="11" t="e">
        <f t="shared" si="0"/>
        <v>#DIV/0!</v>
      </c>
      <c r="I25" s="79">
        <f t="shared" si="5"/>
        <v>0</v>
      </c>
      <c r="J25" s="95"/>
      <c r="K25" s="98"/>
      <c r="L25" s="98"/>
      <c r="M25" s="11" t="e">
        <f t="shared" si="2"/>
        <v>#DIV/0!</v>
      </c>
      <c r="N25" s="99"/>
      <c r="O25" s="100"/>
      <c r="P25" s="98"/>
      <c r="Q25" s="98"/>
      <c r="R25" s="11" t="e">
        <f t="shared" si="3"/>
        <v>#DIV/0!</v>
      </c>
      <c r="S25" s="101"/>
      <c r="T25" s="100"/>
      <c r="U25" s="98"/>
      <c r="V25" s="98"/>
      <c r="W25" s="11" t="e">
        <f t="shared" si="6"/>
        <v>#DIV/0!</v>
      </c>
      <c r="X25" s="124"/>
    </row>
    <row r="26" spans="1:24" s="14" customFormat="1" ht="9.9499999999999993" customHeight="1" x14ac:dyDescent="0.2">
      <c r="A26" s="38" t="s">
        <v>23</v>
      </c>
      <c r="B26" s="815" t="s">
        <v>72</v>
      </c>
      <c r="C26" s="816"/>
      <c r="D26" s="56" t="s">
        <v>25</v>
      </c>
      <c r="E26" s="77">
        <f t="shared" si="5"/>
        <v>0</v>
      </c>
      <c r="F26" s="78">
        <f t="shared" si="5"/>
        <v>0</v>
      </c>
      <c r="G26" s="78">
        <f t="shared" si="5"/>
        <v>0</v>
      </c>
      <c r="H26" s="11" t="e">
        <f t="shared" si="0"/>
        <v>#DIV/0!</v>
      </c>
      <c r="I26" s="79">
        <f t="shared" si="5"/>
        <v>632</v>
      </c>
      <c r="J26" s="95"/>
      <c r="K26" s="103"/>
      <c r="L26" s="103"/>
      <c r="M26" s="11" t="e">
        <f t="shared" si="2"/>
        <v>#DIV/0!</v>
      </c>
      <c r="N26" s="79">
        <v>632</v>
      </c>
      <c r="O26" s="102"/>
      <c r="P26" s="103"/>
      <c r="Q26" s="103"/>
      <c r="R26" s="11" t="e">
        <f t="shared" si="3"/>
        <v>#DIV/0!</v>
      </c>
      <c r="S26" s="99"/>
      <c r="T26" s="120"/>
      <c r="U26" s="105"/>
      <c r="V26" s="105"/>
      <c r="W26" s="11" t="e">
        <f t="shared" si="6"/>
        <v>#DIV/0!</v>
      </c>
      <c r="X26" s="125"/>
    </row>
    <row r="27" spans="1:24" s="16" customFormat="1" ht="9.9499999999999993" customHeight="1" x14ac:dyDescent="0.2">
      <c r="A27" s="38" t="s">
        <v>45</v>
      </c>
      <c r="B27" s="46" t="s">
        <v>73</v>
      </c>
      <c r="C27" s="47"/>
      <c r="D27" s="56" t="s">
        <v>25</v>
      </c>
      <c r="E27" s="77">
        <f t="shared" si="5"/>
        <v>167000</v>
      </c>
      <c r="F27" s="78">
        <f t="shared" si="5"/>
        <v>286637</v>
      </c>
      <c r="G27" s="78">
        <f t="shared" si="5"/>
        <v>286012.5</v>
      </c>
      <c r="H27" s="11">
        <f t="shared" si="0"/>
        <v>99.782128615635798</v>
      </c>
      <c r="I27" s="79">
        <f t="shared" si="5"/>
        <v>90497</v>
      </c>
      <c r="J27" s="95">
        <v>167000</v>
      </c>
      <c r="K27" s="103">
        <v>286637</v>
      </c>
      <c r="L27" s="103">
        <v>286012.5</v>
      </c>
      <c r="M27" s="11">
        <f t="shared" si="2"/>
        <v>99.782128615635798</v>
      </c>
      <c r="N27" s="99">
        <v>90497</v>
      </c>
      <c r="O27" s="102"/>
      <c r="P27" s="103"/>
      <c r="Q27" s="103"/>
      <c r="R27" s="11" t="e">
        <f t="shared" si="3"/>
        <v>#DIV/0!</v>
      </c>
      <c r="S27" s="99"/>
      <c r="T27" s="120"/>
      <c r="U27" s="105"/>
      <c r="V27" s="105"/>
      <c r="W27" s="11" t="e">
        <f t="shared" si="6"/>
        <v>#DIV/0!</v>
      </c>
      <c r="X27" s="125"/>
    </row>
    <row r="28" spans="1:24" s="14" customFormat="1" ht="9.9499999999999993" customHeight="1" x14ac:dyDescent="0.2">
      <c r="A28" s="38" t="s">
        <v>53</v>
      </c>
      <c r="B28" s="815" t="s">
        <v>74</v>
      </c>
      <c r="C28" s="816"/>
      <c r="D28" s="56" t="s">
        <v>25</v>
      </c>
      <c r="E28" s="77">
        <f t="shared" ref="E28:G30" si="7">SUM(J28,O28)</f>
        <v>2000</v>
      </c>
      <c r="F28" s="78">
        <f t="shared" si="7"/>
        <v>1579</v>
      </c>
      <c r="G28" s="78">
        <f t="shared" si="7"/>
        <v>303</v>
      </c>
      <c r="H28" s="11">
        <f t="shared" si="0"/>
        <v>19.189360354654845</v>
      </c>
      <c r="I28" s="79">
        <f>SUM(N28,S28)</f>
        <v>303</v>
      </c>
      <c r="J28" s="95">
        <v>2000</v>
      </c>
      <c r="K28" s="103">
        <v>1579</v>
      </c>
      <c r="L28" s="103">
        <v>303</v>
      </c>
      <c r="M28" s="11">
        <f t="shared" si="2"/>
        <v>19.189360354654845</v>
      </c>
      <c r="N28" s="99">
        <v>303</v>
      </c>
      <c r="O28" s="102"/>
      <c r="P28" s="103"/>
      <c r="Q28" s="103"/>
      <c r="R28" s="11" t="e">
        <f t="shared" si="3"/>
        <v>#DIV/0!</v>
      </c>
      <c r="S28" s="99"/>
      <c r="T28" s="120"/>
      <c r="U28" s="105"/>
      <c r="V28" s="105"/>
      <c r="W28" s="11" t="e">
        <f t="shared" si="6"/>
        <v>#DIV/0!</v>
      </c>
      <c r="X28" s="125"/>
    </row>
    <row r="29" spans="1:24" s="6" customFormat="1" ht="9.75" x14ac:dyDescent="0.2">
      <c r="A29" s="38" t="s">
        <v>54</v>
      </c>
      <c r="B29" s="46" t="s">
        <v>55</v>
      </c>
      <c r="C29" s="47"/>
      <c r="D29" s="56" t="s">
        <v>25</v>
      </c>
      <c r="E29" s="77">
        <f t="shared" si="7"/>
        <v>0</v>
      </c>
      <c r="F29" s="78">
        <f t="shared" si="7"/>
        <v>0</v>
      </c>
      <c r="G29" s="78">
        <f t="shared" si="7"/>
        <v>0</v>
      </c>
      <c r="H29" s="11" t="e">
        <f t="shared" si="0"/>
        <v>#DIV/0!</v>
      </c>
      <c r="I29" s="79">
        <f>SUM(N29,S29)</f>
        <v>0</v>
      </c>
      <c r="J29" s="95"/>
      <c r="K29" s="103"/>
      <c r="L29" s="103"/>
      <c r="M29" s="11" t="e">
        <f t="shared" si="2"/>
        <v>#DIV/0!</v>
      </c>
      <c r="N29" s="99"/>
      <c r="O29" s="102"/>
      <c r="P29" s="103"/>
      <c r="Q29" s="103"/>
      <c r="R29" s="11" t="e">
        <f t="shared" si="3"/>
        <v>#DIV/0!</v>
      </c>
      <c r="S29" s="99"/>
      <c r="T29" s="120"/>
      <c r="U29" s="105"/>
      <c r="V29" s="105"/>
      <c r="W29" s="11" t="e">
        <f t="shared" si="6"/>
        <v>#DIV/0!</v>
      </c>
      <c r="X29" s="125"/>
    </row>
    <row r="30" spans="1:24" s="27" customFormat="1" ht="9.75" x14ac:dyDescent="0.2">
      <c r="A30" s="40" t="s">
        <v>56</v>
      </c>
      <c r="B30" s="44" t="s">
        <v>75</v>
      </c>
      <c r="C30" s="50"/>
      <c r="D30" s="59" t="s">
        <v>25</v>
      </c>
      <c r="E30" s="82">
        <f t="shared" si="7"/>
        <v>0</v>
      </c>
      <c r="F30" s="83">
        <f t="shared" si="7"/>
        <v>0</v>
      </c>
      <c r="G30" s="83">
        <f t="shared" si="7"/>
        <v>0</v>
      </c>
      <c r="H30" s="11" t="e">
        <f t="shared" si="0"/>
        <v>#DIV/0!</v>
      </c>
      <c r="I30" s="84">
        <f>SUM(N30,S30)</f>
        <v>0</v>
      </c>
      <c r="J30" s="106"/>
      <c r="K30" s="107"/>
      <c r="L30" s="107"/>
      <c r="M30" s="11" t="e">
        <f t="shared" si="2"/>
        <v>#DIV/0!</v>
      </c>
      <c r="N30" s="108"/>
      <c r="O30" s="109"/>
      <c r="P30" s="107"/>
      <c r="Q30" s="107"/>
      <c r="R30" s="31" t="e">
        <f t="shared" si="3"/>
        <v>#DIV/0!</v>
      </c>
      <c r="S30" s="108"/>
      <c r="T30" s="121"/>
      <c r="U30" s="110"/>
      <c r="V30" s="110"/>
      <c r="W30" s="31" t="e">
        <f t="shared" si="6"/>
        <v>#DIV/0!</v>
      </c>
      <c r="X30" s="126"/>
    </row>
    <row r="31" spans="1:24" s="27" customFormat="1" ht="9.75" x14ac:dyDescent="0.2">
      <c r="A31" s="33" t="s">
        <v>57</v>
      </c>
      <c r="B31" s="817" t="s">
        <v>58</v>
      </c>
      <c r="C31" s="818"/>
      <c r="D31" s="22" t="s">
        <v>25</v>
      </c>
      <c r="E31" s="67">
        <f>SUM(E6-E11)</f>
        <v>0</v>
      </c>
      <c r="F31" s="67">
        <f>SUM(F6-F11)</f>
        <v>-0.42999999970197678</v>
      </c>
      <c r="G31" s="67">
        <f>SUM(G6-G11)</f>
        <v>74974.509999999776</v>
      </c>
      <c r="H31" s="28">
        <f t="shared" si="0"/>
        <v>-17435932.570223931</v>
      </c>
      <c r="I31" s="68">
        <f>SUM(I6-I11)</f>
        <v>215031</v>
      </c>
      <c r="J31" s="67">
        <f>SUM(J6-J11)</f>
        <v>0</v>
      </c>
      <c r="K31" s="67">
        <f>SUM(K6-K11)</f>
        <v>0</v>
      </c>
      <c r="L31" s="67">
        <f>SUM(L6-L11)</f>
        <v>74974.510000000009</v>
      </c>
      <c r="M31" s="28" t="e">
        <f t="shared" si="2"/>
        <v>#DIV/0!</v>
      </c>
      <c r="N31" s="68">
        <f>SUM(N6-N11)</f>
        <v>215031</v>
      </c>
      <c r="O31" s="67">
        <f>SUM(O6-O11)</f>
        <v>0</v>
      </c>
      <c r="P31" s="67">
        <f>SUM(P6-P11)</f>
        <v>-0.42999999970197678</v>
      </c>
      <c r="Q31" s="67">
        <f>SUM(Q6-Q11)</f>
        <v>0</v>
      </c>
      <c r="R31" s="21">
        <v>0</v>
      </c>
      <c r="S31" s="68">
        <f>SUM(S6-S11)</f>
        <v>0</v>
      </c>
      <c r="T31" s="67">
        <f>SUM(T6-T11)</f>
        <v>0</v>
      </c>
      <c r="U31" s="67">
        <f>SUM(U6-U11)</f>
        <v>42875</v>
      </c>
      <c r="V31" s="67">
        <f>SUM(V6-V11)</f>
        <v>66876</v>
      </c>
      <c r="W31" s="21">
        <f>V31/U31*100</f>
        <v>155.97900874635567</v>
      </c>
      <c r="X31" s="67">
        <f>SUM(X6-X11)</f>
        <v>0</v>
      </c>
    </row>
    <row r="32" spans="1:24" s="27" customFormat="1" ht="9.75" x14ac:dyDescent="0.2">
      <c r="A32" s="41" t="s">
        <v>59</v>
      </c>
      <c r="B32" s="60" t="s">
        <v>76</v>
      </c>
      <c r="C32" s="61"/>
      <c r="D32" s="22" t="s">
        <v>25</v>
      </c>
      <c r="E32" s="280">
        <f>SUM(J32,O32)</f>
        <v>0</v>
      </c>
      <c r="F32" s="281">
        <f>SUM(K32,P32)</f>
        <v>0</v>
      </c>
      <c r="G32" s="282">
        <f>SUM(L32,Q32)</f>
        <v>0</v>
      </c>
      <c r="H32" s="9" t="e">
        <f t="shared" si="0"/>
        <v>#DIV/0!</v>
      </c>
      <c r="I32" s="286">
        <f>SUM(N32,S32)</f>
        <v>0</v>
      </c>
      <c r="J32" s="112"/>
      <c r="K32" s="283"/>
      <c r="L32" s="284"/>
      <c r="M32" s="9" t="e">
        <f t="shared" si="2"/>
        <v>#DIV/0!</v>
      </c>
      <c r="N32" s="287"/>
      <c r="O32" s="285"/>
      <c r="P32" s="283"/>
      <c r="Q32" s="284"/>
      <c r="R32" s="9" t="e">
        <f>Q32/P32*100</f>
        <v>#DIV/0!</v>
      </c>
      <c r="S32" s="287"/>
      <c r="T32" s="285"/>
      <c r="U32" s="283"/>
      <c r="V32" s="284"/>
      <c r="W32" s="9" t="e">
        <f>V32/U32*100</f>
        <v>#DIV/0!</v>
      </c>
      <c r="X32" s="288"/>
    </row>
    <row r="33" spans="1:24" s="27" customFormat="1" ht="9.75" x14ac:dyDescent="0.2">
      <c r="A33" s="33" t="s">
        <v>60</v>
      </c>
      <c r="B33" s="24" t="s">
        <v>61</v>
      </c>
      <c r="C33" s="25"/>
      <c r="D33" s="22" t="s">
        <v>25</v>
      </c>
      <c r="E33" s="67">
        <f>E31-E32</f>
        <v>0</v>
      </c>
      <c r="F33" s="67">
        <f>F31-F32</f>
        <v>-0.42999999970197678</v>
      </c>
      <c r="G33" s="67">
        <f>G31-G32</f>
        <v>74974.509999999776</v>
      </c>
      <c r="H33" s="28">
        <f t="shared" si="0"/>
        <v>-17435932.570223931</v>
      </c>
      <c r="I33" s="68">
        <f>I31-I32</f>
        <v>215031</v>
      </c>
      <c r="J33" s="67">
        <f>J31-J32</f>
        <v>0</v>
      </c>
      <c r="K33" s="67">
        <f>K31-K32</f>
        <v>0</v>
      </c>
      <c r="L33" s="67">
        <f>L31-L32</f>
        <v>74974.510000000009</v>
      </c>
      <c r="M33" s="28" t="e">
        <f t="shared" si="2"/>
        <v>#DIV/0!</v>
      </c>
      <c r="N33" s="68">
        <f>N31-N32</f>
        <v>215031</v>
      </c>
      <c r="O33" s="67">
        <f>O31-O32</f>
        <v>0</v>
      </c>
      <c r="P33" s="67">
        <f>P31-P32</f>
        <v>-0.42999999970197678</v>
      </c>
      <c r="Q33" s="67">
        <f>Q31-Q32</f>
        <v>0</v>
      </c>
      <c r="R33" s="28">
        <f>Q33/P33*100</f>
        <v>0</v>
      </c>
      <c r="S33" s="68">
        <f>S31-S32</f>
        <v>0</v>
      </c>
      <c r="T33" s="67">
        <f>T31-T32</f>
        <v>0</v>
      </c>
      <c r="U33" s="67">
        <f>U31-U32</f>
        <v>42875</v>
      </c>
      <c r="V33" s="67">
        <f>V31-V32</f>
        <v>66876</v>
      </c>
      <c r="W33" s="21">
        <v>155.97999999999999</v>
      </c>
      <c r="X33" s="67">
        <f>X31-X32</f>
        <v>0</v>
      </c>
    </row>
    <row r="34" spans="1:24" s="4" customFormat="1" ht="9" x14ac:dyDescent="0.2">
      <c r="A34" s="42" t="s">
        <v>62</v>
      </c>
      <c r="B34" s="813" t="s">
        <v>24</v>
      </c>
      <c r="C34" s="814"/>
      <c r="D34" s="62" t="s">
        <v>25</v>
      </c>
      <c r="E34" s="252">
        <v>22573</v>
      </c>
      <c r="F34" s="253">
        <v>22578</v>
      </c>
      <c r="G34" s="253">
        <v>24683</v>
      </c>
      <c r="H34" s="13">
        <f t="shared" si="0"/>
        <v>109.32323500752945</v>
      </c>
      <c r="I34" s="254">
        <v>23770</v>
      </c>
      <c r="J34" s="804"/>
      <c r="K34" s="805"/>
      <c r="L34" s="805"/>
      <c r="M34" s="805"/>
      <c r="N34" s="805"/>
      <c r="O34" s="805"/>
      <c r="P34" s="805"/>
      <c r="Q34" s="805"/>
      <c r="R34" s="805"/>
      <c r="S34" s="805"/>
      <c r="T34" s="805"/>
      <c r="U34" s="805"/>
      <c r="V34" s="805"/>
      <c r="W34" s="805"/>
      <c r="X34" s="806"/>
    </row>
    <row r="35" spans="1:24" s="4" customFormat="1" ht="9" x14ac:dyDescent="0.2">
      <c r="A35" s="32" t="s">
        <v>63</v>
      </c>
      <c r="B35" s="797" t="s">
        <v>33</v>
      </c>
      <c r="C35" s="798"/>
      <c r="D35" s="63" t="s">
        <v>26</v>
      </c>
      <c r="E35" s="255">
        <v>24.65</v>
      </c>
      <c r="F35" s="256">
        <v>25.68</v>
      </c>
      <c r="G35" s="256">
        <v>23.702000000000002</v>
      </c>
      <c r="H35" s="15">
        <f t="shared" si="0"/>
        <v>92.297507788162008</v>
      </c>
      <c r="I35" s="257">
        <v>23</v>
      </c>
      <c r="J35" s="804"/>
      <c r="K35" s="805"/>
      <c r="L35" s="805"/>
      <c r="M35" s="805"/>
      <c r="N35" s="805"/>
      <c r="O35" s="805"/>
      <c r="P35" s="805"/>
      <c r="Q35" s="805"/>
      <c r="R35" s="805"/>
      <c r="S35" s="805"/>
      <c r="T35" s="805"/>
      <c r="U35" s="805"/>
      <c r="V35" s="805"/>
      <c r="W35" s="805"/>
      <c r="X35" s="806"/>
    </row>
    <row r="36" spans="1:24" s="4" customFormat="1" ht="9" x14ac:dyDescent="0.2">
      <c r="A36" s="43" t="s">
        <v>64</v>
      </c>
      <c r="B36" s="799" t="s">
        <v>27</v>
      </c>
      <c r="C36" s="800"/>
      <c r="D36" s="64" t="s">
        <v>26</v>
      </c>
      <c r="E36" s="258">
        <v>28</v>
      </c>
      <c r="F36" s="259">
        <v>29</v>
      </c>
      <c r="G36" s="259">
        <v>29</v>
      </c>
      <c r="H36" s="17">
        <f t="shared" si="0"/>
        <v>100</v>
      </c>
      <c r="I36" s="260">
        <v>28</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117"/>
      <c r="K37" s="118"/>
      <c r="L37" s="118"/>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6"/>
  <sheetViews>
    <sheetView tabSelected="1" zoomScaleNormal="100" workbookViewId="0"/>
  </sheetViews>
  <sheetFormatPr defaultRowHeight="12.75" x14ac:dyDescent="0.2"/>
  <cols>
    <col min="1" max="1" width="58" style="128" customWidth="1"/>
    <col min="2" max="2" width="33.5" style="128" customWidth="1"/>
    <col min="3" max="5" width="25.75" style="128" customWidth="1"/>
    <col min="6" max="6" width="23" style="128" customWidth="1"/>
    <col min="7" max="8" width="10" style="128"/>
    <col min="9" max="9" width="27" style="128" customWidth="1"/>
  </cols>
  <sheetData>
    <row r="1" spans="1:9" ht="18.75" x14ac:dyDescent="0.3">
      <c r="A1" s="1175" t="s">
        <v>100</v>
      </c>
      <c r="B1" s="1175"/>
      <c r="C1" s="1175"/>
      <c r="D1" s="1175"/>
      <c r="E1" s="1175"/>
      <c r="F1" s="1175"/>
      <c r="G1" s="1175"/>
      <c r="H1" s="1175"/>
      <c r="I1" s="1175"/>
    </row>
    <row r="3" spans="1:9" s="217" customFormat="1" ht="10.5" x14ac:dyDescent="0.15">
      <c r="A3" s="852" t="s">
        <v>133</v>
      </c>
      <c r="B3" s="852"/>
      <c r="C3" s="852"/>
      <c r="D3" s="852"/>
      <c r="E3" s="852"/>
      <c r="F3" s="852"/>
      <c r="G3" s="852"/>
      <c r="H3" s="852"/>
      <c r="I3" s="852"/>
    </row>
    <row r="4" spans="1:9" s="218" customFormat="1" ht="11.25" x14ac:dyDescent="0.2"/>
    <row r="5" spans="1:9" s="219" customFormat="1" ht="9.75" x14ac:dyDescent="0.2">
      <c r="A5" s="870" t="s">
        <v>77</v>
      </c>
      <c r="B5" s="871"/>
      <c r="C5" s="551" t="s">
        <v>25</v>
      </c>
      <c r="D5" s="847" t="s">
        <v>281</v>
      </c>
      <c r="E5" s="847"/>
      <c r="F5" s="847"/>
      <c r="G5" s="847"/>
      <c r="H5" s="847"/>
      <c r="I5" s="847"/>
    </row>
    <row r="6" spans="1:9" s="218" customFormat="1" ht="15" customHeight="1" x14ac:dyDescent="0.2">
      <c r="A6" s="872" t="s">
        <v>134</v>
      </c>
      <c r="B6" s="872"/>
      <c r="C6" s="226">
        <f>SUM(C7:C9)</f>
        <v>263938.12</v>
      </c>
      <c r="D6" s="876"/>
      <c r="E6" s="877"/>
      <c r="F6" s="877"/>
      <c r="G6" s="877"/>
      <c r="H6" s="877"/>
      <c r="I6" s="877"/>
    </row>
    <row r="7" spans="1:9" s="218" customFormat="1" ht="405.75" customHeight="1" x14ac:dyDescent="0.2">
      <c r="A7" s="873" t="s">
        <v>78</v>
      </c>
      <c r="B7" s="874"/>
      <c r="C7" s="245">
        <v>47245.120000000003</v>
      </c>
      <c r="D7" s="747" t="s">
        <v>582</v>
      </c>
      <c r="E7" s="795"/>
      <c r="F7" s="795"/>
      <c r="G7" s="795"/>
      <c r="H7" s="795"/>
      <c r="I7" s="796"/>
    </row>
    <row r="8" spans="1:9" s="217" customFormat="1" ht="271.5" customHeight="1" x14ac:dyDescent="0.15">
      <c r="A8" s="863" t="s">
        <v>113</v>
      </c>
      <c r="B8" s="864"/>
      <c r="C8" s="261">
        <v>216693</v>
      </c>
      <c r="D8" s="747" t="s">
        <v>521</v>
      </c>
      <c r="E8" s="795"/>
      <c r="F8" s="795"/>
      <c r="G8" s="795"/>
      <c r="H8" s="795"/>
      <c r="I8" s="796"/>
    </row>
    <row r="9" spans="1:9" s="217" customFormat="1" ht="15" customHeight="1" x14ac:dyDescent="0.15">
      <c r="A9" s="863" t="s">
        <v>114</v>
      </c>
      <c r="B9" s="864"/>
      <c r="C9" s="261">
        <v>0</v>
      </c>
      <c r="D9" s="921"/>
      <c r="E9" s="922"/>
      <c r="F9" s="922"/>
      <c r="G9" s="922"/>
      <c r="H9" s="922"/>
      <c r="I9" s="923"/>
    </row>
    <row r="10" spans="1:9" s="218" customFormat="1" ht="11.25" x14ac:dyDescent="0.2">
      <c r="C10" s="220"/>
    </row>
    <row r="11" spans="1:9" s="218" customFormat="1" ht="11.25" x14ac:dyDescent="0.2">
      <c r="A11" s="852" t="s">
        <v>135</v>
      </c>
      <c r="B11" s="852"/>
      <c r="C11" s="852"/>
      <c r="D11" s="852"/>
      <c r="E11" s="852"/>
      <c r="F11" s="852"/>
      <c r="G11" s="852"/>
      <c r="H11" s="852"/>
      <c r="I11" s="852"/>
    </row>
    <row r="12" spans="1:9" s="218" customFormat="1" ht="11.25" x14ac:dyDescent="0.2">
      <c r="C12" s="220"/>
      <c r="D12" s="231"/>
      <c r="E12" s="231"/>
      <c r="F12" s="231"/>
      <c r="G12" s="231"/>
      <c r="H12" s="231"/>
      <c r="I12" s="231"/>
    </row>
    <row r="13" spans="1:9" s="221" customFormat="1" ht="9.75" x14ac:dyDescent="0.2">
      <c r="A13" s="551" t="s">
        <v>77</v>
      </c>
      <c r="B13" s="551" t="s">
        <v>79</v>
      </c>
      <c r="C13" s="551" t="s">
        <v>25</v>
      </c>
      <c r="D13" s="470"/>
      <c r="E13" s="436"/>
      <c r="F13" s="436"/>
      <c r="G13" s="436"/>
      <c r="H13" s="436"/>
      <c r="I13" s="436"/>
    </row>
    <row r="14" spans="1:9" s="218" customFormat="1" ht="11.25" customHeight="1" x14ac:dyDescent="0.2">
      <c r="A14" s="222" t="s">
        <v>136</v>
      </c>
      <c r="B14" s="437"/>
      <c r="C14" s="223">
        <v>47245.120000000003</v>
      </c>
      <c r="D14" s="1180"/>
      <c r="E14" s="1181"/>
      <c r="F14" s="1181"/>
      <c r="G14" s="1181"/>
      <c r="H14" s="1181"/>
      <c r="I14" s="1181"/>
    </row>
    <row r="15" spans="1:9" s="218" customFormat="1" ht="11.25" customHeight="1" x14ac:dyDescent="0.2">
      <c r="A15" s="868" t="s">
        <v>137</v>
      </c>
      <c r="B15" s="263" t="s">
        <v>80</v>
      </c>
      <c r="C15" s="264">
        <v>166693</v>
      </c>
      <c r="D15" s="1180"/>
      <c r="E15" s="1181"/>
      <c r="F15" s="1181"/>
      <c r="G15" s="1181"/>
      <c r="H15" s="1181"/>
      <c r="I15" s="1181"/>
    </row>
    <row r="16" spans="1:9" s="218" customFormat="1" ht="11.25" customHeight="1" x14ac:dyDescent="0.2">
      <c r="A16" s="869"/>
      <c r="B16" s="262" t="s">
        <v>81</v>
      </c>
      <c r="C16" s="473">
        <v>50000</v>
      </c>
      <c r="D16" s="1180"/>
      <c r="E16" s="1182"/>
      <c r="F16" s="1182"/>
      <c r="G16" s="1182"/>
      <c r="H16" s="1182"/>
      <c r="I16" s="1182"/>
    </row>
    <row r="17" spans="1:9" s="218" customFormat="1" ht="11.25" customHeight="1" x14ac:dyDescent="0.2">
      <c r="A17" s="552" t="s">
        <v>134</v>
      </c>
      <c r="B17" s="445"/>
      <c r="C17" s="226">
        <f>SUM(C14:C16)</f>
        <v>263938.12</v>
      </c>
      <c r="D17" s="447"/>
      <c r="E17" s="447"/>
      <c r="F17" s="447"/>
      <c r="G17" s="447"/>
      <c r="H17" s="447"/>
      <c r="I17" s="447"/>
    </row>
    <row r="18" spans="1:9" s="449" customFormat="1" ht="11.25" x14ac:dyDescent="0.2">
      <c r="A18" s="448"/>
      <c r="C18" s="476"/>
      <c r="D18" s="452"/>
      <c r="E18" s="452"/>
      <c r="F18" s="452"/>
      <c r="G18" s="452"/>
      <c r="H18" s="452"/>
      <c r="I18" s="452"/>
    </row>
    <row r="19" spans="1:9" s="218" customFormat="1" ht="11.25" x14ac:dyDescent="0.2">
      <c r="A19" s="852" t="s">
        <v>138</v>
      </c>
      <c r="B19" s="852"/>
      <c r="C19" s="852"/>
      <c r="D19" s="852"/>
      <c r="E19" s="852"/>
      <c r="F19" s="852"/>
      <c r="G19" s="852"/>
      <c r="H19" s="852"/>
      <c r="I19" s="852"/>
    </row>
    <row r="20" spans="1:9" s="218" customFormat="1" ht="11.25" x14ac:dyDescent="0.2">
      <c r="C20" s="220"/>
    </row>
    <row r="21" spans="1:9" s="224" customFormat="1" ht="9.75" x14ac:dyDescent="0.2">
      <c r="A21" s="551" t="s">
        <v>79</v>
      </c>
      <c r="B21" s="551" t="s">
        <v>139</v>
      </c>
      <c r="C21" s="550" t="s">
        <v>140</v>
      </c>
      <c r="D21" s="551" t="s">
        <v>141</v>
      </c>
      <c r="E21" s="551" t="s">
        <v>142</v>
      </c>
      <c r="F21" s="847" t="s">
        <v>115</v>
      </c>
      <c r="G21" s="847"/>
      <c r="H21" s="847"/>
      <c r="I21" s="847"/>
    </row>
    <row r="22" spans="1:9" s="218" customFormat="1" ht="157.5" customHeight="1" x14ac:dyDescent="0.2">
      <c r="A22" s="265" t="s">
        <v>116</v>
      </c>
      <c r="B22" s="627">
        <v>405677.7</v>
      </c>
      <c r="C22" s="628">
        <v>294417.03000000003</v>
      </c>
      <c r="D22" s="629">
        <v>400345.5</v>
      </c>
      <c r="E22" s="627">
        <f>B22+C22-D22</f>
        <v>299749.23</v>
      </c>
      <c r="F22" s="1177" t="s">
        <v>821</v>
      </c>
      <c r="G22" s="1178"/>
      <c r="H22" s="1178"/>
      <c r="I22" s="1179"/>
    </row>
    <row r="23" spans="1:9" s="218" customFormat="1" ht="54" customHeight="1" x14ac:dyDescent="0.2">
      <c r="A23" s="263" t="s">
        <v>143</v>
      </c>
      <c r="B23" s="630">
        <v>130205.21</v>
      </c>
      <c r="C23" s="631">
        <v>356122</v>
      </c>
      <c r="D23" s="629">
        <v>120587</v>
      </c>
      <c r="E23" s="630">
        <f>B23+C23-D23</f>
        <v>365740.21</v>
      </c>
      <c r="F23" s="788" t="s">
        <v>522</v>
      </c>
      <c r="G23" s="757"/>
      <c r="H23" s="757"/>
      <c r="I23" s="758"/>
    </row>
    <row r="24" spans="1:9" s="218" customFormat="1" ht="23.25" customHeight="1" x14ac:dyDescent="0.2">
      <c r="A24" s="263" t="s">
        <v>81</v>
      </c>
      <c r="B24" s="630">
        <v>62624</v>
      </c>
      <c r="C24" s="631">
        <v>50000</v>
      </c>
      <c r="D24" s="629">
        <v>20000</v>
      </c>
      <c r="E24" s="630">
        <f t="shared" ref="E24:E25" si="0">B24+C24-D24</f>
        <v>92624</v>
      </c>
      <c r="F24" s="788" t="s">
        <v>123</v>
      </c>
      <c r="G24" s="757"/>
      <c r="H24" s="757"/>
      <c r="I24" s="758"/>
    </row>
    <row r="25" spans="1:9" s="218" customFormat="1" ht="53.25" customHeight="1" x14ac:dyDescent="0.2">
      <c r="A25" s="262" t="s">
        <v>82</v>
      </c>
      <c r="B25" s="629">
        <v>197217.68</v>
      </c>
      <c r="C25" s="632">
        <v>237714.4</v>
      </c>
      <c r="D25" s="629">
        <v>211239</v>
      </c>
      <c r="E25" s="630">
        <f t="shared" si="0"/>
        <v>223693.07999999996</v>
      </c>
      <c r="F25" s="1176" t="s">
        <v>124</v>
      </c>
      <c r="G25" s="760"/>
      <c r="H25" s="760"/>
      <c r="I25" s="761"/>
    </row>
    <row r="26" spans="1:9" s="217" customFormat="1" ht="15.75" customHeight="1" x14ac:dyDescent="0.15">
      <c r="A26" s="225" t="s">
        <v>34</v>
      </c>
      <c r="B26" s="226">
        <f>SUM(B22:B25)</f>
        <v>795724.59000000008</v>
      </c>
      <c r="C26" s="226">
        <f t="shared" ref="C26:E26" si="1">SUM(C22:C25)</f>
        <v>938253.43</v>
      </c>
      <c r="D26" s="226">
        <f t="shared" si="1"/>
        <v>752171.5</v>
      </c>
      <c r="E26" s="226">
        <f t="shared" si="1"/>
        <v>981806.5199999999</v>
      </c>
      <c r="F26" s="850"/>
      <c r="G26" s="850"/>
      <c r="H26" s="850"/>
      <c r="I26" s="851"/>
    </row>
    <row r="27" spans="1:9" s="218" customFormat="1" ht="11.25" x14ac:dyDescent="0.2">
      <c r="C27" s="220"/>
    </row>
    <row r="28" spans="1:9" s="218" customFormat="1" ht="11.25" x14ac:dyDescent="0.2">
      <c r="A28" s="852" t="s">
        <v>144</v>
      </c>
      <c r="B28" s="852"/>
      <c r="C28" s="852"/>
      <c r="D28" s="852"/>
      <c r="E28" s="852"/>
      <c r="F28" s="852"/>
      <c r="G28" s="852"/>
      <c r="H28" s="852"/>
      <c r="I28" s="852"/>
    </row>
    <row r="29" spans="1:9" s="449" customFormat="1" ht="11.25" x14ac:dyDescent="0.2">
      <c r="A29" s="633"/>
      <c r="B29" s="633"/>
      <c r="C29" s="633"/>
      <c r="D29" s="633"/>
      <c r="E29" s="633"/>
      <c r="F29" s="633"/>
      <c r="G29" s="633"/>
      <c r="H29" s="633"/>
      <c r="I29" s="633"/>
    </row>
    <row r="30" spans="1:9" s="218" customFormat="1" ht="11.25" x14ac:dyDescent="0.2">
      <c r="A30" s="852" t="s">
        <v>144</v>
      </c>
      <c r="B30" s="852"/>
      <c r="C30" s="852"/>
      <c r="D30" s="852"/>
      <c r="E30" s="852"/>
      <c r="F30" s="852"/>
      <c r="G30" s="852"/>
      <c r="H30" s="852"/>
      <c r="I30" s="852"/>
    </row>
    <row r="31" spans="1:9" s="218" customFormat="1" ht="11.25" x14ac:dyDescent="0.2">
      <c r="C31" s="220"/>
    </row>
    <row r="32" spans="1:9" s="218" customFormat="1" ht="11.25" x14ac:dyDescent="0.2">
      <c r="A32" s="551" t="s">
        <v>83</v>
      </c>
      <c r="B32" s="551" t="s">
        <v>25</v>
      </c>
      <c r="C32" s="550" t="s">
        <v>84</v>
      </c>
      <c r="D32" s="847" t="s">
        <v>117</v>
      </c>
      <c r="E32" s="847"/>
      <c r="F32" s="847"/>
      <c r="G32" s="847"/>
      <c r="H32" s="847"/>
      <c r="I32" s="847"/>
    </row>
    <row r="33" spans="1:9" s="218" customFormat="1" ht="15" customHeight="1" x14ac:dyDescent="0.2">
      <c r="A33" s="239"/>
      <c r="B33" s="266">
        <v>0</v>
      </c>
      <c r="C33" s="227"/>
      <c r="D33" s="1133"/>
      <c r="E33" s="1134"/>
      <c r="F33" s="1134"/>
      <c r="G33" s="1134"/>
      <c r="H33" s="1134"/>
      <c r="I33" s="1135"/>
    </row>
    <row r="34" spans="1:9" s="217" customFormat="1" ht="11.25" x14ac:dyDescent="0.2">
      <c r="A34" s="225" t="s">
        <v>34</v>
      </c>
      <c r="B34" s="226">
        <f>SUM(B33:B33)</f>
        <v>0</v>
      </c>
      <c r="C34" s="879"/>
      <c r="D34" s="879"/>
      <c r="E34" s="879"/>
      <c r="F34" s="879"/>
      <c r="G34" s="879"/>
      <c r="H34" s="879"/>
      <c r="I34" s="880"/>
    </row>
    <row r="35" spans="1:9" s="218" customFormat="1" ht="11.25" x14ac:dyDescent="0.2">
      <c r="C35" s="220"/>
    </row>
    <row r="36" spans="1:9" s="218" customFormat="1" ht="11.25" x14ac:dyDescent="0.2">
      <c r="A36" s="852" t="s">
        <v>145</v>
      </c>
      <c r="B36" s="852"/>
      <c r="C36" s="852"/>
      <c r="D36" s="852"/>
      <c r="E36" s="852"/>
      <c r="F36" s="852"/>
      <c r="G36" s="852"/>
      <c r="H36" s="852"/>
      <c r="I36" s="852"/>
    </row>
    <row r="37" spans="1:9" s="218" customFormat="1" ht="11.25" x14ac:dyDescent="0.2">
      <c r="C37" s="220"/>
    </row>
    <row r="38" spans="1:9" s="218" customFormat="1" ht="11.25" x14ac:dyDescent="0.2">
      <c r="A38" s="551" t="s">
        <v>83</v>
      </c>
      <c r="B38" s="551" t="s">
        <v>25</v>
      </c>
      <c r="C38" s="550" t="s">
        <v>84</v>
      </c>
      <c r="D38" s="847" t="s">
        <v>117</v>
      </c>
      <c r="E38" s="847"/>
      <c r="F38" s="847"/>
      <c r="G38" s="847"/>
      <c r="H38" s="847"/>
      <c r="I38" s="881"/>
    </row>
    <row r="39" spans="1:9" s="218" customFormat="1" ht="15" customHeight="1" x14ac:dyDescent="0.2">
      <c r="A39" s="239"/>
      <c r="B39" s="266">
        <v>0</v>
      </c>
      <c r="C39" s="227"/>
      <c r="D39" s="1133"/>
      <c r="E39" s="1134"/>
      <c r="F39" s="1134"/>
      <c r="G39" s="1134"/>
      <c r="H39" s="1134"/>
      <c r="I39" s="1135"/>
    </row>
    <row r="40" spans="1:9" s="217" customFormat="1" ht="10.5" x14ac:dyDescent="0.15">
      <c r="A40" s="225" t="s">
        <v>34</v>
      </c>
      <c r="B40" s="226">
        <f>SUM(B39:B39)</f>
        <v>0</v>
      </c>
      <c r="C40" s="882"/>
      <c r="D40" s="882"/>
      <c r="E40" s="882"/>
      <c r="F40" s="882"/>
      <c r="G40" s="882"/>
      <c r="H40" s="882"/>
      <c r="I40" s="882"/>
    </row>
    <row r="41" spans="1:9" s="217" customFormat="1" ht="10.5" hidden="1" x14ac:dyDescent="0.15">
      <c r="A41" s="225" t="s">
        <v>34</v>
      </c>
      <c r="B41" s="226">
        <f>SUM(B39:B40)</f>
        <v>0</v>
      </c>
      <c r="C41" s="882"/>
      <c r="D41" s="882"/>
      <c r="E41" s="882"/>
      <c r="F41" s="882"/>
      <c r="G41" s="882"/>
      <c r="H41" s="882"/>
      <c r="I41" s="882"/>
    </row>
    <row r="42" spans="1:9" s="218" customFormat="1" ht="11.25" x14ac:dyDescent="0.2">
      <c r="C42" s="220"/>
    </row>
    <row r="43" spans="1:9" s="218" customFormat="1" ht="11.25" x14ac:dyDescent="0.2">
      <c r="A43" s="852" t="s">
        <v>146</v>
      </c>
      <c r="B43" s="852"/>
      <c r="C43" s="852"/>
      <c r="D43" s="852"/>
      <c r="E43" s="852"/>
      <c r="F43" s="852"/>
      <c r="G43" s="852"/>
      <c r="H43" s="852"/>
      <c r="I43" s="852"/>
    </row>
    <row r="44" spans="1:9" s="218" customFormat="1" ht="11.25" x14ac:dyDescent="0.2">
      <c r="C44" s="220"/>
    </row>
    <row r="45" spans="1:9" s="218" customFormat="1" ht="11.25" x14ac:dyDescent="0.2">
      <c r="A45" s="551" t="s">
        <v>25</v>
      </c>
      <c r="B45" s="550" t="s">
        <v>147</v>
      </c>
      <c r="C45" s="861" t="s">
        <v>85</v>
      </c>
      <c r="D45" s="861"/>
      <c r="E45" s="861"/>
      <c r="F45" s="861"/>
      <c r="G45" s="861"/>
      <c r="H45" s="861"/>
      <c r="I45" s="862"/>
    </row>
    <row r="46" spans="1:9" s="634" customFormat="1" ht="11.25" customHeight="1" x14ac:dyDescent="0.2">
      <c r="A46" s="266">
        <v>4720</v>
      </c>
      <c r="B46" s="266">
        <v>4720</v>
      </c>
      <c r="C46" s="954" t="s">
        <v>583</v>
      </c>
      <c r="D46" s="954"/>
      <c r="E46" s="954"/>
      <c r="F46" s="954"/>
      <c r="G46" s="954"/>
      <c r="H46" s="954"/>
      <c r="I46" s="954"/>
    </row>
    <row r="47" spans="1:9" s="620" customFormat="1" ht="11.25" customHeight="1" x14ac:dyDescent="0.2">
      <c r="A47" s="267">
        <v>4000</v>
      </c>
      <c r="B47" s="267">
        <v>0</v>
      </c>
      <c r="C47" s="1173" t="s">
        <v>584</v>
      </c>
      <c r="D47" s="1173"/>
      <c r="E47" s="1173"/>
      <c r="F47" s="1173"/>
      <c r="G47" s="1173"/>
      <c r="H47" s="1173"/>
      <c r="I47" s="1173"/>
    </row>
    <row r="48" spans="1:9" s="620" customFormat="1" ht="11.25" customHeight="1" x14ac:dyDescent="0.2">
      <c r="A48" s="267">
        <v>22000</v>
      </c>
      <c r="B48" s="267">
        <v>13230</v>
      </c>
      <c r="C48" s="1173" t="s">
        <v>586</v>
      </c>
      <c r="D48" s="1173"/>
      <c r="E48" s="1173"/>
      <c r="F48" s="1173"/>
      <c r="G48" s="1173"/>
      <c r="H48" s="1173"/>
      <c r="I48" s="1173"/>
    </row>
    <row r="49" spans="1:9" s="620" customFormat="1" ht="22.5" customHeight="1" x14ac:dyDescent="0.2">
      <c r="A49" s="267">
        <v>33840</v>
      </c>
      <c r="B49" s="267">
        <v>0</v>
      </c>
      <c r="C49" s="1173" t="s">
        <v>587</v>
      </c>
      <c r="D49" s="1173"/>
      <c r="E49" s="1173"/>
      <c r="F49" s="1173"/>
      <c r="G49" s="1173"/>
      <c r="H49" s="1173"/>
      <c r="I49" s="1173"/>
    </row>
    <row r="50" spans="1:9" s="251" customFormat="1" ht="11.25" customHeight="1" x14ac:dyDescent="0.2">
      <c r="A50" s="267">
        <v>67664</v>
      </c>
      <c r="B50" s="267">
        <v>67664</v>
      </c>
      <c r="C50" s="1173" t="s">
        <v>585</v>
      </c>
      <c r="D50" s="1173"/>
      <c r="E50" s="1173"/>
      <c r="F50" s="1173"/>
      <c r="G50" s="1173"/>
      <c r="H50" s="1173"/>
      <c r="I50" s="1173"/>
    </row>
    <row r="51" spans="1:9" s="635" customFormat="1" ht="11.25" customHeight="1" x14ac:dyDescent="0.15">
      <c r="A51" s="261">
        <f>SUM(A46:A50)</f>
        <v>132224</v>
      </c>
      <c r="B51" s="261">
        <f>SUM(B46:B50)</f>
        <v>85614</v>
      </c>
      <c r="C51" s="1174" t="s">
        <v>34</v>
      </c>
      <c r="D51" s="1174"/>
      <c r="E51" s="1174"/>
      <c r="F51" s="1174"/>
      <c r="G51" s="1174"/>
      <c r="H51" s="1174"/>
      <c r="I51" s="1174"/>
    </row>
    <row r="52" spans="1:9" s="218" customFormat="1" ht="11.25" x14ac:dyDescent="0.2">
      <c r="C52" s="220"/>
    </row>
    <row r="53" spans="1:9" s="218" customFormat="1" ht="11.25" x14ac:dyDescent="0.2">
      <c r="A53" s="852" t="s">
        <v>148</v>
      </c>
      <c r="B53" s="852"/>
      <c r="C53" s="852"/>
      <c r="D53" s="852"/>
      <c r="E53" s="852"/>
      <c r="F53" s="852"/>
      <c r="G53" s="852"/>
      <c r="H53" s="852"/>
      <c r="I53" s="852"/>
    </row>
    <row r="54" spans="1:9" s="218" customFormat="1" ht="11.25" x14ac:dyDescent="0.2">
      <c r="C54" s="220"/>
    </row>
    <row r="55" spans="1:9" s="229" customFormat="1" ht="11.25" x14ac:dyDescent="0.2">
      <c r="A55" s="1141" t="s">
        <v>86</v>
      </c>
      <c r="B55" s="1141"/>
      <c r="C55" s="1142"/>
      <c r="D55" s="550" t="s">
        <v>87</v>
      </c>
      <c r="E55" s="551" t="s">
        <v>88</v>
      </c>
      <c r="F55" s="551" t="s">
        <v>25</v>
      </c>
    </row>
    <row r="56" spans="1:9" s="623" customFormat="1" ht="23.25" customHeight="1" x14ac:dyDescent="0.2">
      <c r="A56" s="1164" t="s">
        <v>523</v>
      </c>
      <c r="B56" s="1165"/>
      <c r="C56" s="945"/>
      <c r="D56" s="246">
        <v>41717</v>
      </c>
      <c r="E56" s="246">
        <v>41717</v>
      </c>
      <c r="F56" s="636">
        <v>-19000</v>
      </c>
    </row>
    <row r="57" spans="1:9" s="623" customFormat="1" ht="24" customHeight="1" x14ac:dyDescent="0.2">
      <c r="A57" s="1164" t="s">
        <v>524</v>
      </c>
      <c r="B57" s="1165"/>
      <c r="C57" s="945"/>
      <c r="D57" s="246" t="s">
        <v>525</v>
      </c>
      <c r="E57" s="246">
        <v>41717</v>
      </c>
      <c r="F57" s="636">
        <v>19000</v>
      </c>
    </row>
    <row r="58" spans="1:9" s="624" customFormat="1" ht="24" customHeight="1" x14ac:dyDescent="0.2">
      <c r="A58" s="1166" t="s">
        <v>526</v>
      </c>
      <c r="B58" s="1167"/>
      <c r="C58" s="1168"/>
      <c r="D58" s="241">
        <v>41758</v>
      </c>
      <c r="E58" s="241">
        <v>41760</v>
      </c>
      <c r="F58" s="637">
        <v>-190000</v>
      </c>
    </row>
    <row r="59" spans="1:9" s="624" customFormat="1" ht="28.15" customHeight="1" x14ac:dyDescent="0.2">
      <c r="A59" s="1166" t="s">
        <v>527</v>
      </c>
      <c r="B59" s="1167"/>
      <c r="C59" s="1168"/>
      <c r="D59" s="241">
        <v>41758</v>
      </c>
      <c r="E59" s="241">
        <v>41760</v>
      </c>
      <c r="F59" s="637">
        <v>-190000</v>
      </c>
    </row>
    <row r="60" spans="1:9" s="624" customFormat="1" ht="23.25" customHeight="1" x14ac:dyDescent="0.2">
      <c r="A60" s="1166" t="s">
        <v>528</v>
      </c>
      <c r="B60" s="1167"/>
      <c r="C60" s="1168"/>
      <c r="D60" s="241">
        <v>41778</v>
      </c>
      <c r="E60" s="241">
        <v>41779</v>
      </c>
      <c r="F60" s="637">
        <v>-490000</v>
      </c>
    </row>
    <row r="61" spans="1:9" s="624" customFormat="1" ht="21.75" customHeight="1" x14ac:dyDescent="0.2">
      <c r="A61" s="1166" t="s">
        <v>529</v>
      </c>
      <c r="B61" s="1167"/>
      <c r="C61" s="1168"/>
      <c r="D61" s="241">
        <v>41778</v>
      </c>
      <c r="E61" s="241">
        <v>41779</v>
      </c>
      <c r="F61" s="637">
        <v>490000</v>
      </c>
    </row>
    <row r="62" spans="1:9" s="624" customFormat="1" ht="23.25" customHeight="1" x14ac:dyDescent="0.2">
      <c r="A62" s="1166" t="s">
        <v>530</v>
      </c>
      <c r="B62" s="1167"/>
      <c r="C62" s="1168"/>
      <c r="D62" s="241">
        <v>41786</v>
      </c>
      <c r="E62" s="241">
        <v>41789</v>
      </c>
      <c r="F62" s="637">
        <v>245000</v>
      </c>
    </row>
    <row r="63" spans="1:9" s="624" customFormat="1" ht="12.75" customHeight="1" x14ac:dyDescent="0.2">
      <c r="A63" s="1166" t="s">
        <v>531</v>
      </c>
      <c r="B63" s="1167"/>
      <c r="C63" s="1168"/>
      <c r="D63" s="241">
        <v>41786</v>
      </c>
      <c r="E63" s="241">
        <v>41789</v>
      </c>
      <c r="F63" s="637">
        <v>-245000</v>
      </c>
    </row>
    <row r="64" spans="1:9" s="624" customFormat="1" ht="34.5" customHeight="1" x14ac:dyDescent="0.2">
      <c r="A64" s="1172" t="s">
        <v>588</v>
      </c>
      <c r="B64" s="1104"/>
      <c r="C64" s="1105"/>
      <c r="D64" s="241">
        <v>41786</v>
      </c>
      <c r="E64" s="241">
        <v>41789</v>
      </c>
      <c r="F64" s="637">
        <v>22000</v>
      </c>
    </row>
    <row r="65" spans="1:6" s="624" customFormat="1" ht="23.25" customHeight="1" x14ac:dyDescent="0.2">
      <c r="A65" s="1172" t="s">
        <v>532</v>
      </c>
      <c r="B65" s="1104"/>
      <c r="C65" s="1105"/>
      <c r="D65" s="241">
        <v>41786</v>
      </c>
      <c r="E65" s="241">
        <v>41789</v>
      </c>
      <c r="F65" s="637">
        <v>22000</v>
      </c>
    </row>
    <row r="66" spans="1:6" s="624" customFormat="1" ht="33.75" customHeight="1" x14ac:dyDescent="0.2">
      <c r="A66" s="1172" t="s">
        <v>533</v>
      </c>
      <c r="B66" s="1104"/>
      <c r="C66" s="1105"/>
      <c r="D66" s="241">
        <v>41786</v>
      </c>
      <c r="E66" s="241">
        <v>41789</v>
      </c>
      <c r="F66" s="637">
        <v>-36000</v>
      </c>
    </row>
    <row r="67" spans="1:6" s="624" customFormat="1" ht="34.5" customHeight="1" x14ac:dyDescent="0.2">
      <c r="A67" s="1166" t="s">
        <v>534</v>
      </c>
      <c r="B67" s="1167"/>
      <c r="C67" s="1168"/>
      <c r="D67" s="241">
        <v>41786</v>
      </c>
      <c r="E67" s="241">
        <v>41789</v>
      </c>
      <c r="F67" s="637">
        <v>36000</v>
      </c>
    </row>
    <row r="68" spans="1:6" s="624" customFormat="1" ht="22.5" customHeight="1" x14ac:dyDescent="0.2">
      <c r="A68" s="1166" t="s">
        <v>535</v>
      </c>
      <c r="B68" s="1167"/>
      <c r="C68" s="1168"/>
      <c r="D68" s="241">
        <v>41786</v>
      </c>
      <c r="E68" s="241">
        <v>41789</v>
      </c>
      <c r="F68" s="637">
        <v>4000</v>
      </c>
    </row>
    <row r="69" spans="1:6" s="624" customFormat="1" ht="12.75" customHeight="1" x14ac:dyDescent="0.2">
      <c r="A69" s="1166" t="s">
        <v>536</v>
      </c>
      <c r="B69" s="1167"/>
      <c r="C69" s="1168"/>
      <c r="D69" s="241">
        <v>41786</v>
      </c>
      <c r="E69" s="241">
        <v>41789</v>
      </c>
      <c r="F69" s="637">
        <v>4000</v>
      </c>
    </row>
    <row r="70" spans="1:6" s="624" customFormat="1" ht="23.25" customHeight="1" x14ac:dyDescent="0.2">
      <c r="A70" s="1166" t="s">
        <v>537</v>
      </c>
      <c r="B70" s="1167"/>
      <c r="C70" s="1168"/>
      <c r="D70" s="241">
        <v>41789</v>
      </c>
      <c r="E70" s="241">
        <v>41789</v>
      </c>
      <c r="F70" s="637">
        <v>6000</v>
      </c>
    </row>
    <row r="71" spans="1:6" s="624" customFormat="1" ht="22.5" customHeight="1" x14ac:dyDescent="0.2">
      <c r="A71" s="1166" t="s">
        <v>538</v>
      </c>
      <c r="B71" s="1167"/>
      <c r="C71" s="1168"/>
      <c r="D71" s="241">
        <v>41789</v>
      </c>
      <c r="E71" s="241">
        <v>41789</v>
      </c>
      <c r="F71" s="637">
        <v>6000</v>
      </c>
    </row>
    <row r="72" spans="1:6" s="623" customFormat="1" ht="27.6" customHeight="1" x14ac:dyDescent="0.2">
      <c r="A72" s="1164" t="s">
        <v>539</v>
      </c>
      <c r="B72" s="1165"/>
      <c r="C72" s="945"/>
      <c r="D72" s="246">
        <v>41789</v>
      </c>
      <c r="E72" s="246">
        <v>41789</v>
      </c>
      <c r="F72" s="636">
        <v>708000</v>
      </c>
    </row>
    <row r="73" spans="1:6" s="623" customFormat="1" ht="24" customHeight="1" x14ac:dyDescent="0.2">
      <c r="A73" s="1164" t="s">
        <v>540</v>
      </c>
      <c r="B73" s="1165"/>
      <c r="C73" s="945"/>
      <c r="D73" s="246">
        <v>41789</v>
      </c>
      <c r="E73" s="246">
        <v>41789</v>
      </c>
      <c r="F73" s="636">
        <v>-708000</v>
      </c>
    </row>
    <row r="74" spans="1:6" s="623" customFormat="1" ht="24.75" customHeight="1" x14ac:dyDescent="0.2">
      <c r="A74" s="1164" t="s">
        <v>541</v>
      </c>
      <c r="B74" s="1165"/>
      <c r="C74" s="945"/>
      <c r="D74" s="246">
        <v>41789</v>
      </c>
      <c r="E74" s="246">
        <v>41789</v>
      </c>
      <c r="F74" s="636">
        <v>30000</v>
      </c>
    </row>
    <row r="75" spans="1:6" s="623" customFormat="1" ht="25.15" customHeight="1" x14ac:dyDescent="0.2">
      <c r="A75" s="1164" t="s">
        <v>542</v>
      </c>
      <c r="B75" s="1165"/>
      <c r="C75" s="945"/>
      <c r="D75" s="246">
        <v>41789</v>
      </c>
      <c r="E75" s="246">
        <v>41789</v>
      </c>
      <c r="F75" s="636">
        <v>-30000</v>
      </c>
    </row>
    <row r="76" spans="1:6" s="623" customFormat="1" ht="25.15" customHeight="1" x14ac:dyDescent="0.2">
      <c r="A76" s="1164" t="s">
        <v>543</v>
      </c>
      <c r="B76" s="1165"/>
      <c r="C76" s="945"/>
      <c r="D76" s="246">
        <v>41789</v>
      </c>
      <c r="E76" s="246">
        <v>41789</v>
      </c>
      <c r="F76" s="636">
        <v>50000</v>
      </c>
    </row>
    <row r="77" spans="1:6" s="623" customFormat="1" ht="25.15" customHeight="1" x14ac:dyDescent="0.2">
      <c r="A77" s="1164" t="s">
        <v>544</v>
      </c>
      <c r="B77" s="1165"/>
      <c r="C77" s="945"/>
      <c r="D77" s="246">
        <v>41789</v>
      </c>
      <c r="E77" s="246">
        <v>41789</v>
      </c>
      <c r="F77" s="636">
        <v>-50000</v>
      </c>
    </row>
    <row r="78" spans="1:6" s="623" customFormat="1" ht="25.15" customHeight="1" x14ac:dyDescent="0.2">
      <c r="A78" s="1164" t="s">
        <v>545</v>
      </c>
      <c r="B78" s="1165"/>
      <c r="C78" s="945"/>
      <c r="D78" s="246">
        <v>41789</v>
      </c>
      <c r="E78" s="246">
        <v>41789</v>
      </c>
      <c r="F78" s="636">
        <v>58000</v>
      </c>
    </row>
    <row r="79" spans="1:6" s="624" customFormat="1" ht="24" customHeight="1" x14ac:dyDescent="0.2">
      <c r="A79" s="1164" t="s">
        <v>546</v>
      </c>
      <c r="B79" s="1165"/>
      <c r="C79" s="945"/>
      <c r="D79" s="246">
        <v>41789</v>
      </c>
      <c r="E79" s="246">
        <v>41789</v>
      </c>
      <c r="F79" s="636">
        <v>-58000</v>
      </c>
    </row>
    <row r="80" spans="1:6" s="624" customFormat="1" ht="22.5" customHeight="1" x14ac:dyDescent="0.2">
      <c r="A80" s="1166" t="s">
        <v>547</v>
      </c>
      <c r="B80" s="1167"/>
      <c r="C80" s="1168"/>
      <c r="D80" s="241">
        <v>41806</v>
      </c>
      <c r="E80" s="241">
        <v>41806</v>
      </c>
      <c r="F80" s="637">
        <v>-220000</v>
      </c>
    </row>
    <row r="81" spans="1:6" s="623" customFormat="1" ht="35.25" customHeight="1" thickBot="1" x14ac:dyDescent="0.25">
      <c r="A81" s="1169" t="s">
        <v>548</v>
      </c>
      <c r="B81" s="1170"/>
      <c r="C81" s="1171"/>
      <c r="D81" s="638">
        <v>41806</v>
      </c>
      <c r="E81" s="638">
        <v>41806</v>
      </c>
      <c r="F81" s="639">
        <v>220000</v>
      </c>
    </row>
    <row r="82" spans="1:6" s="623" customFormat="1" ht="25.5" customHeight="1" thickTop="1" x14ac:dyDescent="0.2">
      <c r="A82" s="1152" t="s">
        <v>549</v>
      </c>
      <c r="B82" s="1153"/>
      <c r="C82" s="1154"/>
      <c r="D82" s="640">
        <v>41821</v>
      </c>
      <c r="E82" s="640">
        <v>41821</v>
      </c>
      <c r="F82" s="641">
        <v>21000</v>
      </c>
    </row>
    <row r="83" spans="1:6" s="623" customFormat="1" ht="22.5" customHeight="1" x14ac:dyDescent="0.2">
      <c r="A83" s="1149" t="s">
        <v>550</v>
      </c>
      <c r="B83" s="1150"/>
      <c r="C83" s="1151"/>
      <c r="D83" s="640">
        <v>41821</v>
      </c>
      <c r="E83" s="640">
        <v>41821</v>
      </c>
      <c r="F83" s="641">
        <v>21000</v>
      </c>
    </row>
    <row r="84" spans="1:6" s="623" customFormat="1" ht="23.25" customHeight="1" x14ac:dyDescent="0.2">
      <c r="A84" s="1164" t="s">
        <v>551</v>
      </c>
      <c r="B84" s="1165"/>
      <c r="C84" s="945"/>
      <c r="D84" s="246">
        <v>41821</v>
      </c>
      <c r="E84" s="246">
        <v>41821</v>
      </c>
      <c r="F84" s="636">
        <v>60000</v>
      </c>
    </row>
    <row r="85" spans="1:6" s="623" customFormat="1" ht="24" customHeight="1" x14ac:dyDescent="0.2">
      <c r="A85" s="1164" t="s">
        <v>822</v>
      </c>
      <c r="B85" s="1165"/>
      <c r="C85" s="945"/>
      <c r="D85" s="246">
        <v>41821</v>
      </c>
      <c r="E85" s="246">
        <v>41821</v>
      </c>
      <c r="F85" s="636">
        <v>60000</v>
      </c>
    </row>
    <row r="86" spans="1:6" s="623" customFormat="1" ht="22.5" customHeight="1" x14ac:dyDescent="0.2">
      <c r="A86" s="1143" t="s">
        <v>553</v>
      </c>
      <c r="B86" s="1144"/>
      <c r="C86" s="1145"/>
      <c r="D86" s="246">
        <v>41821</v>
      </c>
      <c r="E86" s="246">
        <v>41821</v>
      </c>
      <c r="F86" s="636">
        <v>-60000</v>
      </c>
    </row>
    <row r="87" spans="1:6" s="623" customFormat="1" ht="23.25" customHeight="1" x14ac:dyDescent="0.2">
      <c r="A87" s="1164" t="s">
        <v>552</v>
      </c>
      <c r="B87" s="1165"/>
      <c r="C87" s="945"/>
      <c r="D87" s="246">
        <v>41821</v>
      </c>
      <c r="E87" s="246">
        <v>41821</v>
      </c>
      <c r="F87" s="636">
        <v>60000</v>
      </c>
    </row>
    <row r="88" spans="1:6" s="623" customFormat="1" ht="22.5" customHeight="1" x14ac:dyDescent="0.2">
      <c r="A88" s="1149" t="s">
        <v>554</v>
      </c>
      <c r="B88" s="1150"/>
      <c r="C88" s="1151"/>
      <c r="D88" s="640">
        <v>41821</v>
      </c>
      <c r="E88" s="640">
        <v>41821</v>
      </c>
      <c r="F88" s="641">
        <v>-93700</v>
      </c>
    </row>
    <row r="89" spans="1:6" s="623" customFormat="1" ht="35.25" customHeight="1" x14ac:dyDescent="0.2">
      <c r="A89" s="1149" t="s">
        <v>555</v>
      </c>
      <c r="B89" s="1150"/>
      <c r="C89" s="1151"/>
      <c r="D89" s="640">
        <v>41821</v>
      </c>
      <c r="E89" s="640">
        <v>41821</v>
      </c>
      <c r="F89" s="641">
        <v>92700</v>
      </c>
    </row>
    <row r="90" spans="1:6" s="623" customFormat="1" ht="14.25" customHeight="1" x14ac:dyDescent="0.2">
      <c r="A90" s="1149" t="s">
        <v>556</v>
      </c>
      <c r="B90" s="1150"/>
      <c r="C90" s="1151"/>
      <c r="D90" s="640">
        <v>41821</v>
      </c>
      <c r="E90" s="640">
        <v>41821</v>
      </c>
      <c r="F90" s="641">
        <v>1000</v>
      </c>
    </row>
    <row r="91" spans="1:6" s="623" customFormat="1" ht="14.25" customHeight="1" x14ac:dyDescent="0.2">
      <c r="A91" s="1164" t="s">
        <v>557</v>
      </c>
      <c r="B91" s="1165"/>
      <c r="C91" s="945"/>
      <c r="D91" s="246">
        <v>41913</v>
      </c>
      <c r="E91" s="246">
        <v>41913</v>
      </c>
      <c r="F91" s="636">
        <v>-16000</v>
      </c>
    </row>
    <row r="92" spans="1:6" s="623" customFormat="1" ht="23.25" customHeight="1" x14ac:dyDescent="0.2">
      <c r="A92" s="1164" t="s">
        <v>558</v>
      </c>
      <c r="B92" s="1165"/>
      <c r="C92" s="945"/>
      <c r="D92" s="246">
        <v>41913</v>
      </c>
      <c r="E92" s="246">
        <v>41913</v>
      </c>
      <c r="F92" s="636">
        <v>16000</v>
      </c>
    </row>
    <row r="93" spans="1:6" s="623" customFormat="1" ht="24.75" customHeight="1" x14ac:dyDescent="0.2">
      <c r="A93" s="1164" t="s">
        <v>559</v>
      </c>
      <c r="B93" s="1165"/>
      <c r="C93" s="945"/>
      <c r="D93" s="246">
        <v>41913</v>
      </c>
      <c r="E93" s="246">
        <v>41913</v>
      </c>
      <c r="F93" s="636">
        <v>81500</v>
      </c>
    </row>
    <row r="94" spans="1:6" s="623" customFormat="1" ht="24" customHeight="1" x14ac:dyDescent="0.2">
      <c r="A94" s="1164" t="s">
        <v>560</v>
      </c>
      <c r="B94" s="1165"/>
      <c r="C94" s="945"/>
      <c r="D94" s="246">
        <v>41913</v>
      </c>
      <c r="E94" s="246">
        <v>41913</v>
      </c>
      <c r="F94" s="636">
        <v>72300</v>
      </c>
    </row>
    <row r="95" spans="1:6" s="624" customFormat="1" ht="23.25" customHeight="1" x14ac:dyDescent="0.2">
      <c r="A95" s="1164" t="s">
        <v>561</v>
      </c>
      <c r="B95" s="1165"/>
      <c r="C95" s="945"/>
      <c r="D95" s="246">
        <v>41913</v>
      </c>
      <c r="E95" s="246">
        <v>41913</v>
      </c>
      <c r="F95" s="636">
        <v>9200</v>
      </c>
    </row>
    <row r="96" spans="1:6" s="624" customFormat="1" ht="22.5" customHeight="1" x14ac:dyDescent="0.2">
      <c r="A96" s="1158" t="s">
        <v>562</v>
      </c>
      <c r="B96" s="1159"/>
      <c r="C96" s="1160"/>
      <c r="D96" s="642">
        <v>41954</v>
      </c>
      <c r="E96" s="642">
        <v>41970</v>
      </c>
      <c r="F96" s="643">
        <v>-200000</v>
      </c>
    </row>
    <row r="97" spans="1:8" s="624" customFormat="1" ht="23.25" customHeight="1" x14ac:dyDescent="0.2">
      <c r="A97" s="1158" t="s">
        <v>563</v>
      </c>
      <c r="B97" s="1159"/>
      <c r="C97" s="1160"/>
      <c r="D97" s="642">
        <v>41954</v>
      </c>
      <c r="E97" s="642">
        <v>41970</v>
      </c>
      <c r="F97" s="643">
        <v>200000</v>
      </c>
    </row>
    <row r="98" spans="1:8" s="625" customFormat="1" ht="24" customHeight="1" x14ac:dyDescent="0.2">
      <c r="A98" s="1158" t="s">
        <v>564</v>
      </c>
      <c r="B98" s="1159"/>
      <c r="C98" s="1160"/>
      <c r="D98" s="642">
        <v>41961</v>
      </c>
      <c r="E98" s="642">
        <v>41970</v>
      </c>
      <c r="F98" s="643">
        <v>-190000</v>
      </c>
    </row>
    <row r="99" spans="1:8" s="623" customFormat="1" ht="21.75" customHeight="1" x14ac:dyDescent="0.2">
      <c r="A99" s="1158" t="s">
        <v>565</v>
      </c>
      <c r="B99" s="1159"/>
      <c r="C99" s="1160"/>
      <c r="D99" s="642">
        <v>41961</v>
      </c>
      <c r="E99" s="642">
        <v>41970</v>
      </c>
      <c r="F99" s="643">
        <v>-190000</v>
      </c>
    </row>
    <row r="100" spans="1:8" s="623" customFormat="1" ht="21.75" customHeight="1" x14ac:dyDescent="0.2">
      <c r="A100" s="1161" t="s">
        <v>566</v>
      </c>
      <c r="B100" s="1162"/>
      <c r="C100" s="1163"/>
      <c r="D100" s="644">
        <v>41961</v>
      </c>
      <c r="E100" s="645">
        <v>41970</v>
      </c>
      <c r="F100" s="646">
        <v>72400</v>
      </c>
    </row>
    <row r="101" spans="1:8" s="623" customFormat="1" ht="22.5" customHeight="1" x14ac:dyDescent="0.2">
      <c r="A101" s="1143" t="s">
        <v>567</v>
      </c>
      <c r="B101" s="1144"/>
      <c r="C101" s="1145"/>
      <c r="D101" s="644">
        <v>41961</v>
      </c>
      <c r="E101" s="644">
        <v>41970</v>
      </c>
      <c r="F101" s="646">
        <v>24700</v>
      </c>
    </row>
    <row r="102" spans="1:8" s="625" customFormat="1" ht="22.5" customHeight="1" x14ac:dyDescent="0.2">
      <c r="A102" s="1143" t="s">
        <v>568</v>
      </c>
      <c r="B102" s="1144"/>
      <c r="C102" s="1145"/>
      <c r="D102" s="644">
        <v>41961</v>
      </c>
      <c r="E102" s="644">
        <v>41970</v>
      </c>
      <c r="F102" s="646">
        <v>47700</v>
      </c>
    </row>
    <row r="103" spans="1:8" s="623" customFormat="1" ht="14.25" customHeight="1" x14ac:dyDescent="0.2">
      <c r="A103" s="1149" t="s">
        <v>569</v>
      </c>
      <c r="B103" s="1150"/>
      <c r="C103" s="1151"/>
      <c r="D103" s="640">
        <v>41973</v>
      </c>
      <c r="E103" s="640">
        <v>41973</v>
      </c>
      <c r="F103" s="641">
        <v>-21000</v>
      </c>
    </row>
    <row r="104" spans="1:8" s="623" customFormat="1" ht="22.5" customHeight="1" x14ac:dyDescent="0.2">
      <c r="A104" s="1146" t="s">
        <v>570</v>
      </c>
      <c r="B104" s="1147"/>
      <c r="C104" s="1148"/>
      <c r="D104" s="640">
        <v>41973</v>
      </c>
      <c r="E104" s="640">
        <v>41973</v>
      </c>
      <c r="F104" s="641">
        <v>21000</v>
      </c>
    </row>
    <row r="105" spans="1:8" s="623" customFormat="1" ht="22.5" customHeight="1" x14ac:dyDescent="0.2">
      <c r="A105" s="1155" t="s">
        <v>571</v>
      </c>
      <c r="B105" s="1156"/>
      <c r="C105" s="1157"/>
      <c r="D105" s="644">
        <v>41974</v>
      </c>
      <c r="E105" s="644">
        <v>41974</v>
      </c>
      <c r="F105" s="646">
        <v>3500</v>
      </c>
    </row>
    <row r="106" spans="1:8" s="623" customFormat="1" ht="22.5" customHeight="1" x14ac:dyDescent="0.2">
      <c r="A106" s="1143" t="s">
        <v>572</v>
      </c>
      <c r="B106" s="1144"/>
      <c r="C106" s="1145"/>
      <c r="D106" s="644">
        <v>41974</v>
      </c>
      <c r="E106" s="644">
        <v>41974</v>
      </c>
      <c r="F106" s="646">
        <v>3500</v>
      </c>
    </row>
    <row r="107" spans="1:8" s="623" customFormat="1" ht="21.75" customHeight="1" x14ac:dyDescent="0.2">
      <c r="A107" s="1152" t="s">
        <v>573</v>
      </c>
      <c r="B107" s="1153"/>
      <c r="C107" s="1154"/>
      <c r="D107" s="640">
        <v>41974</v>
      </c>
      <c r="E107" s="640">
        <v>41974</v>
      </c>
      <c r="F107" s="641">
        <v>-2000</v>
      </c>
    </row>
    <row r="108" spans="1:8" s="623" customFormat="1" ht="21.75" customHeight="1" x14ac:dyDescent="0.2">
      <c r="A108" s="1149" t="s">
        <v>574</v>
      </c>
      <c r="B108" s="1150"/>
      <c r="C108" s="1151"/>
      <c r="D108" s="640">
        <v>41974</v>
      </c>
      <c r="E108" s="640">
        <v>41974</v>
      </c>
      <c r="F108" s="641">
        <v>-2000</v>
      </c>
    </row>
    <row r="109" spans="1:8" s="623" customFormat="1" ht="23.25" customHeight="1" x14ac:dyDescent="0.2">
      <c r="A109" s="1155" t="s">
        <v>575</v>
      </c>
      <c r="B109" s="1156"/>
      <c r="C109" s="1157"/>
      <c r="D109" s="644">
        <v>41974</v>
      </c>
      <c r="E109" s="644">
        <v>41974</v>
      </c>
      <c r="F109" s="646">
        <v>20000</v>
      </c>
      <c r="H109" s="626"/>
    </row>
    <row r="110" spans="1:8" s="623" customFormat="1" ht="13.5" customHeight="1" x14ac:dyDescent="0.2">
      <c r="A110" s="1143" t="s">
        <v>576</v>
      </c>
      <c r="B110" s="1144"/>
      <c r="C110" s="1145"/>
      <c r="D110" s="644">
        <v>41974</v>
      </c>
      <c r="E110" s="644">
        <v>41974</v>
      </c>
      <c r="F110" s="646">
        <v>20000</v>
      </c>
      <c r="H110" s="626"/>
    </row>
    <row r="111" spans="1:8" s="625" customFormat="1" ht="23.25" customHeight="1" x14ac:dyDescent="0.2">
      <c r="A111" s="1155" t="s">
        <v>577</v>
      </c>
      <c r="B111" s="1156"/>
      <c r="C111" s="1157"/>
      <c r="D111" s="644">
        <v>41974</v>
      </c>
      <c r="E111" s="644">
        <v>41974</v>
      </c>
      <c r="F111" s="646">
        <v>-20000</v>
      </c>
      <c r="H111" s="626"/>
    </row>
    <row r="112" spans="1:8" s="623" customFormat="1" ht="24" customHeight="1" x14ac:dyDescent="0.2">
      <c r="A112" s="1143" t="s">
        <v>578</v>
      </c>
      <c r="B112" s="1144"/>
      <c r="C112" s="1145"/>
      <c r="D112" s="644">
        <v>41974</v>
      </c>
      <c r="E112" s="644">
        <v>41974</v>
      </c>
      <c r="F112" s="646">
        <v>-20000</v>
      </c>
    </row>
    <row r="113" spans="1:9" s="623" customFormat="1" ht="24" customHeight="1" x14ac:dyDescent="0.2">
      <c r="A113" s="1146" t="s">
        <v>579</v>
      </c>
      <c r="B113" s="1147"/>
      <c r="C113" s="1148"/>
      <c r="D113" s="640">
        <v>41993</v>
      </c>
      <c r="E113" s="642">
        <v>41993</v>
      </c>
      <c r="F113" s="641">
        <v>-2400</v>
      </c>
    </row>
    <row r="114" spans="1:9" s="624" customFormat="1" ht="12.75" customHeight="1" x14ac:dyDescent="0.2">
      <c r="A114" s="1149" t="s">
        <v>580</v>
      </c>
      <c r="B114" s="1150"/>
      <c r="C114" s="1151"/>
      <c r="D114" s="640">
        <v>41993</v>
      </c>
      <c r="E114" s="642">
        <v>41993</v>
      </c>
      <c r="F114" s="641">
        <v>2200</v>
      </c>
    </row>
    <row r="115" spans="1:9" s="624" customFormat="1" ht="12" customHeight="1" x14ac:dyDescent="0.2">
      <c r="A115" s="1149" t="s">
        <v>581</v>
      </c>
      <c r="B115" s="1150"/>
      <c r="C115" s="1151"/>
      <c r="D115" s="640">
        <v>41993</v>
      </c>
      <c r="E115" s="642">
        <v>41993</v>
      </c>
      <c r="F115" s="641">
        <v>200</v>
      </c>
    </row>
    <row r="116" spans="1:9" s="218" customFormat="1" ht="12" customHeight="1" x14ac:dyDescent="0.2">
      <c r="C116" s="220"/>
    </row>
    <row r="117" spans="1:9" s="218" customFormat="1" ht="12" customHeight="1" x14ac:dyDescent="0.2">
      <c r="A117" s="794" t="s">
        <v>152</v>
      </c>
      <c r="B117" s="794"/>
      <c r="C117" s="794"/>
      <c r="D117" s="794"/>
      <c r="E117" s="794"/>
      <c r="F117" s="794"/>
      <c r="G117" s="794"/>
      <c r="H117" s="794"/>
      <c r="I117" s="794"/>
    </row>
    <row r="118" spans="1:9" s="218" customFormat="1" ht="12" customHeight="1" x14ac:dyDescent="0.2"/>
    <row r="119" spans="1:9" s="218" customFormat="1" ht="37.5" customHeight="1" x14ac:dyDescent="0.2">
      <c r="A119" s="884" t="s">
        <v>823</v>
      </c>
      <c r="B119" s="890"/>
      <c r="C119" s="890"/>
      <c r="D119" s="890"/>
      <c r="E119" s="890"/>
      <c r="F119" s="890"/>
      <c r="G119" s="890"/>
      <c r="H119" s="890"/>
      <c r="I119" s="885"/>
    </row>
    <row r="120" spans="1:9" s="218" customFormat="1" ht="13.5" customHeight="1" x14ac:dyDescent="0.2">
      <c r="A120" s="884"/>
      <c r="B120" s="890"/>
      <c r="C120" s="890"/>
      <c r="D120" s="890"/>
      <c r="E120" s="890"/>
      <c r="F120" s="890"/>
      <c r="G120" s="890"/>
      <c r="H120" s="890"/>
      <c r="I120" s="885"/>
    </row>
    <row r="121" spans="1:9" s="217" customFormat="1" ht="12" customHeight="1" x14ac:dyDescent="0.15">
      <c r="A121" s="852" t="s">
        <v>153</v>
      </c>
      <c r="B121" s="852"/>
      <c r="C121" s="852"/>
      <c r="D121" s="852"/>
      <c r="E121" s="852"/>
      <c r="F121" s="852"/>
      <c r="G121" s="852"/>
      <c r="H121" s="852"/>
      <c r="I121" s="852"/>
    </row>
    <row r="122" spans="1:9" s="218" customFormat="1" ht="12" customHeight="1" x14ac:dyDescent="0.2"/>
    <row r="123" spans="1:9" s="135" customFormat="1" ht="34.5" customHeight="1" x14ac:dyDescent="0.2">
      <c r="A123" s="789" t="s">
        <v>589</v>
      </c>
      <c r="B123" s="790"/>
      <c r="C123" s="790"/>
      <c r="D123" s="790"/>
      <c r="E123" s="790"/>
      <c r="F123" s="790"/>
      <c r="G123" s="790"/>
      <c r="H123" s="790"/>
      <c r="I123" s="791"/>
    </row>
    <row r="124" spans="1:9" s="135" customFormat="1" ht="14.25" customHeight="1" x14ac:dyDescent="0.2">
      <c r="A124" s="887" t="s">
        <v>590</v>
      </c>
      <c r="B124" s="888"/>
      <c r="C124" s="888"/>
      <c r="D124" s="888"/>
      <c r="E124" s="888"/>
      <c r="F124" s="888"/>
      <c r="G124" s="888"/>
      <c r="H124" s="888"/>
      <c r="I124" s="889"/>
    </row>
    <row r="125" spans="1:9" s="135" customFormat="1" ht="12.75" customHeight="1" x14ac:dyDescent="0.2">
      <c r="A125" s="789" t="s">
        <v>348</v>
      </c>
      <c r="B125" s="790"/>
      <c r="C125" s="790"/>
      <c r="D125" s="790"/>
      <c r="E125" s="790"/>
      <c r="F125" s="790"/>
      <c r="G125" s="790"/>
      <c r="H125" s="790"/>
      <c r="I125" s="791"/>
    </row>
    <row r="126" spans="1:9" s="66" customFormat="1" ht="24" customHeight="1" x14ac:dyDescent="0.2">
      <c r="A126" s="747" t="s">
        <v>591</v>
      </c>
      <c r="B126" s="795"/>
      <c r="C126" s="795"/>
      <c r="D126" s="795"/>
      <c r="E126" s="795"/>
      <c r="F126" s="795"/>
      <c r="G126" s="795"/>
      <c r="H126" s="795"/>
      <c r="I126" s="796"/>
    </row>
  </sheetData>
  <mergeCells count="112">
    <mergeCell ref="F26:I26"/>
    <mergeCell ref="A1:I1"/>
    <mergeCell ref="A7:B7"/>
    <mergeCell ref="D7:I7"/>
    <mergeCell ref="A8:B8"/>
    <mergeCell ref="D8:I8"/>
    <mergeCell ref="A9:B9"/>
    <mergeCell ref="D9:I9"/>
    <mergeCell ref="A3:I3"/>
    <mergeCell ref="A5:B5"/>
    <mergeCell ref="D5:I5"/>
    <mergeCell ref="A6:B6"/>
    <mergeCell ref="D6:I6"/>
    <mergeCell ref="F24:I24"/>
    <mergeCell ref="F25:I25"/>
    <mergeCell ref="A19:I19"/>
    <mergeCell ref="F21:I21"/>
    <mergeCell ref="F22:I22"/>
    <mergeCell ref="F23:I23"/>
    <mergeCell ref="D15:I15"/>
    <mergeCell ref="D16:I16"/>
    <mergeCell ref="A11:I11"/>
    <mergeCell ref="D14:I14"/>
    <mergeCell ref="A15:A16"/>
    <mergeCell ref="D33:I33"/>
    <mergeCell ref="C48:I48"/>
    <mergeCell ref="C49:I49"/>
    <mergeCell ref="C50:I50"/>
    <mergeCell ref="C51:I51"/>
    <mergeCell ref="C34:I34"/>
    <mergeCell ref="A36:I36"/>
    <mergeCell ref="A28:I28"/>
    <mergeCell ref="D32:I32"/>
    <mergeCell ref="D38:I38"/>
    <mergeCell ref="D39:I39"/>
    <mergeCell ref="C41:I41"/>
    <mergeCell ref="A67:C67"/>
    <mergeCell ref="A68:C68"/>
    <mergeCell ref="A69:C69"/>
    <mergeCell ref="A70:C70"/>
    <mergeCell ref="A71:C71"/>
    <mergeCell ref="A43:I43"/>
    <mergeCell ref="C45:I45"/>
    <mergeCell ref="A53:I53"/>
    <mergeCell ref="A56:C56"/>
    <mergeCell ref="A57:C57"/>
    <mergeCell ref="A58:C58"/>
    <mergeCell ref="A59:C59"/>
    <mergeCell ref="A60:C60"/>
    <mergeCell ref="A61:C61"/>
    <mergeCell ref="A62:C62"/>
    <mergeCell ref="A63:C63"/>
    <mergeCell ref="A64:C64"/>
    <mergeCell ref="A65:C65"/>
    <mergeCell ref="A66:C66"/>
    <mergeCell ref="C46:I46"/>
    <mergeCell ref="C47:I47"/>
    <mergeCell ref="A77:C77"/>
    <mergeCell ref="A78:C78"/>
    <mergeCell ref="A79:C79"/>
    <mergeCell ref="A80:C80"/>
    <mergeCell ref="A81:C81"/>
    <mergeCell ref="A72:C72"/>
    <mergeCell ref="A73:C73"/>
    <mergeCell ref="A74:C74"/>
    <mergeCell ref="A75:C75"/>
    <mergeCell ref="A76:C76"/>
    <mergeCell ref="A87:C87"/>
    <mergeCell ref="A88:C88"/>
    <mergeCell ref="A89:C89"/>
    <mergeCell ref="A90:C90"/>
    <mergeCell ref="A91:C91"/>
    <mergeCell ref="A82:C82"/>
    <mergeCell ref="A83:C83"/>
    <mergeCell ref="A84:C84"/>
    <mergeCell ref="A85:C85"/>
    <mergeCell ref="A86:C86"/>
    <mergeCell ref="A106:C106"/>
    <mergeCell ref="A97:C97"/>
    <mergeCell ref="A98:C98"/>
    <mergeCell ref="A99:C99"/>
    <mergeCell ref="A100:C100"/>
    <mergeCell ref="A101:C101"/>
    <mergeCell ref="A92:C92"/>
    <mergeCell ref="A93:C93"/>
    <mergeCell ref="A94:C94"/>
    <mergeCell ref="A95:C95"/>
    <mergeCell ref="A96:C96"/>
    <mergeCell ref="A124:I124"/>
    <mergeCell ref="A125:I125"/>
    <mergeCell ref="A126:I126"/>
    <mergeCell ref="A30:I30"/>
    <mergeCell ref="C40:I40"/>
    <mergeCell ref="A55:C55"/>
    <mergeCell ref="A119:I119"/>
    <mergeCell ref="A120:I120"/>
    <mergeCell ref="A121:I121"/>
    <mergeCell ref="A123:I123"/>
    <mergeCell ref="A112:C112"/>
    <mergeCell ref="A113:C113"/>
    <mergeCell ref="A114:C114"/>
    <mergeCell ref="A115:C115"/>
    <mergeCell ref="A117:I117"/>
    <mergeCell ref="A107:C107"/>
    <mergeCell ref="A108:C108"/>
    <mergeCell ref="A109:C109"/>
    <mergeCell ref="A110:C110"/>
    <mergeCell ref="A111:C111"/>
    <mergeCell ref="A102:C102"/>
    <mergeCell ref="A103:C103"/>
    <mergeCell ref="A104:C104"/>
    <mergeCell ref="A105:C105"/>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ht="15.75" x14ac:dyDescent="0.25">
      <c r="A1" s="1183" t="s">
        <v>100</v>
      </c>
      <c r="B1" s="1183"/>
      <c r="C1" s="1183"/>
      <c r="D1" s="1183"/>
      <c r="E1" s="1183"/>
      <c r="F1" s="1183"/>
      <c r="G1" s="1183"/>
      <c r="H1" s="1183"/>
      <c r="I1" s="1183"/>
      <c r="J1" s="1183"/>
      <c r="K1" s="1183"/>
      <c r="L1" s="1183"/>
      <c r="M1" s="1183"/>
      <c r="N1" s="1183"/>
      <c r="O1" s="1183"/>
      <c r="P1" s="1183"/>
      <c r="Q1" s="1183"/>
      <c r="R1" s="1183"/>
      <c r="S1" s="1183"/>
      <c r="T1" s="1183"/>
      <c r="U1" s="1183"/>
      <c r="V1" s="1183"/>
      <c r="W1" s="1183"/>
      <c r="X1" s="1183"/>
    </row>
    <row r="2" spans="1:24" ht="8.25" customHeight="1" x14ac:dyDescent="0.15"/>
    <row r="3" spans="1:24" s="6" customFormat="1" ht="9.75" customHeight="1" x14ac:dyDescent="0.2">
      <c r="A3" s="824" t="s">
        <v>40</v>
      </c>
      <c r="B3" s="837" t="s">
        <v>41</v>
      </c>
      <c r="C3" s="838"/>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45"/>
      <c r="B4" s="839"/>
      <c r="C4" s="840"/>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846"/>
      <c r="B5" s="841"/>
      <c r="C5" s="842"/>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42279900</v>
      </c>
      <c r="F6" s="67">
        <f>SUM(F7:F9)</f>
        <v>42127844.5</v>
      </c>
      <c r="G6" s="67">
        <f>SUM(G7:G9)</f>
        <v>41968581.490000002</v>
      </c>
      <c r="H6" s="28">
        <f t="shared" ref="H6:H36" si="0">G6/F6*100</f>
        <v>99.621953100401328</v>
      </c>
      <c r="I6" s="67">
        <f>SUM(I7:I9)</f>
        <v>43549187</v>
      </c>
      <c r="J6" s="67">
        <f>SUM(J7:J9)</f>
        <v>10257000</v>
      </c>
      <c r="K6" s="67">
        <f t="shared" ref="K6:X6" si="1">SUM(K7:K9)</f>
        <v>9285900</v>
      </c>
      <c r="L6" s="67">
        <f t="shared" si="1"/>
        <v>9126636.9900000002</v>
      </c>
      <c r="M6" s="28">
        <f t="shared" ref="M6:M33" si="2">L6/K6*100</f>
        <v>98.284894194423813</v>
      </c>
      <c r="N6" s="68">
        <f t="shared" si="1"/>
        <v>10156361</v>
      </c>
      <c r="O6" s="67">
        <f t="shared" si="1"/>
        <v>32022900</v>
      </c>
      <c r="P6" s="67">
        <f t="shared" si="1"/>
        <v>32841944.5</v>
      </c>
      <c r="Q6" s="67">
        <f t="shared" si="1"/>
        <v>32841944.5</v>
      </c>
      <c r="R6" s="28">
        <f t="shared" ref="R6:R33" si="3">Q6/P6*100</f>
        <v>100</v>
      </c>
      <c r="S6" s="67">
        <f t="shared" si="1"/>
        <v>33392826</v>
      </c>
      <c r="T6" s="67">
        <f t="shared" si="1"/>
        <v>0</v>
      </c>
      <c r="U6" s="67">
        <f t="shared" si="1"/>
        <v>778000</v>
      </c>
      <c r="V6" s="67">
        <f t="shared" si="1"/>
        <v>835036</v>
      </c>
      <c r="W6" s="28">
        <f t="shared" ref="W6:W33" si="4">V6/U6*100</f>
        <v>107.33110539845758</v>
      </c>
      <c r="X6" s="67">
        <f t="shared" si="1"/>
        <v>0</v>
      </c>
    </row>
    <row r="7" spans="1:24" s="6" customFormat="1" ht="9.9499999999999993" customHeight="1" x14ac:dyDescent="0.2">
      <c r="A7" s="34" t="s">
        <v>2</v>
      </c>
      <c r="B7" s="827" t="s">
        <v>47</v>
      </c>
      <c r="C7" s="828"/>
      <c r="D7" s="55" t="s">
        <v>25</v>
      </c>
      <c r="E7" s="70">
        <f t="shared" ref="E7:G10" si="5">SUM(J7,O7)</f>
        <v>5308000</v>
      </c>
      <c r="F7" s="71">
        <f t="shared" si="5"/>
        <v>4752562</v>
      </c>
      <c r="G7" s="71">
        <f t="shared" si="5"/>
        <v>4593264.49</v>
      </c>
      <c r="H7" s="10">
        <f t="shared" si="0"/>
        <v>96.648176078502502</v>
      </c>
      <c r="I7" s="72">
        <f>SUM(N7,S7)</f>
        <v>5403249</v>
      </c>
      <c r="J7" s="73">
        <v>5308000</v>
      </c>
      <c r="K7" s="74">
        <v>4737900</v>
      </c>
      <c r="L7" s="74">
        <v>4578602.49</v>
      </c>
      <c r="M7" s="10">
        <f t="shared" si="2"/>
        <v>96.637803457227889</v>
      </c>
      <c r="N7" s="74">
        <v>5384407</v>
      </c>
      <c r="O7" s="76"/>
      <c r="P7" s="74">
        <v>14662</v>
      </c>
      <c r="Q7" s="74">
        <v>14662</v>
      </c>
      <c r="R7" s="10">
        <f t="shared" si="3"/>
        <v>100</v>
      </c>
      <c r="S7" s="74">
        <v>18842</v>
      </c>
      <c r="T7" s="76"/>
      <c r="U7" s="74">
        <v>778000</v>
      </c>
      <c r="V7" s="74">
        <v>835036</v>
      </c>
      <c r="W7" s="10">
        <f t="shared" si="4"/>
        <v>107.33110539845758</v>
      </c>
      <c r="X7" s="122"/>
    </row>
    <row r="8" spans="1:24" s="6" customFormat="1" ht="9.9499999999999993" customHeight="1" x14ac:dyDescent="0.2">
      <c r="A8" s="35" t="s">
        <v>3</v>
      </c>
      <c r="B8" s="829" t="s">
        <v>48</v>
      </c>
      <c r="C8" s="830"/>
      <c r="D8" s="56" t="s">
        <v>25</v>
      </c>
      <c r="E8" s="77">
        <f t="shared" si="5"/>
        <v>30000</v>
      </c>
      <c r="F8" s="78">
        <f t="shared" si="5"/>
        <v>9000</v>
      </c>
      <c r="G8" s="78">
        <f t="shared" si="5"/>
        <v>9034.5</v>
      </c>
      <c r="H8" s="11">
        <f t="shared" si="0"/>
        <v>100.38333333333334</v>
      </c>
      <c r="I8" s="79">
        <f>SUM(N8,S8)</f>
        <v>20954</v>
      </c>
      <c r="J8" s="80">
        <v>30000</v>
      </c>
      <c r="K8" s="78">
        <v>9000</v>
      </c>
      <c r="L8" s="78">
        <v>9034.5</v>
      </c>
      <c r="M8" s="11">
        <f t="shared" si="2"/>
        <v>100.38333333333334</v>
      </c>
      <c r="N8" s="78">
        <v>20954</v>
      </c>
      <c r="O8" s="77"/>
      <c r="P8" s="78"/>
      <c r="Q8" s="78"/>
      <c r="R8" s="11" t="e">
        <f t="shared" si="3"/>
        <v>#DIV/0!</v>
      </c>
      <c r="S8" s="78"/>
      <c r="T8" s="77"/>
      <c r="U8" s="78"/>
      <c r="V8" s="78"/>
      <c r="W8" s="11" t="e">
        <f t="shared" si="4"/>
        <v>#DIV/0!</v>
      </c>
      <c r="X8" s="81"/>
    </row>
    <row r="9" spans="1:24" s="6" customFormat="1" ht="9.9499999999999993" customHeight="1" x14ac:dyDescent="0.2">
      <c r="A9" s="36" t="s">
        <v>4</v>
      </c>
      <c r="B9" s="44" t="s">
        <v>66</v>
      </c>
      <c r="C9" s="45"/>
      <c r="D9" s="57" t="s">
        <v>25</v>
      </c>
      <c r="E9" s="82">
        <f t="shared" si="5"/>
        <v>36941900</v>
      </c>
      <c r="F9" s="83">
        <f t="shared" si="5"/>
        <v>37366282.5</v>
      </c>
      <c r="G9" s="83">
        <f t="shared" si="5"/>
        <v>37366282.5</v>
      </c>
      <c r="H9" s="31">
        <f t="shared" si="0"/>
        <v>100</v>
      </c>
      <c r="I9" s="84">
        <f>SUM(N9,S9)</f>
        <v>38124984</v>
      </c>
      <c r="J9" s="85">
        <v>4919000</v>
      </c>
      <c r="K9" s="83">
        <v>4539000</v>
      </c>
      <c r="L9" s="83">
        <v>4539000</v>
      </c>
      <c r="M9" s="31">
        <f t="shared" si="2"/>
        <v>100</v>
      </c>
      <c r="N9" s="83">
        <v>4751000</v>
      </c>
      <c r="O9" s="82">
        <v>32022900</v>
      </c>
      <c r="P9" s="83">
        <v>32827282.5</v>
      </c>
      <c r="Q9" s="83">
        <v>32827282.5</v>
      </c>
      <c r="R9" s="31">
        <f t="shared" si="3"/>
        <v>100</v>
      </c>
      <c r="S9" s="83">
        <v>33373984</v>
      </c>
      <c r="T9" s="82"/>
      <c r="U9" s="83"/>
      <c r="V9" s="83"/>
      <c r="W9" s="31"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c r="J10" s="69"/>
      <c r="K10" s="87"/>
      <c r="L10" s="87"/>
      <c r="M10" s="28" t="e">
        <f t="shared" si="2"/>
        <v>#DIV/0!</v>
      </c>
      <c r="N10" s="88"/>
      <c r="O10" s="87"/>
      <c r="P10" s="87"/>
      <c r="Q10" s="87"/>
      <c r="R10" s="28" t="e">
        <f t="shared" si="3"/>
        <v>#DIV/0!</v>
      </c>
      <c r="S10" s="88"/>
      <c r="T10" s="87"/>
      <c r="U10" s="87"/>
      <c r="V10" s="87"/>
      <c r="W10" s="28" t="e">
        <f t="shared" si="4"/>
        <v>#DIV/0!</v>
      </c>
      <c r="X10" s="87"/>
    </row>
    <row r="11" spans="1:24" s="6" customFormat="1" ht="9.9499999999999993" customHeight="1" x14ac:dyDescent="0.2">
      <c r="A11" s="33" t="s">
        <v>6</v>
      </c>
      <c r="B11" s="826" t="s">
        <v>9</v>
      </c>
      <c r="C11" s="826"/>
      <c r="D11" s="23" t="s">
        <v>25</v>
      </c>
      <c r="E11" s="67">
        <f>SUM(E12:E30)</f>
        <v>42279900</v>
      </c>
      <c r="F11" s="67">
        <f>SUM(F12:F30)</f>
        <v>42231844.5</v>
      </c>
      <c r="G11" s="67">
        <f>SUM(G12:G30)</f>
        <v>41921336.170000002</v>
      </c>
      <c r="H11" s="28">
        <f t="shared" si="0"/>
        <v>99.264753094078088</v>
      </c>
      <c r="I11" s="68">
        <f>SUM(I12:I30)</f>
        <v>43264610</v>
      </c>
      <c r="J11" s="67">
        <f>SUM(J12:J30)</f>
        <v>10257000</v>
      </c>
      <c r="K11" s="67">
        <f>SUM(K12:K30)</f>
        <v>9389900</v>
      </c>
      <c r="L11" s="67">
        <f>SUM(L12:L30)</f>
        <v>9079391.6700000018</v>
      </c>
      <c r="M11" s="28">
        <f t="shared" si="2"/>
        <v>96.693166806888271</v>
      </c>
      <c r="N11" s="68">
        <f>SUM(N12:N30)</f>
        <v>9871784</v>
      </c>
      <c r="O11" s="67">
        <f>SUM(O12:O30)</f>
        <v>32022900</v>
      </c>
      <c r="P11" s="67">
        <f>SUM(P12:P30)</f>
        <v>32841944.5</v>
      </c>
      <c r="Q11" s="67">
        <f>SUM(Q12:Q30)</f>
        <v>32841944.5</v>
      </c>
      <c r="R11" s="28">
        <f t="shared" si="3"/>
        <v>100</v>
      </c>
      <c r="S11" s="68">
        <f>SUM(S12:S30)</f>
        <v>33392826</v>
      </c>
      <c r="T11" s="67">
        <f>SUM(T12:T30)</f>
        <v>0</v>
      </c>
      <c r="U11" s="67">
        <f>SUM(U12:U30)</f>
        <v>674000</v>
      </c>
      <c r="V11" s="67">
        <f>SUM(V12:V30)</f>
        <v>618343</v>
      </c>
      <c r="W11" s="28">
        <f t="shared" si="4"/>
        <v>91.742284866468836</v>
      </c>
      <c r="X11" s="67">
        <f>SUM(X12:X30)</f>
        <v>0</v>
      </c>
    </row>
    <row r="12" spans="1:24" s="6" customFormat="1" ht="9.9499999999999993" customHeight="1" x14ac:dyDescent="0.2">
      <c r="A12" s="37" t="s">
        <v>8</v>
      </c>
      <c r="B12" s="831" t="s">
        <v>28</v>
      </c>
      <c r="C12" s="832"/>
      <c r="D12" s="58" t="s">
        <v>25</v>
      </c>
      <c r="E12" s="70">
        <f t="shared" ref="E12:I27" si="6">SUM(J12,O12)</f>
        <v>5166900</v>
      </c>
      <c r="F12" s="71">
        <f t="shared" si="6"/>
        <v>4793200</v>
      </c>
      <c r="G12" s="71">
        <f t="shared" si="6"/>
        <v>4562539.8500000006</v>
      </c>
      <c r="H12" s="10">
        <f t="shared" si="0"/>
        <v>95.187762872402587</v>
      </c>
      <c r="I12" s="72">
        <f t="shared" si="6"/>
        <v>4895204</v>
      </c>
      <c r="J12" s="89">
        <v>4689000</v>
      </c>
      <c r="K12" s="90">
        <v>4539200</v>
      </c>
      <c r="L12" s="90">
        <v>4308583.66</v>
      </c>
      <c r="M12" s="10">
        <f t="shared" si="2"/>
        <v>94.919449682763485</v>
      </c>
      <c r="N12" s="90">
        <v>4651326</v>
      </c>
      <c r="O12" s="92">
        <v>477900</v>
      </c>
      <c r="P12" s="90">
        <v>254000</v>
      </c>
      <c r="Q12" s="90">
        <v>253956.19</v>
      </c>
      <c r="R12" s="10">
        <f t="shared" si="3"/>
        <v>99.982751968503933</v>
      </c>
      <c r="S12" s="90">
        <v>243878</v>
      </c>
      <c r="T12" s="92"/>
      <c r="U12" s="90">
        <v>55000</v>
      </c>
      <c r="V12" s="90">
        <v>48856</v>
      </c>
      <c r="W12" s="10">
        <f t="shared" si="4"/>
        <v>88.829090909090908</v>
      </c>
      <c r="X12" s="94"/>
    </row>
    <row r="13" spans="1:24" s="6" customFormat="1" ht="9.9499999999999993" customHeight="1" x14ac:dyDescent="0.2">
      <c r="A13" s="38" t="s">
        <v>10</v>
      </c>
      <c r="B13" s="815" t="s">
        <v>29</v>
      </c>
      <c r="C13" s="816"/>
      <c r="D13" s="56" t="s">
        <v>25</v>
      </c>
      <c r="E13" s="77">
        <f t="shared" si="6"/>
        <v>3400000</v>
      </c>
      <c r="F13" s="78">
        <f t="shared" si="6"/>
        <v>2110000</v>
      </c>
      <c r="G13" s="78">
        <f t="shared" si="6"/>
        <v>2090691.08</v>
      </c>
      <c r="H13" s="11">
        <f t="shared" si="0"/>
        <v>99.084885308056883</v>
      </c>
      <c r="I13" s="79">
        <f t="shared" si="6"/>
        <v>3227448</v>
      </c>
      <c r="J13" s="95">
        <v>3400000</v>
      </c>
      <c r="K13" s="78">
        <v>2110000</v>
      </c>
      <c r="L13" s="78">
        <v>2090691.08</v>
      </c>
      <c r="M13" s="11">
        <f t="shared" si="2"/>
        <v>99.084885308056883</v>
      </c>
      <c r="N13" s="78">
        <v>3227448</v>
      </c>
      <c r="O13" s="77"/>
      <c r="P13" s="78"/>
      <c r="Q13" s="78"/>
      <c r="R13" s="11" t="e">
        <f t="shared" si="3"/>
        <v>#DIV/0!</v>
      </c>
      <c r="S13" s="78"/>
      <c r="T13" s="77"/>
      <c r="U13" s="78">
        <v>490000</v>
      </c>
      <c r="V13" s="78">
        <v>452372</v>
      </c>
      <c r="W13" s="11">
        <f t="shared" si="4"/>
        <v>92.320816326530604</v>
      </c>
      <c r="X13" s="81"/>
    </row>
    <row r="14" spans="1:24" s="6" customFormat="1" ht="9.9499999999999993" customHeight="1" x14ac:dyDescent="0.2">
      <c r="A14" s="38" t="s">
        <v>11</v>
      </c>
      <c r="B14" s="46" t="s">
        <v>67</v>
      </c>
      <c r="C14" s="47"/>
      <c r="D14" s="56" t="s">
        <v>25</v>
      </c>
      <c r="E14" s="77">
        <f t="shared" si="6"/>
        <v>0</v>
      </c>
      <c r="F14" s="78">
        <f t="shared" si="6"/>
        <v>-81500</v>
      </c>
      <c r="G14" s="78">
        <f t="shared" si="6"/>
        <v>-81481</v>
      </c>
      <c r="H14" s="11">
        <f t="shared" si="0"/>
        <v>99.97668711656442</v>
      </c>
      <c r="I14" s="79">
        <f t="shared" si="6"/>
        <v>0</v>
      </c>
      <c r="J14" s="95"/>
      <c r="K14" s="78">
        <v>-81500</v>
      </c>
      <c r="L14" s="78">
        <v>-81481</v>
      </c>
      <c r="M14" s="11">
        <f t="shared" si="2"/>
        <v>99.97668711656442</v>
      </c>
      <c r="N14" s="78"/>
      <c r="O14" s="77"/>
      <c r="P14" s="78"/>
      <c r="Q14" s="78"/>
      <c r="R14" s="11" t="e">
        <f t="shared" si="3"/>
        <v>#DIV/0!</v>
      </c>
      <c r="S14" s="78"/>
      <c r="T14" s="77"/>
      <c r="U14" s="78"/>
      <c r="V14" s="78"/>
      <c r="W14" s="11" t="e">
        <f t="shared" si="4"/>
        <v>#DIV/0!</v>
      </c>
      <c r="X14" s="81"/>
    </row>
    <row r="15" spans="1:24" s="6" customFormat="1" ht="9.9499999999999993" customHeight="1" x14ac:dyDescent="0.2">
      <c r="A15" s="38" t="s">
        <v>12</v>
      </c>
      <c r="B15" s="815" t="s">
        <v>68</v>
      </c>
      <c r="C15" s="816"/>
      <c r="D15" s="56" t="s">
        <v>25</v>
      </c>
      <c r="E15" s="77">
        <f t="shared" si="6"/>
        <v>690000</v>
      </c>
      <c r="F15" s="78">
        <f t="shared" si="6"/>
        <v>605000</v>
      </c>
      <c r="G15" s="78">
        <f t="shared" si="6"/>
        <v>603518.38</v>
      </c>
      <c r="H15" s="11">
        <f t="shared" si="0"/>
        <v>99.755104132231409</v>
      </c>
      <c r="I15" s="79">
        <f t="shared" si="6"/>
        <v>633844</v>
      </c>
      <c r="J15" s="95">
        <v>690000</v>
      </c>
      <c r="K15" s="78">
        <v>605000</v>
      </c>
      <c r="L15" s="78">
        <v>603518.38</v>
      </c>
      <c r="M15" s="11">
        <f t="shared" si="2"/>
        <v>99.755104132231409</v>
      </c>
      <c r="N15" s="78">
        <v>633844</v>
      </c>
      <c r="O15" s="77"/>
      <c r="P15" s="78"/>
      <c r="Q15" s="78"/>
      <c r="R15" s="11" t="e">
        <f t="shared" si="3"/>
        <v>#DIV/0!</v>
      </c>
      <c r="S15" s="103"/>
      <c r="T15" s="77"/>
      <c r="U15" s="78">
        <v>31000</v>
      </c>
      <c r="V15" s="78">
        <v>23440</v>
      </c>
      <c r="W15" s="11">
        <f t="shared" si="4"/>
        <v>75.612903225806448</v>
      </c>
      <c r="X15" s="81"/>
    </row>
    <row r="16" spans="1:24" s="6" customFormat="1" ht="9.9499999999999993" customHeight="1" x14ac:dyDescent="0.2">
      <c r="A16" s="38" t="s">
        <v>13</v>
      </c>
      <c r="B16" s="815" t="s">
        <v>30</v>
      </c>
      <c r="C16" s="816"/>
      <c r="D16" s="56" t="s">
        <v>25</v>
      </c>
      <c r="E16" s="77">
        <f t="shared" si="6"/>
        <v>107000</v>
      </c>
      <c r="F16" s="78">
        <f t="shared" si="6"/>
        <v>118800</v>
      </c>
      <c r="G16" s="78">
        <f t="shared" si="6"/>
        <v>118709</v>
      </c>
      <c r="H16" s="11">
        <f t="shared" si="0"/>
        <v>99.923400673400678</v>
      </c>
      <c r="I16" s="79">
        <f t="shared" si="6"/>
        <v>94236</v>
      </c>
      <c r="J16" s="95">
        <v>25000</v>
      </c>
      <c r="K16" s="78">
        <v>8200</v>
      </c>
      <c r="L16" s="78">
        <v>8124</v>
      </c>
      <c r="M16" s="11">
        <f t="shared" si="2"/>
        <v>99.073170731707322</v>
      </c>
      <c r="N16" s="78">
        <v>8694</v>
      </c>
      <c r="O16" s="77">
        <v>82000</v>
      </c>
      <c r="P16" s="78">
        <v>110600</v>
      </c>
      <c r="Q16" s="78">
        <v>110585</v>
      </c>
      <c r="R16" s="11">
        <f t="shared" si="3"/>
        <v>99.986437613019902</v>
      </c>
      <c r="S16" s="103">
        <v>85542</v>
      </c>
      <c r="T16" s="77"/>
      <c r="U16" s="78"/>
      <c r="V16" s="78"/>
      <c r="W16" s="11" t="e">
        <f t="shared" si="4"/>
        <v>#DIV/0!</v>
      </c>
      <c r="X16" s="81"/>
    </row>
    <row r="17" spans="1:24" s="6" customFormat="1" ht="9.9499999999999993" customHeight="1" x14ac:dyDescent="0.2">
      <c r="A17" s="38" t="s">
        <v>14</v>
      </c>
      <c r="B17" s="46" t="s">
        <v>49</v>
      </c>
      <c r="C17" s="47"/>
      <c r="D17" s="56" t="s">
        <v>25</v>
      </c>
      <c r="E17" s="77">
        <f t="shared" si="6"/>
        <v>5000</v>
      </c>
      <c r="F17" s="78">
        <f t="shared" si="6"/>
        <v>5200</v>
      </c>
      <c r="G17" s="78">
        <f t="shared" si="6"/>
        <v>5145</v>
      </c>
      <c r="H17" s="11">
        <f t="shared" si="0"/>
        <v>98.942307692307693</v>
      </c>
      <c r="I17" s="79">
        <f t="shared" si="6"/>
        <v>6618</v>
      </c>
      <c r="J17" s="95">
        <v>5000</v>
      </c>
      <c r="K17" s="78">
        <v>5200</v>
      </c>
      <c r="L17" s="78">
        <v>5145</v>
      </c>
      <c r="M17" s="11">
        <f t="shared" si="2"/>
        <v>98.942307692307693</v>
      </c>
      <c r="N17" s="78">
        <v>6618</v>
      </c>
      <c r="O17" s="77"/>
      <c r="P17" s="78"/>
      <c r="Q17" s="78"/>
      <c r="R17" s="11" t="e">
        <f t="shared" si="3"/>
        <v>#DIV/0!</v>
      </c>
      <c r="S17" s="103"/>
      <c r="T17" s="77"/>
      <c r="U17" s="78"/>
      <c r="V17" s="78"/>
      <c r="W17" s="11" t="e">
        <f t="shared" si="4"/>
        <v>#DIV/0!</v>
      </c>
      <c r="X17" s="81"/>
    </row>
    <row r="18" spans="1:24" s="6" customFormat="1" ht="9.75" customHeight="1" x14ac:dyDescent="0.2">
      <c r="A18" s="38" t="s">
        <v>15</v>
      </c>
      <c r="B18" s="815" t="s">
        <v>31</v>
      </c>
      <c r="C18" s="816"/>
      <c r="D18" s="56" t="s">
        <v>25</v>
      </c>
      <c r="E18" s="77">
        <f t="shared" si="6"/>
        <v>685000</v>
      </c>
      <c r="F18" s="78">
        <f t="shared" si="6"/>
        <v>630900</v>
      </c>
      <c r="G18" s="78">
        <f t="shared" si="6"/>
        <v>610565.31999999995</v>
      </c>
      <c r="H18" s="11">
        <f t="shared" si="0"/>
        <v>96.776877476620697</v>
      </c>
      <c r="I18" s="79">
        <f t="shared" si="6"/>
        <v>655148</v>
      </c>
      <c r="J18" s="95">
        <v>625000</v>
      </c>
      <c r="K18" s="78">
        <v>564600</v>
      </c>
      <c r="L18" s="78">
        <v>544342.81999999995</v>
      </c>
      <c r="M18" s="11">
        <f t="shared" si="2"/>
        <v>96.412118313850499</v>
      </c>
      <c r="N18" s="78">
        <v>619948</v>
      </c>
      <c r="O18" s="77">
        <v>60000</v>
      </c>
      <c r="P18" s="78">
        <v>66300</v>
      </c>
      <c r="Q18" s="78">
        <v>66222.5</v>
      </c>
      <c r="R18" s="11">
        <f t="shared" si="3"/>
        <v>99.883107088989448</v>
      </c>
      <c r="S18" s="103">
        <v>35200</v>
      </c>
      <c r="T18" s="77"/>
      <c r="U18" s="78">
        <v>58000</v>
      </c>
      <c r="V18" s="78">
        <v>56875</v>
      </c>
      <c r="W18" s="11">
        <f t="shared" si="4"/>
        <v>98.060344827586206</v>
      </c>
      <c r="X18" s="81"/>
    </row>
    <row r="19" spans="1:24" s="12" customFormat="1" ht="9.9499999999999993" customHeight="1" x14ac:dyDescent="0.2">
      <c r="A19" s="39" t="s">
        <v>16</v>
      </c>
      <c r="B19" s="1184" t="s">
        <v>32</v>
      </c>
      <c r="C19" s="1185"/>
      <c r="D19" s="56" t="s">
        <v>25</v>
      </c>
      <c r="E19" s="102">
        <f t="shared" si="6"/>
        <v>23376200</v>
      </c>
      <c r="F19" s="103">
        <f t="shared" si="6"/>
        <v>24050519</v>
      </c>
      <c r="G19" s="103">
        <f t="shared" si="6"/>
        <v>24041734</v>
      </c>
      <c r="H19" s="11">
        <f t="shared" si="0"/>
        <v>99.963472721732117</v>
      </c>
      <c r="I19" s="99">
        <f t="shared" si="6"/>
        <v>24242532</v>
      </c>
      <c r="J19" s="336">
        <v>247200</v>
      </c>
      <c r="K19" s="103">
        <v>253200</v>
      </c>
      <c r="L19" s="103">
        <v>244415</v>
      </c>
      <c r="M19" s="11">
        <f t="shared" si="2"/>
        <v>96.530410742496059</v>
      </c>
      <c r="N19" s="103">
        <v>294993</v>
      </c>
      <c r="O19" s="102">
        <v>23129000</v>
      </c>
      <c r="P19" s="103">
        <v>23797319</v>
      </c>
      <c r="Q19" s="103">
        <v>23797319</v>
      </c>
      <c r="R19" s="11">
        <f t="shared" si="3"/>
        <v>100</v>
      </c>
      <c r="S19" s="103">
        <v>23947539</v>
      </c>
      <c r="T19" s="337"/>
      <c r="U19" s="338">
        <v>40000</v>
      </c>
      <c r="V19" s="338">
        <v>36800</v>
      </c>
      <c r="W19" s="11">
        <f t="shared" si="4"/>
        <v>92</v>
      </c>
      <c r="X19" s="322"/>
    </row>
    <row r="20" spans="1:24" s="6" customFormat="1" ht="9.9499999999999993" customHeight="1" x14ac:dyDescent="0.2">
      <c r="A20" s="39" t="s">
        <v>17</v>
      </c>
      <c r="B20" s="1184" t="s">
        <v>50</v>
      </c>
      <c r="C20" s="1185"/>
      <c r="D20" s="56" t="s">
        <v>25</v>
      </c>
      <c r="E20" s="102">
        <f t="shared" si="6"/>
        <v>7908188</v>
      </c>
      <c r="F20" s="103">
        <f t="shared" si="6"/>
        <v>8199657.5</v>
      </c>
      <c r="G20" s="103">
        <f t="shared" si="6"/>
        <v>8189446.4100000001</v>
      </c>
      <c r="H20" s="11">
        <f t="shared" si="0"/>
        <v>99.875469310760849</v>
      </c>
      <c r="I20" s="99">
        <f t="shared" si="6"/>
        <v>8147679</v>
      </c>
      <c r="J20" s="139">
        <v>46188</v>
      </c>
      <c r="K20" s="103">
        <v>46188</v>
      </c>
      <c r="L20" s="103">
        <v>35832</v>
      </c>
      <c r="M20" s="11">
        <f t="shared" si="2"/>
        <v>77.578591842036886</v>
      </c>
      <c r="N20" s="103">
        <v>54072</v>
      </c>
      <c r="O20" s="102">
        <v>7862000</v>
      </c>
      <c r="P20" s="103">
        <v>8153469.5</v>
      </c>
      <c r="Q20" s="103">
        <v>8153614.4100000001</v>
      </c>
      <c r="R20" s="11">
        <f t="shared" si="3"/>
        <v>100.00177728021183</v>
      </c>
      <c r="S20" s="103">
        <v>8093607</v>
      </c>
      <c r="T20" s="102"/>
      <c r="U20" s="103"/>
      <c r="V20" s="103"/>
      <c r="W20" s="11" t="e">
        <f t="shared" si="4"/>
        <v>#DIV/0!</v>
      </c>
      <c r="X20" s="104"/>
    </row>
    <row r="21" spans="1:24" s="6" customFormat="1" ht="9.9499999999999993" customHeight="1" x14ac:dyDescent="0.2">
      <c r="A21" s="39" t="s">
        <v>18</v>
      </c>
      <c r="B21" s="1184" t="s">
        <v>51</v>
      </c>
      <c r="C21" s="1185"/>
      <c r="D21" s="56" t="s">
        <v>25</v>
      </c>
      <c r="E21" s="102">
        <f t="shared" si="6"/>
        <v>237700</v>
      </c>
      <c r="F21" s="103">
        <f t="shared" si="6"/>
        <v>299156</v>
      </c>
      <c r="G21" s="103">
        <f t="shared" si="6"/>
        <v>298322.40000000002</v>
      </c>
      <c r="H21" s="11">
        <f t="shared" si="0"/>
        <v>99.721349396301605</v>
      </c>
      <c r="I21" s="99">
        <f t="shared" si="6"/>
        <v>294425</v>
      </c>
      <c r="J21" s="139">
        <v>5700</v>
      </c>
      <c r="K21" s="103">
        <v>5700</v>
      </c>
      <c r="L21" s="103">
        <v>4866</v>
      </c>
      <c r="M21" s="11">
        <f t="shared" si="2"/>
        <v>85.368421052631589</v>
      </c>
      <c r="N21" s="103">
        <v>5959</v>
      </c>
      <c r="O21" s="102">
        <v>232000</v>
      </c>
      <c r="P21" s="103">
        <v>293456</v>
      </c>
      <c r="Q21" s="103">
        <v>293456.40000000002</v>
      </c>
      <c r="R21" s="11">
        <f t="shared" si="3"/>
        <v>100.00013630663543</v>
      </c>
      <c r="S21" s="103">
        <v>288466</v>
      </c>
      <c r="T21" s="102"/>
      <c r="U21" s="103"/>
      <c r="V21" s="103"/>
      <c r="W21" s="11" t="e">
        <f t="shared" si="4"/>
        <v>#DIV/0!</v>
      </c>
      <c r="X21" s="104"/>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c r="K22" s="78"/>
      <c r="L22" s="78"/>
      <c r="M22" s="11" t="e">
        <f t="shared" si="2"/>
        <v>#DIV/0!</v>
      </c>
      <c r="N22" s="78"/>
      <c r="O22" s="77"/>
      <c r="P22" s="78"/>
      <c r="Q22" s="78"/>
      <c r="R22" s="11" t="e">
        <f t="shared" si="3"/>
        <v>#DIV/0!</v>
      </c>
      <c r="S22" s="78"/>
      <c r="T22" s="77"/>
      <c r="U22" s="78"/>
      <c r="V22" s="78"/>
      <c r="W22" s="11" t="e">
        <f t="shared" si="4"/>
        <v>#DIV/0!</v>
      </c>
      <c r="X22" s="81"/>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0</v>
      </c>
      <c r="J23" s="95"/>
      <c r="K23" s="78"/>
      <c r="L23" s="78"/>
      <c r="M23" s="11" t="e">
        <f t="shared" si="2"/>
        <v>#DIV/0!</v>
      </c>
      <c r="N23" s="78"/>
      <c r="O23" s="77"/>
      <c r="P23" s="78"/>
      <c r="Q23" s="78"/>
      <c r="R23" s="11" t="e">
        <f t="shared" si="3"/>
        <v>#DIV/0!</v>
      </c>
      <c r="S23" s="78"/>
      <c r="T23" s="77"/>
      <c r="U23" s="78"/>
      <c r="V23" s="78"/>
      <c r="W23" s="11"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8"/>
      <c r="O24" s="77"/>
      <c r="P24" s="78"/>
      <c r="Q24" s="78"/>
      <c r="R24" s="11" t="e">
        <f t="shared" si="3"/>
        <v>#DIV/0!</v>
      </c>
      <c r="S24" s="78"/>
      <c r="T24" s="77"/>
      <c r="U24" s="78"/>
      <c r="V24" s="78"/>
      <c r="W24" s="11" t="e">
        <f t="shared" si="4"/>
        <v>#DIV/0!</v>
      </c>
      <c r="X24" s="81"/>
    </row>
    <row r="25" spans="1:24" s="6" customFormat="1" ht="9.9499999999999993" customHeight="1" x14ac:dyDescent="0.2">
      <c r="A25" s="39" t="s">
        <v>22</v>
      </c>
      <c r="B25" s="48" t="s">
        <v>71</v>
      </c>
      <c r="C25" s="49"/>
      <c r="D25" s="56" t="s">
        <v>25</v>
      </c>
      <c r="E25" s="77">
        <f t="shared" si="6"/>
        <v>24000</v>
      </c>
      <c r="F25" s="78">
        <f t="shared" si="6"/>
        <v>22000</v>
      </c>
      <c r="G25" s="78">
        <f t="shared" si="6"/>
        <v>21770</v>
      </c>
      <c r="H25" s="11">
        <f t="shared" si="0"/>
        <v>98.954545454545453</v>
      </c>
      <c r="I25" s="79">
        <f t="shared" si="6"/>
        <v>25080</v>
      </c>
      <c r="J25" s="95">
        <v>24000</v>
      </c>
      <c r="K25" s="103">
        <v>22000</v>
      </c>
      <c r="L25" s="98">
        <v>21770</v>
      </c>
      <c r="M25" s="11">
        <f t="shared" si="2"/>
        <v>98.954545454545453</v>
      </c>
      <c r="N25" s="98">
        <v>25080</v>
      </c>
      <c r="O25" s="102"/>
      <c r="P25" s="103"/>
      <c r="Q25" s="98"/>
      <c r="R25" s="11" t="e">
        <f t="shared" si="3"/>
        <v>#DIV/0!</v>
      </c>
      <c r="S25" s="98"/>
      <c r="T25" s="100"/>
      <c r="U25" s="98"/>
      <c r="V25" s="98"/>
      <c r="W25" s="11" t="e">
        <f t="shared" si="4"/>
        <v>#DIV/0!</v>
      </c>
      <c r="X25" s="124"/>
    </row>
    <row r="26" spans="1:24" s="14" customFormat="1" ht="9.9499999999999993" customHeight="1" x14ac:dyDescent="0.2">
      <c r="A26" s="39" t="s">
        <v>23</v>
      </c>
      <c r="B26" s="1184" t="s">
        <v>72</v>
      </c>
      <c r="C26" s="1185"/>
      <c r="D26" s="56" t="s">
        <v>25</v>
      </c>
      <c r="E26" s="102">
        <f t="shared" si="6"/>
        <v>245000</v>
      </c>
      <c r="F26" s="103">
        <f t="shared" si="6"/>
        <v>245000</v>
      </c>
      <c r="G26" s="103">
        <f t="shared" si="6"/>
        <v>235535</v>
      </c>
      <c r="H26" s="15">
        <f t="shared" si="0"/>
        <v>96.136734693877543</v>
      </c>
      <c r="I26" s="99">
        <f t="shared" si="6"/>
        <v>184103</v>
      </c>
      <c r="J26" s="139">
        <v>245000</v>
      </c>
      <c r="K26" s="98">
        <v>245000</v>
      </c>
      <c r="L26" s="103">
        <v>235535</v>
      </c>
      <c r="M26" s="11">
        <f t="shared" si="2"/>
        <v>96.136734693877543</v>
      </c>
      <c r="N26" s="103">
        <v>184103</v>
      </c>
      <c r="O26" s="100"/>
      <c r="P26" s="98"/>
      <c r="Q26" s="103"/>
      <c r="R26" s="11" t="e">
        <f t="shared" si="3"/>
        <v>#DIV/0!</v>
      </c>
      <c r="S26" s="103"/>
      <c r="T26" s="120"/>
      <c r="U26" s="105"/>
      <c r="V26" s="105"/>
      <c r="W26" s="11" t="e">
        <f t="shared" si="4"/>
        <v>#DIV/0!</v>
      </c>
      <c r="X26" s="125"/>
    </row>
    <row r="27" spans="1:24" s="16" customFormat="1" ht="9.9499999999999993" customHeight="1" x14ac:dyDescent="0.2">
      <c r="A27" s="38" t="s">
        <v>45</v>
      </c>
      <c r="B27" s="46" t="s">
        <v>73</v>
      </c>
      <c r="C27" s="47"/>
      <c r="D27" s="56" t="s">
        <v>25</v>
      </c>
      <c r="E27" s="77">
        <f t="shared" si="6"/>
        <v>433000</v>
      </c>
      <c r="F27" s="78">
        <f t="shared" si="6"/>
        <v>1197000</v>
      </c>
      <c r="G27" s="78">
        <f t="shared" si="6"/>
        <v>1188784</v>
      </c>
      <c r="H27" s="15">
        <f t="shared" si="0"/>
        <v>99.313617376775269</v>
      </c>
      <c r="I27" s="79">
        <f t="shared" si="6"/>
        <v>845415</v>
      </c>
      <c r="J27" s="95">
        <v>253000</v>
      </c>
      <c r="K27" s="103">
        <v>1030200</v>
      </c>
      <c r="L27" s="103">
        <v>1021993</v>
      </c>
      <c r="M27" s="11">
        <f t="shared" si="2"/>
        <v>99.203358571151227</v>
      </c>
      <c r="N27" s="103">
        <v>146821</v>
      </c>
      <c r="O27" s="102">
        <v>180000</v>
      </c>
      <c r="P27" s="103">
        <v>166800</v>
      </c>
      <c r="Q27" s="103">
        <v>166791</v>
      </c>
      <c r="R27" s="11">
        <f t="shared" si="3"/>
        <v>99.99460431654677</v>
      </c>
      <c r="S27" s="103">
        <v>698594</v>
      </c>
      <c r="T27" s="120"/>
      <c r="U27" s="105"/>
      <c r="V27" s="105"/>
      <c r="W27" s="11" t="e">
        <f t="shared" si="4"/>
        <v>#DIV/0!</v>
      </c>
      <c r="X27" s="125"/>
    </row>
    <row r="28" spans="1:24" s="14" customFormat="1" ht="9.9499999999999993" customHeight="1" x14ac:dyDescent="0.2">
      <c r="A28" s="38" t="s">
        <v>53</v>
      </c>
      <c r="B28" s="815" t="s">
        <v>74</v>
      </c>
      <c r="C28" s="816"/>
      <c r="D28" s="56" t="s">
        <v>25</v>
      </c>
      <c r="E28" s="77">
        <f t="shared" ref="E28:G30" si="7">SUM(J28,O28)</f>
        <v>1226</v>
      </c>
      <c r="F28" s="78">
        <f t="shared" si="7"/>
        <v>36226</v>
      </c>
      <c r="G28" s="78">
        <f t="shared" si="7"/>
        <v>36056.730000000003</v>
      </c>
      <c r="H28" s="15">
        <f t="shared" si="0"/>
        <v>99.532738916800099</v>
      </c>
      <c r="I28" s="79">
        <f>SUM(N28,S28)</f>
        <v>12878</v>
      </c>
      <c r="J28" s="95">
        <v>1226</v>
      </c>
      <c r="K28" s="103">
        <v>36226</v>
      </c>
      <c r="L28" s="103">
        <v>36056.730000000003</v>
      </c>
      <c r="M28" s="11">
        <f t="shared" si="2"/>
        <v>99.532738916800099</v>
      </c>
      <c r="N28" s="103">
        <v>12878</v>
      </c>
      <c r="O28" s="102"/>
      <c r="P28" s="103"/>
      <c r="Q28" s="103"/>
      <c r="R28" s="11" t="e">
        <f t="shared" si="3"/>
        <v>#DIV/0!</v>
      </c>
      <c r="S28" s="103"/>
      <c r="T28" s="120"/>
      <c r="U28" s="105"/>
      <c r="V28" s="105"/>
      <c r="W28" s="11" t="e">
        <f t="shared" si="4"/>
        <v>#DIV/0!</v>
      </c>
      <c r="X28" s="125"/>
    </row>
    <row r="29" spans="1:24" s="6" customFormat="1" ht="9.75" x14ac:dyDescent="0.2">
      <c r="A29" s="38" t="s">
        <v>54</v>
      </c>
      <c r="B29" s="46" t="s">
        <v>55</v>
      </c>
      <c r="C29" s="47"/>
      <c r="D29" s="56" t="s">
        <v>25</v>
      </c>
      <c r="E29" s="77">
        <f t="shared" si="7"/>
        <v>686</v>
      </c>
      <c r="F29" s="78">
        <f t="shared" si="7"/>
        <v>686</v>
      </c>
      <c r="G29" s="78">
        <f t="shared" si="7"/>
        <v>0</v>
      </c>
      <c r="H29" s="15">
        <f t="shared" si="0"/>
        <v>0</v>
      </c>
      <c r="I29" s="79">
        <f>SUM(N29,S29)</f>
        <v>0</v>
      </c>
      <c r="J29" s="95">
        <v>686</v>
      </c>
      <c r="K29" s="103">
        <v>686</v>
      </c>
      <c r="L29" s="103"/>
      <c r="M29" s="11">
        <f t="shared" si="2"/>
        <v>0</v>
      </c>
      <c r="N29" s="103"/>
      <c r="O29" s="102"/>
      <c r="P29" s="103"/>
      <c r="Q29" s="103"/>
      <c r="R29" s="11" t="e">
        <f t="shared" si="3"/>
        <v>#DIV/0!</v>
      </c>
      <c r="S29" s="103"/>
      <c r="T29" s="120"/>
      <c r="U29" s="105"/>
      <c r="V29" s="105"/>
      <c r="W29" s="11" t="e">
        <f t="shared" si="4"/>
        <v>#DIV/0!</v>
      </c>
      <c r="X29" s="125"/>
    </row>
    <row r="30" spans="1:24" s="27" customFormat="1" ht="9.75" x14ac:dyDescent="0.2">
      <c r="A30" s="40" t="s">
        <v>56</v>
      </c>
      <c r="B30" s="44" t="s">
        <v>75</v>
      </c>
      <c r="C30" s="50"/>
      <c r="D30" s="59" t="s">
        <v>25</v>
      </c>
      <c r="E30" s="82">
        <f t="shared" si="7"/>
        <v>0</v>
      </c>
      <c r="F30" s="83">
        <f t="shared" si="7"/>
        <v>0</v>
      </c>
      <c r="G30" s="83">
        <f t="shared" si="7"/>
        <v>0</v>
      </c>
      <c r="H30" s="17" t="e">
        <f t="shared" si="0"/>
        <v>#DIV/0!</v>
      </c>
      <c r="I30" s="84">
        <f>SUM(N30,S30)</f>
        <v>0</v>
      </c>
      <c r="J30" s="95"/>
      <c r="K30" s="103"/>
      <c r="L30" s="107"/>
      <c r="M30" s="31" t="e">
        <f t="shared" si="2"/>
        <v>#DIV/0!</v>
      </c>
      <c r="N30" s="107"/>
      <c r="O30" s="102"/>
      <c r="P30" s="103"/>
      <c r="Q30" s="107"/>
      <c r="R30" s="31" t="e">
        <f t="shared" si="3"/>
        <v>#DIV/0!</v>
      </c>
      <c r="S30" s="107"/>
      <c r="T30" s="121"/>
      <c r="U30" s="110"/>
      <c r="V30" s="110"/>
      <c r="W30" s="31" t="e">
        <f t="shared" si="4"/>
        <v>#DIV/0!</v>
      </c>
      <c r="X30" s="126"/>
    </row>
    <row r="31" spans="1:24" s="27" customFormat="1" ht="9.75" x14ac:dyDescent="0.2">
      <c r="A31" s="33" t="s">
        <v>57</v>
      </c>
      <c r="B31" s="817" t="s">
        <v>58</v>
      </c>
      <c r="C31" s="818"/>
      <c r="D31" s="22" t="s">
        <v>25</v>
      </c>
      <c r="E31" s="67">
        <f>SUM(E6-E11)</f>
        <v>0</v>
      </c>
      <c r="F31" s="67">
        <f>SUM(F6-F11)</f>
        <v>-104000</v>
      </c>
      <c r="G31" s="67">
        <f>SUM(G6-G11)</f>
        <v>47245.320000000298</v>
      </c>
      <c r="H31" s="29">
        <f t="shared" si="0"/>
        <v>-45.428192307692598</v>
      </c>
      <c r="I31" s="68">
        <f>SUM(I6-I11)</f>
        <v>284577</v>
      </c>
      <c r="J31" s="68">
        <f>SUM(J6-J11)</f>
        <v>0</v>
      </c>
      <c r="K31" s="68">
        <f>SUM(K6-K11)</f>
        <v>-104000</v>
      </c>
      <c r="L31" s="67">
        <f>SUM(L6-L11)</f>
        <v>47245.319999998435</v>
      </c>
      <c r="M31" s="21">
        <f t="shared" si="2"/>
        <v>-45.4281923076908</v>
      </c>
      <c r="N31" s="68">
        <f>SUM(N6-N11)</f>
        <v>284577</v>
      </c>
      <c r="O31" s="67">
        <f>SUM(O6-O11)</f>
        <v>0</v>
      </c>
      <c r="P31" s="67">
        <f>SUM(P6-P11)</f>
        <v>0</v>
      </c>
      <c r="Q31" s="67">
        <f>SUM(Q6-Q11)</f>
        <v>0</v>
      </c>
      <c r="R31" s="21" t="e">
        <f t="shared" si="3"/>
        <v>#DIV/0!</v>
      </c>
      <c r="S31" s="68">
        <f>SUM(S6-S11)</f>
        <v>0</v>
      </c>
      <c r="T31" s="67">
        <f>SUM(T6-T11)</f>
        <v>0</v>
      </c>
      <c r="U31" s="67">
        <f>SUM(U6-U11)</f>
        <v>104000</v>
      </c>
      <c r="V31" s="67">
        <f>SUM(V6-V11)</f>
        <v>216693</v>
      </c>
      <c r="W31" s="21">
        <f t="shared" si="4"/>
        <v>208.35865384615383</v>
      </c>
      <c r="X31" s="67">
        <f>SUM(X6-X11)</f>
        <v>0</v>
      </c>
    </row>
    <row r="32" spans="1:24" s="27" customFormat="1" ht="9.75" x14ac:dyDescent="0.2">
      <c r="A32" s="41" t="s">
        <v>59</v>
      </c>
      <c r="B32" s="60" t="s">
        <v>76</v>
      </c>
      <c r="C32" s="61"/>
      <c r="D32" s="22" t="s">
        <v>25</v>
      </c>
      <c r="E32" s="130">
        <f>SUM(J32,O32)</f>
        <v>0</v>
      </c>
      <c r="F32" s="131">
        <f>SUM(K32,P32)</f>
        <v>0</v>
      </c>
      <c r="G32" s="131">
        <f>SUM(L32,Q32)</f>
        <v>0</v>
      </c>
      <c r="H32" s="26" t="e">
        <f t="shared" si="0"/>
        <v>#DIV/0!</v>
      </c>
      <c r="I32" s="132">
        <f>SUM(N32,S32)</f>
        <v>0</v>
      </c>
      <c r="J32" s="112"/>
      <c r="K32" s="113"/>
      <c r="L32" s="113"/>
      <c r="M32" s="9" t="e">
        <f t="shared" si="2"/>
        <v>#DIV/0!</v>
      </c>
      <c r="N32" s="114"/>
      <c r="O32" s="121"/>
      <c r="P32" s="110"/>
      <c r="Q32" s="113"/>
      <c r="R32" s="9" t="e">
        <f t="shared" si="3"/>
        <v>#DIV/0!</v>
      </c>
      <c r="S32" s="114"/>
      <c r="T32" s="115"/>
      <c r="U32" s="113"/>
      <c r="V32" s="113"/>
      <c r="W32" s="9" t="e">
        <f t="shared" si="4"/>
        <v>#DIV/0!</v>
      </c>
      <c r="X32" s="116"/>
    </row>
    <row r="33" spans="1:24" s="27" customFormat="1" ht="9.75" x14ac:dyDescent="0.2">
      <c r="A33" s="33" t="s">
        <v>60</v>
      </c>
      <c r="B33" s="24" t="s">
        <v>61</v>
      </c>
      <c r="C33" s="25"/>
      <c r="D33" s="22" t="s">
        <v>25</v>
      </c>
      <c r="E33" s="67">
        <f>E31-E32</f>
        <v>0</v>
      </c>
      <c r="F33" s="67">
        <f>F31-F32</f>
        <v>-104000</v>
      </c>
      <c r="G33" s="67">
        <f>G31-G32</f>
        <v>47245.320000000298</v>
      </c>
      <c r="H33" s="29">
        <f t="shared" si="0"/>
        <v>-45.428192307692598</v>
      </c>
      <c r="I33" s="68">
        <f>I31-I32</f>
        <v>284577</v>
      </c>
      <c r="J33" s="67">
        <f>J31-J32</f>
        <v>0</v>
      </c>
      <c r="K33" s="67">
        <f>K31-K32</f>
        <v>-104000</v>
      </c>
      <c r="L33" s="67">
        <f>L31-L32</f>
        <v>47245.319999998435</v>
      </c>
      <c r="M33" s="21">
        <f t="shared" si="2"/>
        <v>-45.4281923076908</v>
      </c>
      <c r="N33" s="68">
        <f>N31-N32</f>
        <v>284577</v>
      </c>
      <c r="O33" s="67">
        <f>O31-O32</f>
        <v>0</v>
      </c>
      <c r="P33" s="67">
        <f>P31-P32</f>
        <v>0</v>
      </c>
      <c r="Q33" s="67">
        <f>Q31-Q32</f>
        <v>0</v>
      </c>
      <c r="R33" s="21" t="e">
        <f t="shared" si="3"/>
        <v>#DIV/0!</v>
      </c>
      <c r="S33" s="68">
        <f>S31-S32</f>
        <v>0</v>
      </c>
      <c r="T33" s="67">
        <f>T31-T32</f>
        <v>0</v>
      </c>
      <c r="U33" s="67">
        <f>U31-U32</f>
        <v>104000</v>
      </c>
      <c r="V33" s="67">
        <f>V31-V32</f>
        <v>216693</v>
      </c>
      <c r="W33" s="21">
        <f t="shared" si="4"/>
        <v>208.35865384615383</v>
      </c>
      <c r="X33" s="67">
        <f>X31-X32</f>
        <v>0</v>
      </c>
    </row>
    <row r="34" spans="1:24" s="4" customFormat="1" ht="9" x14ac:dyDescent="0.2">
      <c r="A34" s="42" t="s">
        <v>62</v>
      </c>
      <c r="B34" s="813" t="s">
        <v>24</v>
      </c>
      <c r="C34" s="814"/>
      <c r="D34" s="62" t="s">
        <v>25</v>
      </c>
      <c r="E34" s="253">
        <f>E19/E35/12</f>
        <v>22390.996168582376</v>
      </c>
      <c r="F34" s="253">
        <f>F19/F35/12</f>
        <v>23036.895593869733</v>
      </c>
      <c r="G34" s="253">
        <f>G19/G35/12</f>
        <v>23028.480842911875</v>
      </c>
      <c r="H34" s="13">
        <f t="shared" si="0"/>
        <v>99.963472721732103</v>
      </c>
      <c r="I34" s="254">
        <v>23221</v>
      </c>
      <c r="J34" s="804"/>
      <c r="K34" s="805"/>
      <c r="L34" s="805"/>
      <c r="M34" s="805"/>
      <c r="N34" s="805"/>
      <c r="O34" s="805"/>
      <c r="P34" s="805"/>
      <c r="Q34" s="805"/>
      <c r="R34" s="805"/>
      <c r="S34" s="805"/>
      <c r="T34" s="805"/>
      <c r="U34" s="805"/>
      <c r="V34" s="805"/>
      <c r="W34" s="805"/>
      <c r="X34" s="806"/>
    </row>
    <row r="35" spans="1:24" s="4" customFormat="1" ht="9" x14ac:dyDescent="0.2">
      <c r="A35" s="32" t="s">
        <v>63</v>
      </c>
      <c r="B35" s="797" t="s">
        <v>33</v>
      </c>
      <c r="C35" s="798"/>
      <c r="D35" s="63" t="s">
        <v>26</v>
      </c>
      <c r="E35" s="255">
        <v>87</v>
      </c>
      <c r="F35" s="256">
        <v>87</v>
      </c>
      <c r="G35" s="256">
        <v>87</v>
      </c>
      <c r="H35" s="15">
        <f t="shared" si="0"/>
        <v>100</v>
      </c>
      <c r="I35" s="257">
        <v>87</v>
      </c>
      <c r="J35" s="804"/>
      <c r="K35" s="805"/>
      <c r="L35" s="805"/>
      <c r="M35" s="805"/>
      <c r="N35" s="805"/>
      <c r="O35" s="805"/>
      <c r="P35" s="805"/>
      <c r="Q35" s="805"/>
      <c r="R35" s="805"/>
      <c r="S35" s="805"/>
      <c r="T35" s="805"/>
      <c r="U35" s="805"/>
      <c r="V35" s="805"/>
      <c r="W35" s="805"/>
      <c r="X35" s="806"/>
    </row>
    <row r="36" spans="1:24" s="4" customFormat="1" ht="9" x14ac:dyDescent="0.2">
      <c r="A36" s="43" t="s">
        <v>64</v>
      </c>
      <c r="B36" s="799" t="s">
        <v>27</v>
      </c>
      <c r="C36" s="800"/>
      <c r="D36" s="64" t="s">
        <v>26</v>
      </c>
      <c r="E36" s="258">
        <v>90</v>
      </c>
      <c r="F36" s="259">
        <v>90</v>
      </c>
      <c r="G36" s="259">
        <v>90</v>
      </c>
      <c r="H36" s="17">
        <f t="shared" si="0"/>
        <v>100</v>
      </c>
      <c r="I36" s="260">
        <v>91</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117"/>
      <c r="K37" s="118"/>
      <c r="L37" s="118"/>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3:A5"/>
    <mergeCell ref="O3:S3"/>
    <mergeCell ref="P4:R4"/>
    <mergeCell ref="B3:C5"/>
    <mergeCell ref="J4:J5"/>
    <mergeCell ref="E3:I3"/>
    <mergeCell ref="F4:H4"/>
    <mergeCell ref="E4:E5"/>
    <mergeCell ref="I4:I5"/>
    <mergeCell ref="D3:D5"/>
    <mergeCell ref="T4:T5"/>
    <mergeCell ref="U4:W4"/>
    <mergeCell ref="X4:X5"/>
    <mergeCell ref="T3:X3"/>
    <mergeCell ref="K4:M4"/>
    <mergeCell ref="N4:N5"/>
    <mergeCell ref="S4:S5"/>
    <mergeCell ref="O4:O5"/>
    <mergeCell ref="J3:N3"/>
    <mergeCell ref="B18:C18"/>
    <mergeCell ref="B19:C19"/>
    <mergeCell ref="B20:C20"/>
    <mergeCell ref="B6:C6"/>
    <mergeCell ref="B7:C7"/>
    <mergeCell ref="B8:C8"/>
    <mergeCell ref="B10:C10"/>
    <mergeCell ref="B11:C11"/>
    <mergeCell ref="A1:X1"/>
    <mergeCell ref="J34:X36"/>
    <mergeCell ref="B35:C35"/>
    <mergeCell ref="B36:C36"/>
    <mergeCell ref="E37:I37"/>
    <mergeCell ref="N37:X37"/>
    <mergeCell ref="B21:C21"/>
    <mergeCell ref="B22:C22"/>
    <mergeCell ref="B26:C26"/>
    <mergeCell ref="B28:C28"/>
    <mergeCell ref="B12:C12"/>
    <mergeCell ref="B31:C31"/>
    <mergeCell ref="B34:C34"/>
    <mergeCell ref="B13:C13"/>
    <mergeCell ref="B15:C15"/>
    <mergeCell ref="B16:C16"/>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7"/>
  <sheetViews>
    <sheetView tabSelected="1" zoomScaleNormal="100" workbookViewId="0"/>
  </sheetViews>
  <sheetFormatPr defaultRowHeight="12.75" x14ac:dyDescent="0.2"/>
  <cols>
    <col min="1" max="1" width="58" style="128" customWidth="1"/>
    <col min="2" max="2" width="33.5" style="128" customWidth="1"/>
    <col min="3" max="5" width="25.75" style="128" customWidth="1"/>
    <col min="6" max="6" width="22.75" style="128" customWidth="1"/>
    <col min="7" max="9" width="10" style="128"/>
  </cols>
  <sheetData>
    <row r="1" spans="1:9" ht="18.75" x14ac:dyDescent="0.3">
      <c r="A1" s="129" t="s">
        <v>101</v>
      </c>
      <c r="B1" s="127"/>
      <c r="C1" s="127"/>
      <c r="D1" s="127"/>
      <c r="E1" s="127"/>
      <c r="F1" s="127"/>
      <c r="G1" s="127"/>
      <c r="H1" s="127"/>
      <c r="I1" s="127"/>
    </row>
    <row r="3" spans="1:9" s="175" customFormat="1" ht="10.5" x14ac:dyDescent="0.15">
      <c r="A3" s="750" t="s">
        <v>133</v>
      </c>
      <c r="B3" s="750"/>
      <c r="C3" s="750"/>
      <c r="D3" s="750"/>
      <c r="E3" s="750"/>
      <c r="F3" s="750"/>
      <c r="G3" s="750"/>
      <c r="H3" s="750"/>
      <c r="I3" s="750"/>
    </row>
    <row r="4" spans="1:9" s="176" customFormat="1" ht="11.25" x14ac:dyDescent="0.2"/>
    <row r="5" spans="1:9" s="177" customFormat="1" ht="9.75" x14ac:dyDescent="0.2">
      <c r="A5" s="751" t="s">
        <v>77</v>
      </c>
      <c r="B5" s="752"/>
      <c r="C5" s="547" t="s">
        <v>25</v>
      </c>
      <c r="D5" s="753" t="s">
        <v>281</v>
      </c>
      <c r="E5" s="753"/>
      <c r="F5" s="753"/>
      <c r="G5" s="753"/>
      <c r="H5" s="753"/>
      <c r="I5" s="753"/>
    </row>
    <row r="6" spans="1:9" s="176" customFormat="1" ht="15" customHeight="1" x14ac:dyDescent="0.2">
      <c r="A6" s="754" t="s">
        <v>134</v>
      </c>
      <c r="B6" s="754"/>
      <c r="C6" s="193">
        <f>SUM(C7:C9)</f>
        <v>410872.81</v>
      </c>
      <c r="D6" s="755"/>
      <c r="E6" s="756"/>
      <c r="F6" s="756"/>
      <c r="G6" s="756"/>
      <c r="H6" s="756"/>
      <c r="I6" s="756"/>
    </row>
    <row r="7" spans="1:9" s="176" customFormat="1" ht="15" customHeight="1" x14ac:dyDescent="0.2">
      <c r="A7" s="745" t="s">
        <v>78</v>
      </c>
      <c r="B7" s="746"/>
      <c r="C7" s="178">
        <v>225250.72</v>
      </c>
      <c r="D7" s="875" t="s">
        <v>593</v>
      </c>
      <c r="E7" s="875"/>
      <c r="F7" s="875"/>
      <c r="G7" s="875"/>
      <c r="H7" s="875"/>
      <c r="I7" s="875"/>
    </row>
    <row r="8" spans="1:9" s="175" customFormat="1" ht="34.5" customHeight="1" x14ac:dyDescent="0.15">
      <c r="A8" s="764" t="s">
        <v>113</v>
      </c>
      <c r="B8" s="765"/>
      <c r="C8" s="179">
        <v>185622.09</v>
      </c>
      <c r="D8" s="875" t="s">
        <v>594</v>
      </c>
      <c r="E8" s="875"/>
      <c r="F8" s="875"/>
      <c r="G8" s="875"/>
      <c r="H8" s="875"/>
      <c r="I8" s="875"/>
    </row>
    <row r="9" spans="1:9" s="175" customFormat="1" ht="15" customHeight="1" x14ac:dyDescent="0.15">
      <c r="A9" s="764" t="s">
        <v>114</v>
      </c>
      <c r="B9" s="765"/>
      <c r="C9" s="179">
        <v>0</v>
      </c>
      <c r="D9" s="778"/>
      <c r="E9" s="779"/>
      <c r="F9" s="779"/>
      <c r="G9" s="779"/>
      <c r="H9" s="779"/>
      <c r="I9" s="780"/>
    </row>
    <row r="10" spans="1:9" s="176" customFormat="1" ht="11.25" x14ac:dyDescent="0.2">
      <c r="C10" s="180"/>
    </row>
    <row r="11" spans="1:9" s="176" customFormat="1" ht="11.25" x14ac:dyDescent="0.2">
      <c r="A11" s="750" t="s">
        <v>135</v>
      </c>
      <c r="B11" s="750"/>
      <c r="C11" s="750"/>
      <c r="D11" s="750"/>
      <c r="E11" s="750"/>
      <c r="F11" s="750"/>
      <c r="G11" s="750"/>
      <c r="H11" s="750"/>
      <c r="I11" s="750"/>
    </row>
    <row r="12" spans="1:9" s="176" customFormat="1" ht="11.25" x14ac:dyDescent="0.2">
      <c r="C12" s="180"/>
      <c r="D12" s="216"/>
      <c r="E12" s="216"/>
      <c r="F12" s="216"/>
      <c r="G12" s="216"/>
      <c r="H12" s="216"/>
      <c r="I12" s="216"/>
    </row>
    <row r="13" spans="1:9" s="181" customFormat="1" ht="9.75" x14ac:dyDescent="0.2">
      <c r="A13" s="547" t="s">
        <v>77</v>
      </c>
      <c r="B13" s="547" t="s">
        <v>79</v>
      </c>
      <c r="C13" s="547" t="s">
        <v>25</v>
      </c>
      <c r="D13" s="407"/>
      <c r="E13" s="408"/>
      <c r="F13" s="408"/>
      <c r="G13" s="408"/>
      <c r="H13" s="408"/>
      <c r="I13" s="408"/>
    </row>
    <row r="14" spans="1:9" s="176" customFormat="1" ht="15" customHeight="1" x14ac:dyDescent="0.2">
      <c r="A14" s="182" t="s">
        <v>136</v>
      </c>
      <c r="B14" s="409"/>
      <c r="C14" s="205">
        <v>0</v>
      </c>
      <c r="D14" s="410"/>
      <c r="E14" s="411"/>
      <c r="F14" s="411"/>
      <c r="G14" s="411"/>
      <c r="H14" s="411"/>
      <c r="I14" s="411"/>
    </row>
    <row r="15" spans="1:9" s="176" customFormat="1" ht="15" customHeight="1" x14ac:dyDescent="0.2">
      <c r="A15" s="783" t="s">
        <v>137</v>
      </c>
      <c r="B15" s="184" t="s">
        <v>80</v>
      </c>
      <c r="C15" s="185">
        <v>410872.81</v>
      </c>
      <c r="D15" s="412"/>
      <c r="E15" s="413"/>
      <c r="F15" s="413"/>
      <c r="G15" s="413"/>
      <c r="H15" s="413"/>
      <c r="I15" s="413"/>
    </row>
    <row r="16" spans="1:9" s="176" customFormat="1" ht="15" customHeight="1" x14ac:dyDescent="0.2">
      <c r="A16" s="784"/>
      <c r="B16" s="183" t="s">
        <v>81</v>
      </c>
      <c r="C16" s="414">
        <v>0</v>
      </c>
      <c r="D16" s="415"/>
      <c r="E16" s="416"/>
      <c r="F16" s="416"/>
      <c r="G16" s="416"/>
      <c r="H16" s="416"/>
      <c r="I16" s="416"/>
    </row>
    <row r="17" spans="1:9" s="176" customFormat="1" ht="15" customHeight="1" x14ac:dyDescent="0.2">
      <c r="A17" s="548" t="s">
        <v>134</v>
      </c>
      <c r="B17" s="417"/>
      <c r="C17" s="423">
        <f>SUM(C14:C16)</f>
        <v>410872.81</v>
      </c>
      <c r="D17" s="418"/>
      <c r="E17" s="418"/>
      <c r="F17" s="418"/>
      <c r="G17" s="418"/>
      <c r="H17" s="418"/>
      <c r="I17" s="418"/>
    </row>
    <row r="18" spans="1:9" s="206" customFormat="1" ht="11.25" x14ac:dyDescent="0.2">
      <c r="A18" s="419"/>
      <c r="C18" s="232"/>
      <c r="D18" s="420"/>
      <c r="E18" s="420"/>
      <c r="F18" s="420"/>
      <c r="G18" s="420"/>
      <c r="H18" s="420"/>
      <c r="I18" s="420"/>
    </row>
    <row r="19" spans="1:9" s="176" customFormat="1" ht="11.25" x14ac:dyDescent="0.2">
      <c r="A19" s="750" t="s">
        <v>138</v>
      </c>
      <c r="B19" s="750"/>
      <c r="C19" s="750"/>
      <c r="D19" s="750"/>
      <c r="E19" s="750"/>
      <c r="F19" s="750"/>
      <c r="G19" s="750"/>
      <c r="H19" s="750"/>
      <c r="I19" s="750"/>
    </row>
    <row r="20" spans="1:9" s="176" customFormat="1" ht="11.25" x14ac:dyDescent="0.2">
      <c r="C20" s="180"/>
    </row>
    <row r="21" spans="1:9" s="188" customFormat="1" ht="9.75" x14ac:dyDescent="0.2">
      <c r="A21" s="547" t="s">
        <v>79</v>
      </c>
      <c r="B21" s="547" t="s">
        <v>139</v>
      </c>
      <c r="C21" s="549" t="s">
        <v>140</v>
      </c>
      <c r="D21" s="547" t="s">
        <v>141</v>
      </c>
      <c r="E21" s="547" t="s">
        <v>142</v>
      </c>
      <c r="F21" s="753" t="s">
        <v>115</v>
      </c>
      <c r="G21" s="753"/>
      <c r="H21" s="753"/>
      <c r="I21" s="753"/>
    </row>
    <row r="22" spans="1:9" s="176" customFormat="1" ht="42" customHeight="1" x14ac:dyDescent="0.2">
      <c r="A22" s="187" t="s">
        <v>116</v>
      </c>
      <c r="B22" s="189">
        <v>214575.91</v>
      </c>
      <c r="C22" s="189">
        <v>39795.019999999997</v>
      </c>
      <c r="D22" s="189">
        <v>238575</v>
      </c>
      <c r="E22" s="189">
        <v>48795.93</v>
      </c>
      <c r="F22" s="1177" t="s">
        <v>639</v>
      </c>
      <c r="G22" s="1178"/>
      <c r="H22" s="1178"/>
      <c r="I22" s="1179"/>
    </row>
    <row r="23" spans="1:9" s="176" customFormat="1" ht="54" customHeight="1" x14ac:dyDescent="0.2">
      <c r="A23" s="184" t="s">
        <v>143</v>
      </c>
      <c r="B23" s="190">
        <v>731769.43</v>
      </c>
      <c r="C23" s="190">
        <v>569900.6</v>
      </c>
      <c r="D23" s="190">
        <v>0</v>
      </c>
      <c r="E23" s="190">
        <f>B23+C23-D23</f>
        <v>1301670.03</v>
      </c>
      <c r="F23" s="788" t="s">
        <v>595</v>
      </c>
      <c r="G23" s="757"/>
      <c r="H23" s="757"/>
      <c r="I23" s="758"/>
    </row>
    <row r="24" spans="1:9" s="176" customFormat="1" ht="15" customHeight="1" x14ac:dyDescent="0.2">
      <c r="A24" s="184" t="s">
        <v>81</v>
      </c>
      <c r="B24" s="190">
        <v>90339.01</v>
      </c>
      <c r="C24" s="190">
        <v>0</v>
      </c>
      <c r="D24" s="190">
        <v>0</v>
      </c>
      <c r="E24" s="190">
        <f>B24+C24-D24</f>
        <v>90339.01</v>
      </c>
      <c r="F24" s="788" t="s">
        <v>592</v>
      </c>
      <c r="G24" s="757"/>
      <c r="H24" s="757"/>
      <c r="I24" s="758"/>
    </row>
    <row r="25" spans="1:9" s="176" customFormat="1" ht="66" customHeight="1" x14ac:dyDescent="0.2">
      <c r="A25" s="183" t="s">
        <v>82</v>
      </c>
      <c r="B25" s="191">
        <v>91531.05</v>
      </c>
      <c r="C25" s="191">
        <v>191172</v>
      </c>
      <c r="D25" s="191">
        <v>180288</v>
      </c>
      <c r="E25" s="191">
        <f>B25+C25-D25</f>
        <v>102415.04999999999</v>
      </c>
      <c r="F25" s="1176" t="s">
        <v>643</v>
      </c>
      <c r="G25" s="760"/>
      <c r="H25" s="760"/>
      <c r="I25" s="761"/>
    </row>
    <row r="26" spans="1:9" s="175" customFormat="1" ht="10.5" x14ac:dyDescent="0.15">
      <c r="A26" s="192" t="s">
        <v>34</v>
      </c>
      <c r="B26" s="193">
        <f>SUM(B22:B25)</f>
        <v>1128215.4000000001</v>
      </c>
      <c r="C26" s="193">
        <f>SUM(C22:C25)</f>
        <v>800867.62</v>
      </c>
      <c r="D26" s="193">
        <f>SUM(D22:D25)</f>
        <v>418863</v>
      </c>
      <c r="E26" s="193">
        <f>SUM(E22:E25)</f>
        <v>1543220.02</v>
      </c>
      <c r="F26" s="762"/>
      <c r="G26" s="762"/>
      <c r="H26" s="762"/>
      <c r="I26" s="763"/>
    </row>
    <row r="27" spans="1:9" s="176" customFormat="1" ht="11.25" x14ac:dyDescent="0.2">
      <c r="C27" s="180"/>
    </row>
    <row r="28" spans="1:9" s="176" customFormat="1" ht="11.25" x14ac:dyDescent="0.2">
      <c r="A28" s="750" t="s">
        <v>144</v>
      </c>
      <c r="B28" s="750"/>
      <c r="C28" s="750"/>
      <c r="D28" s="750"/>
      <c r="E28" s="750"/>
      <c r="F28" s="750"/>
      <c r="G28" s="750"/>
      <c r="H28" s="750"/>
      <c r="I28" s="750"/>
    </row>
    <row r="29" spans="1:9" s="176" customFormat="1" ht="11.25" x14ac:dyDescent="0.2">
      <c r="C29" s="180"/>
    </row>
    <row r="30" spans="1:9" s="176" customFormat="1" ht="11.25" x14ac:dyDescent="0.2">
      <c r="A30" s="547" t="s">
        <v>83</v>
      </c>
      <c r="B30" s="547" t="s">
        <v>25</v>
      </c>
      <c r="C30" s="549" t="s">
        <v>84</v>
      </c>
      <c r="D30" s="753" t="s">
        <v>117</v>
      </c>
      <c r="E30" s="753"/>
      <c r="F30" s="753"/>
      <c r="G30" s="753"/>
      <c r="H30" s="753"/>
      <c r="I30" s="753"/>
    </row>
    <row r="31" spans="1:9" s="176" customFormat="1" ht="15" customHeight="1" x14ac:dyDescent="0.2">
      <c r="A31" s="194"/>
      <c r="B31" s="189">
        <v>0</v>
      </c>
      <c r="C31" s="195" t="s">
        <v>90</v>
      </c>
      <c r="D31" s="951" t="s">
        <v>90</v>
      </c>
      <c r="E31" s="952"/>
      <c r="F31" s="952"/>
      <c r="G31" s="952"/>
      <c r="H31" s="952"/>
      <c r="I31" s="953"/>
    </row>
    <row r="32" spans="1:9" s="176" customFormat="1" ht="15" customHeight="1" x14ac:dyDescent="0.2">
      <c r="A32" s="647" t="s">
        <v>90</v>
      </c>
      <c r="B32" s="191">
        <v>0</v>
      </c>
      <c r="C32" s="648" t="s">
        <v>90</v>
      </c>
      <c r="D32" s="1189" t="s">
        <v>90</v>
      </c>
      <c r="E32" s="1190"/>
      <c r="F32" s="1190"/>
      <c r="G32" s="1190"/>
      <c r="H32" s="1190"/>
      <c r="I32" s="1191"/>
    </row>
    <row r="33" spans="1:9" s="175" customFormat="1" ht="11.25" x14ac:dyDescent="0.2">
      <c r="A33" s="192" t="s">
        <v>34</v>
      </c>
      <c r="B33" s="193">
        <f>SUM(B31:B32)</f>
        <v>0</v>
      </c>
      <c r="C33" s="776"/>
      <c r="D33" s="776"/>
      <c r="E33" s="776"/>
      <c r="F33" s="776"/>
      <c r="G33" s="776"/>
      <c r="H33" s="776"/>
      <c r="I33" s="777"/>
    </row>
    <row r="34" spans="1:9" s="176" customFormat="1" ht="11.25" x14ac:dyDescent="0.2">
      <c r="C34" s="180"/>
    </row>
    <row r="35" spans="1:9" s="176" customFormat="1" ht="11.25" x14ac:dyDescent="0.2">
      <c r="A35" s="750" t="s">
        <v>145</v>
      </c>
      <c r="B35" s="750"/>
      <c r="C35" s="750"/>
      <c r="D35" s="750"/>
      <c r="E35" s="750"/>
      <c r="F35" s="750"/>
      <c r="G35" s="750"/>
      <c r="H35" s="750"/>
      <c r="I35" s="750"/>
    </row>
    <row r="36" spans="1:9" s="176" customFormat="1" ht="11.25" x14ac:dyDescent="0.2">
      <c r="C36" s="180"/>
    </row>
    <row r="37" spans="1:9" s="176" customFormat="1" ht="11.25" x14ac:dyDescent="0.2">
      <c r="A37" s="547" t="s">
        <v>83</v>
      </c>
      <c r="B37" s="547" t="s">
        <v>25</v>
      </c>
      <c r="C37" s="549" t="s">
        <v>84</v>
      </c>
      <c r="D37" s="753" t="s">
        <v>117</v>
      </c>
      <c r="E37" s="753"/>
      <c r="F37" s="753"/>
      <c r="G37" s="753"/>
      <c r="H37" s="753"/>
      <c r="I37" s="792"/>
    </row>
    <row r="38" spans="1:9" s="176" customFormat="1" ht="15" customHeight="1" x14ac:dyDescent="0.2">
      <c r="A38" s="194"/>
      <c r="B38" s="189">
        <v>0</v>
      </c>
      <c r="C38" s="195" t="s">
        <v>90</v>
      </c>
      <c r="D38" s="951" t="s">
        <v>90</v>
      </c>
      <c r="E38" s="952"/>
      <c r="F38" s="952"/>
      <c r="G38" s="952"/>
      <c r="H38" s="952"/>
      <c r="I38" s="953"/>
    </row>
    <row r="39" spans="1:9" s="176" customFormat="1" ht="15" customHeight="1" x14ac:dyDescent="0.2">
      <c r="A39" s="647" t="s">
        <v>90</v>
      </c>
      <c r="B39" s="191">
        <v>0</v>
      </c>
      <c r="C39" s="648" t="s">
        <v>90</v>
      </c>
      <c r="D39" s="1189" t="s">
        <v>90</v>
      </c>
      <c r="E39" s="1190"/>
      <c r="F39" s="1190"/>
      <c r="G39" s="1190"/>
      <c r="H39" s="1190"/>
      <c r="I39" s="1191"/>
    </row>
    <row r="40" spans="1:9" s="175" customFormat="1" ht="10.5" x14ac:dyDescent="0.15">
      <c r="A40" s="192" t="s">
        <v>34</v>
      </c>
      <c r="B40" s="193">
        <f>SUM(B38:B39)</f>
        <v>0</v>
      </c>
      <c r="C40" s="793"/>
      <c r="D40" s="793"/>
      <c r="E40" s="793"/>
      <c r="F40" s="793"/>
      <c r="G40" s="793"/>
      <c r="H40" s="793"/>
      <c r="I40" s="793"/>
    </row>
    <row r="41" spans="1:9" s="176" customFormat="1" ht="11.25" x14ac:dyDescent="0.2">
      <c r="C41" s="180"/>
    </row>
    <row r="42" spans="1:9" s="176" customFormat="1" ht="11.25" x14ac:dyDescent="0.2">
      <c r="A42" s="750" t="s">
        <v>146</v>
      </c>
      <c r="B42" s="750"/>
      <c r="C42" s="750"/>
      <c r="D42" s="750"/>
      <c r="E42" s="750"/>
      <c r="F42" s="750"/>
      <c r="G42" s="750"/>
      <c r="H42" s="750"/>
      <c r="I42" s="750"/>
    </row>
    <row r="43" spans="1:9" s="176" customFormat="1" ht="11.25" x14ac:dyDescent="0.2">
      <c r="C43" s="180"/>
    </row>
    <row r="44" spans="1:9" s="176" customFormat="1" ht="11.25" x14ac:dyDescent="0.2">
      <c r="A44" s="547" t="s">
        <v>25</v>
      </c>
      <c r="B44" s="549" t="s">
        <v>147</v>
      </c>
      <c r="C44" s="781" t="s">
        <v>85</v>
      </c>
      <c r="D44" s="781"/>
      <c r="E44" s="781"/>
      <c r="F44" s="781"/>
      <c r="G44" s="781"/>
      <c r="H44" s="781"/>
      <c r="I44" s="782"/>
    </row>
    <row r="45" spans="1:9" s="176" customFormat="1" ht="11.25" x14ac:dyDescent="0.2">
      <c r="A45" s="467">
        <v>25000</v>
      </c>
      <c r="B45" s="467">
        <v>25000</v>
      </c>
      <c r="C45" s="954" t="s">
        <v>596</v>
      </c>
      <c r="D45" s="954"/>
      <c r="E45" s="954"/>
      <c r="F45" s="954"/>
      <c r="G45" s="954"/>
      <c r="H45" s="954"/>
      <c r="I45" s="954"/>
    </row>
    <row r="46" spans="1:9" s="176" customFormat="1" ht="11.25" x14ac:dyDescent="0.2">
      <c r="A46" s="190">
        <v>6000</v>
      </c>
      <c r="B46" s="190">
        <v>0</v>
      </c>
      <c r="C46" s="1173" t="s">
        <v>597</v>
      </c>
      <c r="D46" s="1192"/>
      <c r="E46" s="1192"/>
      <c r="F46" s="1192"/>
      <c r="G46" s="1192"/>
      <c r="H46" s="1192"/>
      <c r="I46" s="1192"/>
    </row>
    <row r="47" spans="1:9" s="176" customFormat="1" ht="12.75" customHeight="1" x14ac:dyDescent="0.2">
      <c r="A47" s="190">
        <v>2000</v>
      </c>
      <c r="B47" s="190">
        <v>2000</v>
      </c>
      <c r="C47" s="1173" t="s">
        <v>598</v>
      </c>
      <c r="D47" s="1173"/>
      <c r="E47" s="1173"/>
      <c r="F47" s="1173"/>
      <c r="G47" s="1173"/>
      <c r="H47" s="1173"/>
      <c r="I47" s="1173"/>
    </row>
    <row r="48" spans="1:9" s="175" customFormat="1" ht="10.5" x14ac:dyDescent="0.15">
      <c r="A48" s="649">
        <v>33000</v>
      </c>
      <c r="B48" s="649">
        <v>27000</v>
      </c>
      <c r="C48" s="1187" t="s">
        <v>34</v>
      </c>
      <c r="D48" s="1187"/>
      <c r="E48" s="1187"/>
      <c r="F48" s="1187"/>
      <c r="G48" s="1187"/>
      <c r="H48" s="1187"/>
      <c r="I48" s="1188"/>
    </row>
    <row r="49" spans="1:9" s="176" customFormat="1" ht="11.25" x14ac:dyDescent="0.2">
      <c r="C49" s="180"/>
    </row>
    <row r="50" spans="1:9" s="176" customFormat="1" ht="11.25" x14ac:dyDescent="0.2">
      <c r="A50" s="750" t="s">
        <v>148</v>
      </c>
      <c r="B50" s="750"/>
      <c r="C50" s="750"/>
      <c r="D50" s="750"/>
      <c r="E50" s="750"/>
      <c r="F50" s="750"/>
      <c r="G50" s="750"/>
      <c r="H50" s="750"/>
      <c r="I50" s="750"/>
    </row>
    <row r="51" spans="1:9" s="176" customFormat="1" ht="11.25" x14ac:dyDescent="0.2">
      <c r="C51" s="180"/>
    </row>
    <row r="52" spans="1:9" s="197" customFormat="1" ht="11.25" x14ac:dyDescent="0.2">
      <c r="A52" s="753" t="s">
        <v>86</v>
      </c>
      <c r="B52" s="753"/>
      <c r="C52" s="549" t="s">
        <v>87</v>
      </c>
      <c r="D52" s="547" t="s">
        <v>88</v>
      </c>
      <c r="E52" s="547" t="s">
        <v>25</v>
      </c>
    </row>
    <row r="53" spans="1:9" s="176" customFormat="1" ht="11.25" x14ac:dyDescent="0.2">
      <c r="A53" s="772" t="s">
        <v>599</v>
      </c>
      <c r="B53" s="772"/>
      <c r="C53" s="249">
        <v>41788</v>
      </c>
      <c r="D53" s="249">
        <v>41789</v>
      </c>
      <c r="E53" s="250">
        <v>-409000</v>
      </c>
    </row>
    <row r="54" spans="1:9" s="176" customFormat="1" ht="11.25" x14ac:dyDescent="0.2">
      <c r="A54" s="875" t="s">
        <v>600</v>
      </c>
      <c r="B54" s="875"/>
      <c r="C54" s="199">
        <v>41788</v>
      </c>
      <c r="D54" s="199">
        <v>41789</v>
      </c>
      <c r="E54" s="200">
        <v>-25000</v>
      </c>
    </row>
    <row r="55" spans="1:9" s="176" customFormat="1" ht="11.25" x14ac:dyDescent="0.2">
      <c r="A55" s="875" t="s">
        <v>601</v>
      </c>
      <c r="B55" s="875"/>
      <c r="C55" s="199">
        <v>41788</v>
      </c>
      <c r="D55" s="199">
        <v>41789</v>
      </c>
      <c r="E55" s="200">
        <v>-260000</v>
      </c>
    </row>
    <row r="56" spans="1:9" s="176" customFormat="1" ht="11.25" x14ac:dyDescent="0.2">
      <c r="A56" s="875" t="s">
        <v>602</v>
      </c>
      <c r="B56" s="875"/>
      <c r="C56" s="199">
        <v>41788</v>
      </c>
      <c r="D56" s="199">
        <v>41789</v>
      </c>
      <c r="E56" s="200">
        <v>-20000</v>
      </c>
    </row>
    <row r="57" spans="1:9" s="176" customFormat="1" ht="11.25" x14ac:dyDescent="0.2">
      <c r="A57" s="875" t="s">
        <v>603</v>
      </c>
      <c r="B57" s="875"/>
      <c r="C57" s="199">
        <v>41788</v>
      </c>
      <c r="D57" s="199">
        <v>41789</v>
      </c>
      <c r="E57" s="200">
        <v>-6000</v>
      </c>
    </row>
    <row r="58" spans="1:9" s="176" customFormat="1" ht="11.25" x14ac:dyDescent="0.2">
      <c r="A58" s="875" t="s">
        <v>604</v>
      </c>
      <c r="B58" s="875"/>
      <c r="C58" s="199">
        <v>41800</v>
      </c>
      <c r="D58" s="199">
        <v>41801</v>
      </c>
      <c r="E58" s="200">
        <v>-60000</v>
      </c>
    </row>
    <row r="59" spans="1:9" s="176" customFormat="1" ht="11.25" x14ac:dyDescent="0.2">
      <c r="A59" s="875" t="s">
        <v>614</v>
      </c>
      <c r="B59" s="875"/>
      <c r="C59" s="199">
        <v>41788</v>
      </c>
      <c r="D59" s="199">
        <v>41789</v>
      </c>
      <c r="E59" s="200">
        <v>409000</v>
      </c>
    </row>
    <row r="60" spans="1:9" s="176" customFormat="1" ht="11.25" x14ac:dyDescent="0.2">
      <c r="A60" s="875" t="s">
        <v>615</v>
      </c>
      <c r="B60" s="875"/>
      <c r="C60" s="199">
        <v>41788</v>
      </c>
      <c r="D60" s="199">
        <v>41789</v>
      </c>
      <c r="E60" s="200">
        <v>25000</v>
      </c>
    </row>
    <row r="61" spans="1:9" s="176" customFormat="1" ht="11.25" x14ac:dyDescent="0.2">
      <c r="A61" s="875" t="s">
        <v>616</v>
      </c>
      <c r="B61" s="875"/>
      <c r="C61" s="199">
        <v>41788</v>
      </c>
      <c r="D61" s="199">
        <v>41789</v>
      </c>
      <c r="E61" s="200">
        <v>260000</v>
      </c>
    </row>
    <row r="62" spans="1:9" s="176" customFormat="1" ht="11.25" x14ac:dyDescent="0.2">
      <c r="A62" s="744" t="s">
        <v>617</v>
      </c>
      <c r="B62" s="744"/>
      <c r="C62" s="199">
        <v>41788</v>
      </c>
      <c r="D62" s="199">
        <v>41789</v>
      </c>
      <c r="E62" s="200">
        <v>20000</v>
      </c>
    </row>
    <row r="63" spans="1:9" s="176" customFormat="1" ht="11.25" x14ac:dyDescent="0.2">
      <c r="A63" s="744" t="s">
        <v>618</v>
      </c>
      <c r="B63" s="744"/>
      <c r="C63" s="199">
        <v>41788</v>
      </c>
      <c r="D63" s="199">
        <v>41789</v>
      </c>
      <c r="E63" s="200">
        <v>6000</v>
      </c>
    </row>
    <row r="64" spans="1:9" s="176" customFormat="1" ht="11.25" x14ac:dyDescent="0.2">
      <c r="A64" s="744" t="s">
        <v>619</v>
      </c>
      <c r="B64" s="744"/>
      <c r="C64" s="199">
        <v>41800</v>
      </c>
      <c r="D64" s="199">
        <v>41801</v>
      </c>
      <c r="E64" s="200">
        <v>60000</v>
      </c>
    </row>
    <row r="65" spans="1:5" s="176" customFormat="1" ht="11.25" x14ac:dyDescent="0.2">
      <c r="A65" s="744" t="s">
        <v>605</v>
      </c>
      <c r="B65" s="744"/>
      <c r="C65" s="199">
        <v>41913</v>
      </c>
      <c r="D65" s="199">
        <v>41913</v>
      </c>
      <c r="E65" s="200">
        <v>-6000</v>
      </c>
    </row>
    <row r="66" spans="1:5" s="176" customFormat="1" ht="11.25" x14ac:dyDescent="0.2">
      <c r="A66" s="744" t="s">
        <v>620</v>
      </c>
      <c r="B66" s="744"/>
      <c r="C66" s="199">
        <v>41913</v>
      </c>
      <c r="D66" s="199">
        <v>41913</v>
      </c>
      <c r="E66" s="200">
        <v>6000</v>
      </c>
    </row>
    <row r="67" spans="1:5" s="176" customFormat="1" ht="11.25" x14ac:dyDescent="0.2">
      <c r="A67" s="744" t="s">
        <v>621</v>
      </c>
      <c r="B67" s="744"/>
      <c r="C67" s="199">
        <v>41870</v>
      </c>
      <c r="D67" s="199">
        <v>41887</v>
      </c>
      <c r="E67" s="200">
        <v>110000</v>
      </c>
    </row>
    <row r="68" spans="1:5" s="176" customFormat="1" ht="11.25" x14ac:dyDescent="0.2">
      <c r="A68" s="744" t="s">
        <v>622</v>
      </c>
      <c r="B68" s="744"/>
      <c r="C68" s="199">
        <v>41870</v>
      </c>
      <c r="D68" s="199">
        <v>41887</v>
      </c>
      <c r="E68" s="200">
        <v>110000</v>
      </c>
    </row>
    <row r="69" spans="1:5" s="176" customFormat="1" ht="11.25" x14ac:dyDescent="0.2">
      <c r="A69" s="744" t="s">
        <v>623</v>
      </c>
      <c r="B69" s="744"/>
      <c r="C69" s="199">
        <v>41870</v>
      </c>
      <c r="D69" s="199">
        <v>41887</v>
      </c>
      <c r="E69" s="200">
        <v>200000</v>
      </c>
    </row>
    <row r="70" spans="1:5" s="176" customFormat="1" ht="11.25" x14ac:dyDescent="0.2">
      <c r="A70" s="744" t="s">
        <v>634</v>
      </c>
      <c r="B70" s="744"/>
      <c r="C70" s="199">
        <v>41870</v>
      </c>
      <c r="D70" s="199">
        <v>41887</v>
      </c>
      <c r="E70" s="200">
        <v>200000</v>
      </c>
    </row>
    <row r="71" spans="1:5" s="176" customFormat="1" ht="11.25" x14ac:dyDescent="0.2">
      <c r="A71" s="744" t="s">
        <v>633</v>
      </c>
      <c r="B71" s="744"/>
      <c r="C71" s="199">
        <v>41975</v>
      </c>
      <c r="D71" s="199">
        <v>41982</v>
      </c>
      <c r="E71" s="200">
        <v>43000</v>
      </c>
    </row>
    <row r="72" spans="1:5" s="176" customFormat="1" ht="11.25" x14ac:dyDescent="0.2">
      <c r="A72" s="744" t="s">
        <v>606</v>
      </c>
      <c r="B72" s="744"/>
      <c r="C72" s="199">
        <v>41975</v>
      </c>
      <c r="D72" s="199">
        <v>41982</v>
      </c>
      <c r="E72" s="200">
        <v>-43000</v>
      </c>
    </row>
    <row r="73" spans="1:5" s="176" customFormat="1" ht="11.25" x14ac:dyDescent="0.2">
      <c r="A73" s="744" t="s">
        <v>625</v>
      </c>
      <c r="B73" s="744"/>
      <c r="C73" s="199">
        <v>41975</v>
      </c>
      <c r="D73" s="199">
        <v>41982</v>
      </c>
      <c r="E73" s="200">
        <v>22000</v>
      </c>
    </row>
    <row r="74" spans="1:5" s="176" customFormat="1" ht="11.25" x14ac:dyDescent="0.2">
      <c r="A74" s="744" t="s">
        <v>607</v>
      </c>
      <c r="B74" s="744"/>
      <c r="C74" s="199">
        <v>41975</v>
      </c>
      <c r="D74" s="199">
        <v>41982</v>
      </c>
      <c r="E74" s="200">
        <v>-22000</v>
      </c>
    </row>
    <row r="75" spans="1:5" s="176" customFormat="1" ht="11.25" x14ac:dyDescent="0.2">
      <c r="A75" s="744" t="s">
        <v>608</v>
      </c>
      <c r="B75" s="744"/>
      <c r="C75" s="199">
        <v>41970</v>
      </c>
      <c r="D75" s="199">
        <v>41974</v>
      </c>
      <c r="E75" s="200">
        <v>-958000</v>
      </c>
    </row>
    <row r="76" spans="1:5" s="176" customFormat="1" ht="11.25" x14ac:dyDescent="0.2">
      <c r="A76" s="744" t="s">
        <v>626</v>
      </c>
      <c r="B76" s="744"/>
      <c r="C76" s="199">
        <v>41970</v>
      </c>
      <c r="D76" s="199">
        <v>41974</v>
      </c>
      <c r="E76" s="200">
        <v>958000</v>
      </c>
    </row>
    <row r="77" spans="1:5" s="176" customFormat="1" ht="25.5" customHeight="1" x14ac:dyDescent="0.2">
      <c r="A77" s="744" t="s">
        <v>635</v>
      </c>
      <c r="B77" s="744"/>
      <c r="C77" s="199">
        <v>41974</v>
      </c>
      <c r="D77" s="199">
        <v>41974</v>
      </c>
      <c r="E77" s="200">
        <v>-523000</v>
      </c>
    </row>
    <row r="78" spans="1:5" s="176" customFormat="1" ht="11.25" x14ac:dyDescent="0.2">
      <c r="A78" s="744" t="s">
        <v>627</v>
      </c>
      <c r="B78" s="744"/>
      <c r="C78" s="199">
        <v>41974</v>
      </c>
      <c r="D78" s="199">
        <v>41974</v>
      </c>
      <c r="E78" s="200">
        <v>253000</v>
      </c>
    </row>
    <row r="79" spans="1:5" s="176" customFormat="1" ht="24.75" customHeight="1" x14ac:dyDescent="0.2">
      <c r="A79" s="744" t="s">
        <v>628</v>
      </c>
      <c r="B79" s="744"/>
      <c r="C79" s="199">
        <v>41974</v>
      </c>
      <c r="D79" s="199">
        <v>41974</v>
      </c>
      <c r="E79" s="200">
        <v>75000</v>
      </c>
    </row>
    <row r="80" spans="1:5" s="176" customFormat="1" ht="11.25" x14ac:dyDescent="0.2">
      <c r="A80" s="744" t="s">
        <v>629</v>
      </c>
      <c r="B80" s="744"/>
      <c r="C80" s="199">
        <v>41974</v>
      </c>
      <c r="D80" s="199">
        <v>41974</v>
      </c>
      <c r="E80" s="200">
        <v>195000</v>
      </c>
    </row>
    <row r="81" spans="1:5" s="176" customFormat="1" ht="11.25" x14ac:dyDescent="0.2">
      <c r="A81" s="744" t="s">
        <v>609</v>
      </c>
      <c r="B81" s="744"/>
      <c r="C81" s="199">
        <v>41974</v>
      </c>
      <c r="D81" s="199">
        <v>41974</v>
      </c>
      <c r="E81" s="200">
        <v>-239000</v>
      </c>
    </row>
    <row r="82" spans="1:5" s="176" customFormat="1" ht="11.25" x14ac:dyDescent="0.2">
      <c r="A82" s="744" t="s">
        <v>624</v>
      </c>
      <c r="B82" s="744"/>
      <c r="C82" s="199">
        <v>41974</v>
      </c>
      <c r="D82" s="199">
        <v>41974</v>
      </c>
      <c r="E82" s="200">
        <v>239000</v>
      </c>
    </row>
    <row r="83" spans="1:5" s="176" customFormat="1" ht="11.25" x14ac:dyDescent="0.2">
      <c r="A83" s="1186" t="s">
        <v>610</v>
      </c>
      <c r="B83" s="1186"/>
      <c r="C83" s="199">
        <v>41974</v>
      </c>
      <c r="D83" s="199">
        <v>41974</v>
      </c>
      <c r="E83" s="200">
        <v>-4000</v>
      </c>
    </row>
    <row r="84" spans="1:5" s="176" customFormat="1" ht="11.25" x14ac:dyDescent="0.2">
      <c r="A84" s="744" t="s">
        <v>636</v>
      </c>
      <c r="B84" s="744"/>
      <c r="C84" s="199">
        <v>41974</v>
      </c>
      <c r="D84" s="199">
        <v>41974</v>
      </c>
      <c r="E84" s="200">
        <v>4000</v>
      </c>
    </row>
    <row r="85" spans="1:5" s="176" customFormat="1" ht="11.25" x14ac:dyDescent="0.2">
      <c r="A85" s="744" t="s">
        <v>641</v>
      </c>
      <c r="B85" s="744"/>
      <c r="C85" s="199">
        <v>41974</v>
      </c>
      <c r="D85" s="199">
        <v>41974</v>
      </c>
      <c r="E85" s="200">
        <v>-1000</v>
      </c>
    </row>
    <row r="86" spans="1:5" s="176" customFormat="1" ht="11.25" x14ac:dyDescent="0.2">
      <c r="A86" s="744" t="s">
        <v>636</v>
      </c>
      <c r="B86" s="744"/>
      <c r="C86" s="199">
        <v>41974</v>
      </c>
      <c r="D86" s="199">
        <v>41974</v>
      </c>
      <c r="E86" s="200">
        <v>1000</v>
      </c>
    </row>
    <row r="87" spans="1:5" s="176" customFormat="1" ht="11.25" x14ac:dyDescent="0.2">
      <c r="A87" s="744" t="s">
        <v>611</v>
      </c>
      <c r="B87" s="744"/>
      <c r="C87" s="199">
        <v>41974</v>
      </c>
      <c r="D87" s="199">
        <v>41974</v>
      </c>
      <c r="E87" s="200">
        <v>-2000</v>
      </c>
    </row>
    <row r="88" spans="1:5" s="176" customFormat="1" ht="11.25" x14ac:dyDescent="0.2">
      <c r="A88" s="744" t="s">
        <v>636</v>
      </c>
      <c r="B88" s="744"/>
      <c r="C88" s="199">
        <v>41974</v>
      </c>
      <c r="D88" s="199">
        <v>41974</v>
      </c>
      <c r="E88" s="200">
        <v>2000</v>
      </c>
    </row>
    <row r="89" spans="1:5" s="176" customFormat="1" ht="11.25" x14ac:dyDescent="0.2">
      <c r="A89" s="744" t="s">
        <v>612</v>
      </c>
      <c r="B89" s="744"/>
      <c r="C89" s="199">
        <v>41974</v>
      </c>
      <c r="D89" s="199">
        <v>41974</v>
      </c>
      <c r="E89" s="200">
        <v>-44000</v>
      </c>
    </row>
    <row r="90" spans="1:5" s="176" customFormat="1" ht="11.25" x14ac:dyDescent="0.2">
      <c r="A90" s="744" t="s">
        <v>624</v>
      </c>
      <c r="B90" s="744"/>
      <c r="C90" s="199">
        <v>41974</v>
      </c>
      <c r="D90" s="199">
        <v>41974</v>
      </c>
      <c r="E90" s="200">
        <v>44000</v>
      </c>
    </row>
    <row r="91" spans="1:5" s="176" customFormat="1" ht="24" customHeight="1" x14ac:dyDescent="0.2">
      <c r="A91" s="744" t="s">
        <v>613</v>
      </c>
      <c r="B91" s="744"/>
      <c r="C91" s="199">
        <v>41970</v>
      </c>
      <c r="D91" s="199">
        <v>41970</v>
      </c>
      <c r="E91" s="200">
        <v>-44000</v>
      </c>
    </row>
    <row r="92" spans="1:5" s="176" customFormat="1" ht="11.25" x14ac:dyDescent="0.2">
      <c r="A92" s="744" t="s">
        <v>630</v>
      </c>
      <c r="B92" s="744"/>
      <c r="C92" s="199">
        <v>41970</v>
      </c>
      <c r="D92" s="199">
        <v>41970</v>
      </c>
      <c r="E92" s="200">
        <v>30000</v>
      </c>
    </row>
    <row r="93" spans="1:5" s="176" customFormat="1" ht="13.5" customHeight="1" x14ac:dyDescent="0.2">
      <c r="A93" s="744" t="s">
        <v>637</v>
      </c>
      <c r="B93" s="744"/>
      <c r="C93" s="199">
        <v>41970</v>
      </c>
      <c r="D93" s="199">
        <v>41970</v>
      </c>
      <c r="E93" s="200">
        <v>3000</v>
      </c>
    </row>
    <row r="94" spans="1:5" s="176" customFormat="1" ht="12.75" customHeight="1" x14ac:dyDescent="0.2">
      <c r="A94" s="744" t="s">
        <v>631</v>
      </c>
      <c r="B94" s="744"/>
      <c r="C94" s="199">
        <v>41970</v>
      </c>
      <c r="D94" s="199">
        <v>41970</v>
      </c>
      <c r="E94" s="200">
        <v>2000</v>
      </c>
    </row>
    <row r="95" spans="1:5" s="176" customFormat="1" ht="11.25" x14ac:dyDescent="0.2">
      <c r="A95" s="744" t="s">
        <v>632</v>
      </c>
      <c r="B95" s="744"/>
      <c r="C95" s="199">
        <v>41970</v>
      </c>
      <c r="D95" s="199">
        <v>41970</v>
      </c>
      <c r="E95" s="200">
        <v>9000</v>
      </c>
    </row>
    <row r="96" spans="1:5" s="176" customFormat="1" ht="11.25" x14ac:dyDescent="0.2">
      <c r="C96" s="180"/>
    </row>
    <row r="97" spans="1:9" s="176" customFormat="1" ht="11.25" x14ac:dyDescent="0.2">
      <c r="A97" s="794" t="s">
        <v>152</v>
      </c>
      <c r="B97" s="794"/>
      <c r="C97" s="794"/>
      <c r="D97" s="794"/>
      <c r="E97" s="794"/>
      <c r="F97" s="794"/>
      <c r="G97" s="794"/>
      <c r="H97" s="794"/>
      <c r="I97" s="794"/>
    </row>
    <row r="98" spans="1:9" s="176" customFormat="1" ht="11.25" x14ac:dyDescent="0.2"/>
    <row r="99" spans="1:9" s="176" customFormat="1" ht="25.5" customHeight="1" x14ac:dyDescent="0.2">
      <c r="A99" s="747" t="s">
        <v>642</v>
      </c>
      <c r="B99" s="795"/>
      <c r="C99" s="795"/>
      <c r="D99" s="795"/>
      <c r="E99" s="795"/>
      <c r="F99" s="795"/>
      <c r="G99" s="795"/>
      <c r="H99" s="795"/>
      <c r="I99" s="796"/>
    </row>
    <row r="100" spans="1:9" s="176" customFormat="1" ht="12.75" customHeight="1" x14ac:dyDescent="0.2">
      <c r="A100" s="747" t="s">
        <v>638</v>
      </c>
      <c r="B100" s="795"/>
      <c r="C100" s="795"/>
      <c r="D100" s="795"/>
      <c r="E100" s="795"/>
      <c r="F100" s="795"/>
      <c r="G100" s="795"/>
      <c r="H100" s="795"/>
      <c r="I100" s="796"/>
    </row>
    <row r="101" spans="1:9" s="176" customFormat="1" ht="11.25" x14ac:dyDescent="0.2"/>
    <row r="102" spans="1:9" s="175" customFormat="1" ht="10.5" x14ac:dyDescent="0.15">
      <c r="A102" s="750" t="s">
        <v>153</v>
      </c>
      <c r="B102" s="750"/>
      <c r="C102" s="750"/>
      <c r="D102" s="750"/>
      <c r="E102" s="750"/>
      <c r="F102" s="750"/>
      <c r="G102" s="750"/>
      <c r="H102" s="750"/>
      <c r="I102" s="750"/>
    </row>
    <row r="103" spans="1:9" s="176" customFormat="1" ht="11.25" x14ac:dyDescent="0.2"/>
    <row r="104" spans="1:9" s="176" customFormat="1" ht="46.5" customHeight="1" x14ac:dyDescent="0.2">
      <c r="A104" s="789" t="s">
        <v>640</v>
      </c>
      <c r="B104" s="790"/>
      <c r="C104" s="790"/>
      <c r="D104" s="790"/>
      <c r="E104" s="790"/>
      <c r="F104" s="790"/>
      <c r="G104" s="790"/>
      <c r="H104" s="790"/>
      <c r="I104" s="791"/>
    </row>
    <row r="105" spans="1:9" s="176" customFormat="1" ht="11.25" x14ac:dyDescent="0.2">
      <c r="A105" s="789" t="s">
        <v>121</v>
      </c>
      <c r="B105" s="790"/>
      <c r="C105" s="790"/>
      <c r="D105" s="790"/>
      <c r="E105" s="790"/>
      <c r="F105" s="790"/>
      <c r="G105" s="790"/>
      <c r="H105" s="790"/>
      <c r="I105" s="791"/>
    </row>
    <row r="106" spans="1:9" ht="24.75" customHeight="1" x14ac:dyDescent="0.15">
      <c r="A106" s="902" t="s">
        <v>781</v>
      </c>
      <c r="B106" s="903"/>
      <c r="C106" s="903"/>
      <c r="D106" s="903"/>
      <c r="E106" s="903"/>
      <c r="F106" s="903"/>
      <c r="G106" s="903"/>
      <c r="H106" s="903"/>
      <c r="I106" s="904"/>
    </row>
    <row r="107" spans="1:9" s="218" customFormat="1" ht="12.75" customHeight="1" x14ac:dyDescent="0.2">
      <c r="A107" s="789" t="s">
        <v>783</v>
      </c>
      <c r="B107" s="790"/>
      <c r="C107" s="790"/>
      <c r="D107" s="790"/>
      <c r="E107" s="790"/>
      <c r="F107" s="790"/>
      <c r="G107" s="790"/>
      <c r="H107" s="790"/>
      <c r="I107" s="791"/>
    </row>
  </sheetData>
  <mergeCells count="89">
    <mergeCell ref="A107:I107"/>
    <mergeCell ref="A8:B8"/>
    <mergeCell ref="A7:B7"/>
    <mergeCell ref="D7:I7"/>
    <mergeCell ref="A3:I3"/>
    <mergeCell ref="A5:B5"/>
    <mergeCell ref="D5:I5"/>
    <mergeCell ref="A6:B6"/>
    <mergeCell ref="D6:I6"/>
    <mergeCell ref="D8:I8"/>
    <mergeCell ref="A9:B9"/>
    <mergeCell ref="D9:I9"/>
    <mergeCell ref="A11:I11"/>
    <mergeCell ref="A15:A16"/>
    <mergeCell ref="A19:I19"/>
    <mergeCell ref="D31:I31"/>
    <mergeCell ref="D32:I32"/>
    <mergeCell ref="F21:I21"/>
    <mergeCell ref="F22:I22"/>
    <mergeCell ref="F23:I23"/>
    <mergeCell ref="F24:I24"/>
    <mergeCell ref="F25:I25"/>
    <mergeCell ref="F26:I26"/>
    <mergeCell ref="A28:I28"/>
    <mergeCell ref="D30:I30"/>
    <mergeCell ref="A56:B56"/>
    <mergeCell ref="A57:B57"/>
    <mergeCell ref="A58:B58"/>
    <mergeCell ref="A59:B59"/>
    <mergeCell ref="C33:I33"/>
    <mergeCell ref="A35:I35"/>
    <mergeCell ref="D37:I37"/>
    <mergeCell ref="A53:B53"/>
    <mergeCell ref="A54:B54"/>
    <mergeCell ref="A50:I50"/>
    <mergeCell ref="A52:B52"/>
    <mergeCell ref="A55:B55"/>
    <mergeCell ref="D38:I38"/>
    <mergeCell ref="C40:I40"/>
    <mergeCell ref="A42:I42"/>
    <mergeCell ref="C44:I44"/>
    <mergeCell ref="C48:I48"/>
    <mergeCell ref="D39:I39"/>
    <mergeCell ref="C45:I45"/>
    <mergeCell ref="C46:I46"/>
    <mergeCell ref="C47:I47"/>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82:B82"/>
    <mergeCell ref="A83:B83"/>
    <mergeCell ref="A78:B78"/>
    <mergeCell ref="A79:B79"/>
    <mergeCell ref="A80:B80"/>
    <mergeCell ref="A81:B81"/>
    <mergeCell ref="A84:B84"/>
    <mergeCell ref="A85:B85"/>
    <mergeCell ref="A86:B86"/>
    <mergeCell ref="A92:B92"/>
    <mergeCell ref="A93:B93"/>
    <mergeCell ref="A94:B94"/>
    <mergeCell ref="A95:B95"/>
    <mergeCell ref="A87:B87"/>
    <mergeCell ref="A88:B88"/>
    <mergeCell ref="A89:B89"/>
    <mergeCell ref="A90:B90"/>
    <mergeCell ref="A91:B91"/>
    <mergeCell ref="A106:I106"/>
    <mergeCell ref="A104:I104"/>
    <mergeCell ref="A105:I105"/>
    <mergeCell ref="A97:I97"/>
    <mergeCell ref="A99:I99"/>
    <mergeCell ref="A100:I100"/>
    <mergeCell ref="A102:I102"/>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9" width="11" customWidth="1"/>
    <col min="10" max="10" width="11.5" customWidth="1"/>
    <col min="11"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833" t="s">
        <v>101</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38"/>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45"/>
      <c r="B4" s="839"/>
      <c r="C4" s="840"/>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846"/>
      <c r="B5" s="841"/>
      <c r="C5" s="842"/>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37457000</v>
      </c>
      <c r="F6" s="67">
        <f>SUM(F7:F9)</f>
        <v>38506290</v>
      </c>
      <c r="G6" s="67">
        <f>SUM(G7:G9)</f>
        <v>38487988</v>
      </c>
      <c r="H6" s="28">
        <f t="shared" ref="H6:H36" si="0">G6/F6*100</f>
        <v>99.952470102936431</v>
      </c>
      <c r="I6" s="67">
        <f>SUM(I7:I9)</f>
        <v>37147710</v>
      </c>
      <c r="J6" s="67">
        <f>SUM(J7:J9)</f>
        <v>12768000</v>
      </c>
      <c r="K6" s="67">
        <f t="shared" ref="K6:X6" si="1">SUM(K7:K9)</f>
        <v>13192000</v>
      </c>
      <c r="L6" s="67">
        <f t="shared" si="1"/>
        <v>13173698</v>
      </c>
      <c r="M6" s="28">
        <f t="shared" ref="M6:M33" si="2">L6/K6*100</f>
        <v>99.861264402668283</v>
      </c>
      <c r="N6" s="68">
        <f t="shared" si="1"/>
        <v>12371882</v>
      </c>
      <c r="O6" s="67">
        <f t="shared" si="1"/>
        <v>24689000</v>
      </c>
      <c r="P6" s="67">
        <f t="shared" si="1"/>
        <v>25314290</v>
      </c>
      <c r="Q6" s="67">
        <f t="shared" si="1"/>
        <v>25314290</v>
      </c>
      <c r="R6" s="28">
        <f t="shared" ref="R6:R33" si="3">Q6/P6*100</f>
        <v>100</v>
      </c>
      <c r="S6" s="67">
        <f t="shared" si="1"/>
        <v>24775828</v>
      </c>
      <c r="T6" s="67">
        <f t="shared" si="1"/>
        <v>2990000</v>
      </c>
      <c r="U6" s="67">
        <f t="shared" si="1"/>
        <v>3399000</v>
      </c>
      <c r="V6" s="67">
        <f t="shared" si="1"/>
        <v>3394195</v>
      </c>
      <c r="W6" s="28">
        <f t="shared" ref="W6:W33" si="4">V6/U6*100</f>
        <v>99.85863489261547</v>
      </c>
      <c r="X6" s="67">
        <f t="shared" si="1"/>
        <v>2838283</v>
      </c>
    </row>
    <row r="7" spans="1:24" s="6" customFormat="1" ht="9.9499999999999993" customHeight="1" x14ac:dyDescent="0.2">
      <c r="A7" s="34" t="s">
        <v>2</v>
      </c>
      <c r="B7" s="827" t="s">
        <v>47</v>
      </c>
      <c r="C7" s="828"/>
      <c r="D7" s="55" t="s">
        <v>25</v>
      </c>
      <c r="E7" s="70">
        <f t="shared" ref="E7:G10" si="5">SUM(J7,O7)</f>
        <v>6986000</v>
      </c>
      <c r="F7" s="71">
        <f t="shared" si="5"/>
        <v>7100000</v>
      </c>
      <c r="G7" s="71">
        <f t="shared" si="5"/>
        <v>7096488</v>
      </c>
      <c r="H7" s="10">
        <f t="shared" si="0"/>
        <v>99.950535211267606</v>
      </c>
      <c r="I7" s="72">
        <f>SUM(N7,S7)</f>
        <v>6872160</v>
      </c>
      <c r="J7" s="73">
        <v>6986000</v>
      </c>
      <c r="K7" s="74">
        <v>7100000</v>
      </c>
      <c r="L7" s="74">
        <v>7096488</v>
      </c>
      <c r="M7" s="10">
        <f t="shared" si="2"/>
        <v>99.950535211267606</v>
      </c>
      <c r="N7" s="75">
        <v>6872160</v>
      </c>
      <c r="O7" s="76"/>
      <c r="P7" s="74"/>
      <c r="Q7" s="74"/>
      <c r="R7" s="10" t="e">
        <f t="shared" si="3"/>
        <v>#DIV/0!</v>
      </c>
      <c r="S7" s="75"/>
      <c r="T7" s="76">
        <v>2990000</v>
      </c>
      <c r="U7" s="74">
        <v>3399000</v>
      </c>
      <c r="V7" s="74">
        <v>3394195</v>
      </c>
      <c r="W7" s="10">
        <f t="shared" si="4"/>
        <v>99.85863489261547</v>
      </c>
      <c r="X7" s="122">
        <v>2838283</v>
      </c>
    </row>
    <row r="8" spans="1:24" s="6" customFormat="1" ht="9.9499999999999993" customHeight="1" x14ac:dyDescent="0.2">
      <c r="A8" s="35" t="s">
        <v>3</v>
      </c>
      <c r="B8" s="829" t="s">
        <v>48</v>
      </c>
      <c r="C8" s="830"/>
      <c r="D8" s="56" t="s">
        <v>25</v>
      </c>
      <c r="E8" s="77">
        <f t="shared" si="5"/>
        <v>20000</v>
      </c>
      <c r="F8" s="78">
        <f t="shared" si="5"/>
        <v>20003</v>
      </c>
      <c r="G8" s="78">
        <f t="shared" si="5"/>
        <v>5213</v>
      </c>
      <c r="H8" s="11">
        <f t="shared" si="0"/>
        <v>26.061090836374547</v>
      </c>
      <c r="I8" s="79">
        <f>SUM(N8,S8)</f>
        <v>9730</v>
      </c>
      <c r="J8" s="80">
        <v>20000</v>
      </c>
      <c r="K8" s="78">
        <v>20000</v>
      </c>
      <c r="L8" s="78">
        <v>5210</v>
      </c>
      <c r="M8" s="11">
        <f t="shared" si="2"/>
        <v>26.05</v>
      </c>
      <c r="N8" s="79">
        <v>9722</v>
      </c>
      <c r="O8" s="77"/>
      <c r="P8" s="78">
        <v>3</v>
      </c>
      <c r="Q8" s="78">
        <v>3</v>
      </c>
      <c r="R8" s="11">
        <f t="shared" si="3"/>
        <v>100</v>
      </c>
      <c r="S8" s="79">
        <v>8</v>
      </c>
      <c r="T8" s="77"/>
      <c r="U8" s="78"/>
      <c r="V8" s="78"/>
      <c r="W8" s="11" t="e">
        <f t="shared" si="4"/>
        <v>#DIV/0!</v>
      </c>
      <c r="X8" s="81"/>
    </row>
    <row r="9" spans="1:24" s="6" customFormat="1" ht="9.9499999999999993" customHeight="1" x14ac:dyDescent="0.2">
      <c r="A9" s="36" t="s">
        <v>4</v>
      </c>
      <c r="B9" s="319" t="s">
        <v>66</v>
      </c>
      <c r="C9" s="320"/>
      <c r="D9" s="57" t="s">
        <v>25</v>
      </c>
      <c r="E9" s="82">
        <f t="shared" si="5"/>
        <v>30451000</v>
      </c>
      <c r="F9" s="83">
        <f t="shared" si="5"/>
        <v>31386287</v>
      </c>
      <c r="G9" s="83">
        <f t="shared" si="5"/>
        <v>31386287</v>
      </c>
      <c r="H9" s="31">
        <f t="shared" si="0"/>
        <v>100</v>
      </c>
      <c r="I9" s="84">
        <f>SUM(N9,S9)</f>
        <v>30265820</v>
      </c>
      <c r="J9" s="85">
        <v>5762000</v>
      </c>
      <c r="K9" s="83">
        <v>6072000</v>
      </c>
      <c r="L9" s="83">
        <v>6072000</v>
      </c>
      <c r="M9" s="31">
        <f t="shared" si="2"/>
        <v>100</v>
      </c>
      <c r="N9" s="84">
        <v>5490000</v>
      </c>
      <c r="O9" s="82">
        <v>24689000</v>
      </c>
      <c r="P9" s="83">
        <v>25314287</v>
      </c>
      <c r="Q9" s="83">
        <v>25314287</v>
      </c>
      <c r="R9" s="31">
        <f t="shared" si="3"/>
        <v>100</v>
      </c>
      <c r="S9" s="84">
        <v>24775820</v>
      </c>
      <c r="T9" s="82"/>
      <c r="U9" s="83"/>
      <c r="V9" s="83"/>
      <c r="W9" s="31"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c r="K10" s="87"/>
      <c r="L10" s="87"/>
      <c r="M10" s="28" t="e">
        <f t="shared" si="2"/>
        <v>#DIV/0!</v>
      </c>
      <c r="N10" s="88"/>
      <c r="O10" s="87"/>
      <c r="P10" s="87"/>
      <c r="Q10" s="87"/>
      <c r="R10" s="28" t="e">
        <f t="shared" si="3"/>
        <v>#DIV/0!</v>
      </c>
      <c r="S10" s="88"/>
      <c r="T10" s="87"/>
      <c r="U10" s="87"/>
      <c r="V10" s="87"/>
      <c r="W10" s="28" t="e">
        <f t="shared" si="4"/>
        <v>#DIV/0!</v>
      </c>
      <c r="X10" s="87"/>
    </row>
    <row r="11" spans="1:24" s="6" customFormat="1" ht="9.9499999999999993" customHeight="1" x14ac:dyDescent="0.2">
      <c r="A11" s="33" t="s">
        <v>6</v>
      </c>
      <c r="B11" s="826" t="s">
        <v>9</v>
      </c>
      <c r="C11" s="826"/>
      <c r="D11" s="23" t="s">
        <v>25</v>
      </c>
      <c r="E11" s="67">
        <f>SUM(E12:E30)</f>
        <v>37457000</v>
      </c>
      <c r="F11" s="67">
        <f>SUM(F12:F30)</f>
        <v>38544290</v>
      </c>
      <c r="G11" s="67">
        <f>SUM(G12:G30)</f>
        <v>38262358</v>
      </c>
      <c r="H11" s="28">
        <f t="shared" si="0"/>
        <v>99.268550542765226</v>
      </c>
      <c r="I11" s="68">
        <f>SUM(I12:I30)</f>
        <v>39297811</v>
      </c>
      <c r="J11" s="67">
        <f>SUM(J12:J30)</f>
        <v>12768000</v>
      </c>
      <c r="K11" s="67">
        <f>SUM(K12:K30)</f>
        <v>13230000</v>
      </c>
      <c r="L11" s="67">
        <f>SUM(L12:L30)</f>
        <v>12948068</v>
      </c>
      <c r="M11" s="28">
        <f t="shared" si="2"/>
        <v>97.868994708994705</v>
      </c>
      <c r="N11" s="68">
        <f>SUM(N12:N30)</f>
        <v>14521983</v>
      </c>
      <c r="O11" s="67">
        <f>SUM(O12:O30)</f>
        <v>24689000</v>
      </c>
      <c r="P11" s="67">
        <f>SUM(P12:P30)</f>
        <v>25314290</v>
      </c>
      <c r="Q11" s="67">
        <f>SUM(Q12:Q30)</f>
        <v>25314290</v>
      </c>
      <c r="R11" s="28">
        <f t="shared" si="3"/>
        <v>100</v>
      </c>
      <c r="S11" s="68">
        <f>SUM(S12:S30)</f>
        <v>24775828</v>
      </c>
      <c r="T11" s="67">
        <f>SUM(T12:T30)</f>
        <v>2929000</v>
      </c>
      <c r="U11" s="67">
        <f>SUM(U12:U30)</f>
        <v>3300000</v>
      </c>
      <c r="V11" s="67">
        <f>SUM(V12:V30)</f>
        <v>3208573</v>
      </c>
      <c r="W11" s="28">
        <f t="shared" si="4"/>
        <v>97.229484848484844</v>
      </c>
      <c r="X11" s="67">
        <f>SUM(X12:X30)</f>
        <v>2798488</v>
      </c>
    </row>
    <row r="12" spans="1:24" s="6" customFormat="1" ht="9.9499999999999993" customHeight="1" x14ac:dyDescent="0.2">
      <c r="A12" s="37" t="s">
        <v>8</v>
      </c>
      <c r="B12" s="831" t="s">
        <v>28</v>
      </c>
      <c r="C12" s="832"/>
      <c r="D12" s="58" t="s">
        <v>25</v>
      </c>
      <c r="E12" s="70">
        <f t="shared" ref="E12:I27" si="6">SUM(J12,O12)</f>
        <v>5142000</v>
      </c>
      <c r="F12" s="71">
        <f t="shared" si="6"/>
        <v>5752741</v>
      </c>
      <c r="G12" s="71">
        <f t="shared" si="6"/>
        <v>5752336</v>
      </c>
      <c r="H12" s="10">
        <f t="shared" si="0"/>
        <v>99.992959877734805</v>
      </c>
      <c r="I12" s="72">
        <f t="shared" si="6"/>
        <v>5491854</v>
      </c>
      <c r="J12" s="89">
        <v>4905000</v>
      </c>
      <c r="K12" s="90">
        <v>5133000</v>
      </c>
      <c r="L12" s="90">
        <v>5132595</v>
      </c>
      <c r="M12" s="10">
        <f t="shared" si="2"/>
        <v>99.992109877264753</v>
      </c>
      <c r="N12" s="91">
        <v>5138390</v>
      </c>
      <c r="O12" s="92">
        <v>237000</v>
      </c>
      <c r="P12" s="90">
        <v>619741</v>
      </c>
      <c r="Q12" s="90">
        <v>619741</v>
      </c>
      <c r="R12" s="10">
        <f t="shared" si="3"/>
        <v>100</v>
      </c>
      <c r="S12" s="93">
        <v>353464</v>
      </c>
      <c r="T12" s="92">
        <v>1700000</v>
      </c>
      <c r="U12" s="90">
        <v>1675000</v>
      </c>
      <c r="V12" s="90">
        <v>1648851</v>
      </c>
      <c r="W12" s="10">
        <f t="shared" si="4"/>
        <v>98.438865671641793</v>
      </c>
      <c r="X12" s="94">
        <v>1577523</v>
      </c>
    </row>
    <row r="13" spans="1:24" s="6" customFormat="1" ht="9.9499999999999993" customHeight="1" x14ac:dyDescent="0.2">
      <c r="A13" s="38" t="s">
        <v>10</v>
      </c>
      <c r="B13" s="815" t="s">
        <v>29</v>
      </c>
      <c r="C13" s="816"/>
      <c r="D13" s="56" t="s">
        <v>25</v>
      </c>
      <c r="E13" s="77">
        <f t="shared" si="6"/>
        <v>4528000</v>
      </c>
      <c r="F13" s="78">
        <f t="shared" si="6"/>
        <v>3267000</v>
      </c>
      <c r="G13" s="78">
        <f t="shared" si="6"/>
        <v>2631571</v>
      </c>
      <c r="H13" s="11">
        <f t="shared" si="0"/>
        <v>80.550076522803792</v>
      </c>
      <c r="I13" s="79">
        <f t="shared" si="6"/>
        <v>5960632</v>
      </c>
      <c r="J13" s="95">
        <v>4528000</v>
      </c>
      <c r="K13" s="78">
        <v>3267000</v>
      </c>
      <c r="L13" s="78">
        <v>2631571</v>
      </c>
      <c r="M13" s="11">
        <f t="shared" si="2"/>
        <v>80.550076522803792</v>
      </c>
      <c r="N13" s="79">
        <v>5960632</v>
      </c>
      <c r="O13" s="77"/>
      <c r="P13" s="78"/>
      <c r="Q13" s="78"/>
      <c r="R13" s="11" t="e">
        <f t="shared" si="3"/>
        <v>#DIV/0!</v>
      </c>
      <c r="S13" s="79"/>
      <c r="T13" s="77">
        <v>240000</v>
      </c>
      <c r="U13" s="78">
        <v>530000</v>
      </c>
      <c r="V13" s="78">
        <v>529479</v>
      </c>
      <c r="W13" s="11">
        <f t="shared" si="4"/>
        <v>99.901698113207544</v>
      </c>
      <c r="X13" s="81">
        <v>264429</v>
      </c>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c r="K14" s="78"/>
      <c r="L14" s="78"/>
      <c r="M14" s="11" t="e">
        <f t="shared" si="2"/>
        <v>#DIV/0!</v>
      </c>
      <c r="N14" s="79"/>
      <c r="O14" s="77"/>
      <c r="P14" s="78"/>
      <c r="Q14" s="78"/>
      <c r="R14" s="11" t="e">
        <f t="shared" si="3"/>
        <v>#DIV/0!</v>
      </c>
      <c r="S14" s="79"/>
      <c r="T14" s="77"/>
      <c r="U14" s="78"/>
      <c r="V14" s="78"/>
      <c r="W14" s="11" t="e">
        <f t="shared" si="4"/>
        <v>#DIV/0!</v>
      </c>
      <c r="X14" s="81"/>
    </row>
    <row r="15" spans="1:24" s="6" customFormat="1" ht="9.9499999999999993" customHeight="1" x14ac:dyDescent="0.2">
      <c r="A15" s="38" t="s">
        <v>12</v>
      </c>
      <c r="B15" s="815" t="s">
        <v>68</v>
      </c>
      <c r="C15" s="816"/>
      <c r="D15" s="56" t="s">
        <v>25</v>
      </c>
      <c r="E15" s="77">
        <f t="shared" si="6"/>
        <v>570000</v>
      </c>
      <c r="F15" s="78">
        <f t="shared" si="6"/>
        <v>621000</v>
      </c>
      <c r="G15" s="78">
        <f t="shared" si="6"/>
        <v>620557</v>
      </c>
      <c r="H15" s="11">
        <f t="shared" si="0"/>
        <v>99.928663446054756</v>
      </c>
      <c r="I15" s="79">
        <f t="shared" si="6"/>
        <v>451252</v>
      </c>
      <c r="J15" s="95">
        <v>570000</v>
      </c>
      <c r="K15" s="78">
        <v>621000</v>
      </c>
      <c r="L15" s="78">
        <v>620557</v>
      </c>
      <c r="M15" s="11">
        <f t="shared" si="2"/>
        <v>99.928663446054756</v>
      </c>
      <c r="N15" s="79">
        <v>451252</v>
      </c>
      <c r="O15" s="77"/>
      <c r="P15" s="78"/>
      <c r="Q15" s="78"/>
      <c r="R15" s="11" t="e">
        <f t="shared" si="3"/>
        <v>#DIV/0!</v>
      </c>
      <c r="S15" s="79"/>
      <c r="T15" s="77">
        <v>35000</v>
      </c>
      <c r="U15" s="78">
        <v>55000</v>
      </c>
      <c r="V15" s="78">
        <v>51612</v>
      </c>
      <c r="W15" s="11">
        <f t="shared" si="4"/>
        <v>93.84</v>
      </c>
      <c r="X15" s="81">
        <v>32695</v>
      </c>
    </row>
    <row r="16" spans="1:24" s="6" customFormat="1" ht="9.9499999999999993" customHeight="1" x14ac:dyDescent="0.2">
      <c r="A16" s="38" t="s">
        <v>13</v>
      </c>
      <c r="B16" s="815" t="s">
        <v>30</v>
      </c>
      <c r="C16" s="816"/>
      <c r="D16" s="56" t="s">
        <v>25</v>
      </c>
      <c r="E16" s="77">
        <f t="shared" si="6"/>
        <v>85000</v>
      </c>
      <c r="F16" s="78">
        <f t="shared" si="6"/>
        <v>56690</v>
      </c>
      <c r="G16" s="78">
        <f t="shared" si="6"/>
        <v>56006</v>
      </c>
      <c r="H16" s="11">
        <f t="shared" si="0"/>
        <v>98.793437996119252</v>
      </c>
      <c r="I16" s="79">
        <f t="shared" si="6"/>
        <v>60681</v>
      </c>
      <c r="J16" s="95">
        <v>15000</v>
      </c>
      <c r="K16" s="78">
        <v>11000</v>
      </c>
      <c r="L16" s="78">
        <v>10316</v>
      </c>
      <c r="M16" s="11">
        <f t="shared" si="2"/>
        <v>93.781818181818181</v>
      </c>
      <c r="N16" s="79">
        <v>14859</v>
      </c>
      <c r="O16" s="77">
        <v>70000</v>
      </c>
      <c r="P16" s="78">
        <v>45690</v>
      </c>
      <c r="Q16" s="78">
        <v>45690</v>
      </c>
      <c r="R16" s="11">
        <f t="shared" si="3"/>
        <v>100</v>
      </c>
      <c r="S16" s="79">
        <v>45822</v>
      </c>
      <c r="T16" s="77"/>
      <c r="U16" s="78"/>
      <c r="V16" s="78"/>
      <c r="W16" s="11" t="e">
        <f t="shared" si="4"/>
        <v>#DIV/0!</v>
      </c>
      <c r="X16" s="81"/>
    </row>
    <row r="17" spans="1:24" s="6" customFormat="1" ht="9.9499999999999993" customHeight="1" x14ac:dyDescent="0.2">
      <c r="A17" s="38" t="s">
        <v>14</v>
      </c>
      <c r="B17" s="46" t="s">
        <v>49</v>
      </c>
      <c r="C17" s="47"/>
      <c r="D17" s="56" t="s">
        <v>25</v>
      </c>
      <c r="E17" s="77">
        <f t="shared" si="6"/>
        <v>4000</v>
      </c>
      <c r="F17" s="78">
        <f t="shared" si="6"/>
        <v>3000</v>
      </c>
      <c r="G17" s="78">
        <f t="shared" si="6"/>
        <v>2051</v>
      </c>
      <c r="H17" s="11">
        <f t="shared" si="0"/>
        <v>68.36666666666666</v>
      </c>
      <c r="I17" s="79">
        <f t="shared" si="6"/>
        <v>3069</v>
      </c>
      <c r="J17" s="95">
        <v>4000</v>
      </c>
      <c r="K17" s="78">
        <v>3000</v>
      </c>
      <c r="L17" s="78">
        <v>2051</v>
      </c>
      <c r="M17" s="11">
        <f t="shared" si="2"/>
        <v>68.36666666666666</v>
      </c>
      <c r="N17" s="79">
        <v>3069</v>
      </c>
      <c r="O17" s="77"/>
      <c r="P17" s="78"/>
      <c r="Q17" s="78"/>
      <c r="R17" s="11" t="e">
        <f t="shared" si="3"/>
        <v>#DIV/0!</v>
      </c>
      <c r="S17" s="79"/>
      <c r="T17" s="77"/>
      <c r="U17" s="78"/>
      <c r="V17" s="78"/>
      <c r="W17" s="11" t="e">
        <f t="shared" si="4"/>
        <v>#DIV/0!</v>
      </c>
      <c r="X17" s="81"/>
    </row>
    <row r="18" spans="1:24" s="6" customFormat="1" ht="9.9499999999999993" customHeight="1" x14ac:dyDescent="0.2">
      <c r="A18" s="38" t="s">
        <v>15</v>
      </c>
      <c r="B18" s="815" t="s">
        <v>31</v>
      </c>
      <c r="C18" s="816"/>
      <c r="D18" s="56" t="s">
        <v>25</v>
      </c>
      <c r="E18" s="77">
        <f t="shared" si="6"/>
        <v>982000</v>
      </c>
      <c r="F18" s="78">
        <f t="shared" si="6"/>
        <v>1127739</v>
      </c>
      <c r="G18" s="78">
        <f t="shared" si="6"/>
        <v>1059906</v>
      </c>
      <c r="H18" s="11">
        <f t="shared" si="0"/>
        <v>93.985044411871897</v>
      </c>
      <c r="I18" s="79">
        <f t="shared" si="6"/>
        <v>937994</v>
      </c>
      <c r="J18" s="95">
        <v>686000</v>
      </c>
      <c r="K18" s="78">
        <v>755000</v>
      </c>
      <c r="L18" s="78">
        <v>687167</v>
      </c>
      <c r="M18" s="11">
        <f t="shared" si="2"/>
        <v>91.01549668874172</v>
      </c>
      <c r="N18" s="79">
        <v>790075</v>
      </c>
      <c r="O18" s="77">
        <v>296000</v>
      </c>
      <c r="P18" s="78">
        <v>372739</v>
      </c>
      <c r="Q18" s="78">
        <v>372739</v>
      </c>
      <c r="R18" s="11">
        <f t="shared" si="3"/>
        <v>100</v>
      </c>
      <c r="S18" s="79">
        <v>147919</v>
      </c>
      <c r="T18" s="77">
        <v>60000</v>
      </c>
      <c r="U18" s="78">
        <v>66000</v>
      </c>
      <c r="V18" s="78">
        <v>58750</v>
      </c>
      <c r="W18" s="11">
        <f t="shared" si="4"/>
        <v>89.015151515151516</v>
      </c>
      <c r="X18" s="81">
        <v>76743</v>
      </c>
    </row>
    <row r="19" spans="1:24" s="12" customFormat="1" ht="9.9499999999999993" customHeight="1" x14ac:dyDescent="0.2">
      <c r="A19" s="38" t="s">
        <v>16</v>
      </c>
      <c r="B19" s="815" t="s">
        <v>32</v>
      </c>
      <c r="C19" s="816"/>
      <c r="D19" s="56" t="s">
        <v>25</v>
      </c>
      <c r="E19" s="77">
        <f t="shared" si="6"/>
        <v>18767700</v>
      </c>
      <c r="F19" s="78">
        <f t="shared" si="6"/>
        <v>18987072</v>
      </c>
      <c r="G19" s="78">
        <f t="shared" si="6"/>
        <v>18985750</v>
      </c>
      <c r="H19" s="11">
        <f t="shared" si="0"/>
        <v>99.993037367741593</v>
      </c>
      <c r="I19" s="79">
        <f t="shared" si="6"/>
        <v>19005799</v>
      </c>
      <c r="J19" s="96">
        <v>1123000</v>
      </c>
      <c r="K19" s="78">
        <v>1085000</v>
      </c>
      <c r="L19" s="78">
        <v>1083678</v>
      </c>
      <c r="M19" s="11">
        <f t="shared" si="2"/>
        <v>99.878156682027651</v>
      </c>
      <c r="N19" s="79">
        <v>1077549</v>
      </c>
      <c r="O19" s="77">
        <v>17644700</v>
      </c>
      <c r="P19" s="78">
        <v>17902072</v>
      </c>
      <c r="Q19" s="78">
        <v>17902072</v>
      </c>
      <c r="R19" s="11">
        <f t="shared" si="3"/>
        <v>100</v>
      </c>
      <c r="S19" s="79">
        <v>17928250</v>
      </c>
      <c r="T19" s="119">
        <v>620000</v>
      </c>
      <c r="U19" s="97">
        <v>680000</v>
      </c>
      <c r="V19" s="97">
        <v>631886</v>
      </c>
      <c r="W19" s="11">
        <f t="shared" si="4"/>
        <v>92.92441176470588</v>
      </c>
      <c r="X19" s="123">
        <v>578226</v>
      </c>
    </row>
    <row r="20" spans="1:24" s="6" customFormat="1" ht="9.9499999999999993" customHeight="1" x14ac:dyDescent="0.2">
      <c r="A20" s="38" t="s">
        <v>17</v>
      </c>
      <c r="B20" s="815" t="s">
        <v>50</v>
      </c>
      <c r="C20" s="816"/>
      <c r="D20" s="56" t="s">
        <v>25</v>
      </c>
      <c r="E20" s="77">
        <f t="shared" si="6"/>
        <v>6380000</v>
      </c>
      <c r="F20" s="78">
        <f t="shared" si="6"/>
        <v>6382255</v>
      </c>
      <c r="G20" s="78">
        <f t="shared" si="6"/>
        <v>6370083</v>
      </c>
      <c r="H20" s="11">
        <f t="shared" si="0"/>
        <v>99.809283709284571</v>
      </c>
      <c r="I20" s="79">
        <f t="shared" si="6"/>
        <v>6276427</v>
      </c>
      <c r="J20" s="95">
        <v>370000</v>
      </c>
      <c r="K20" s="78">
        <v>348000</v>
      </c>
      <c r="L20" s="78">
        <v>335828</v>
      </c>
      <c r="M20" s="11">
        <f t="shared" si="2"/>
        <v>96.502298850574704</v>
      </c>
      <c r="N20" s="79">
        <v>361876</v>
      </c>
      <c r="O20" s="77">
        <v>6010000</v>
      </c>
      <c r="P20" s="78">
        <v>6034255</v>
      </c>
      <c r="Q20" s="78">
        <v>6034255</v>
      </c>
      <c r="R20" s="11">
        <f t="shared" si="3"/>
        <v>100</v>
      </c>
      <c r="S20" s="79">
        <v>5914551</v>
      </c>
      <c r="T20" s="77">
        <v>211000</v>
      </c>
      <c r="U20" s="78">
        <v>214000</v>
      </c>
      <c r="V20" s="78">
        <v>213826</v>
      </c>
      <c r="W20" s="11">
        <f t="shared" si="4"/>
        <v>99.918691588785052</v>
      </c>
      <c r="X20" s="81">
        <v>191994</v>
      </c>
    </row>
    <row r="21" spans="1:24" s="6" customFormat="1" ht="9.9499999999999993" customHeight="1" x14ac:dyDescent="0.2">
      <c r="A21" s="38" t="s">
        <v>18</v>
      </c>
      <c r="B21" s="815" t="s">
        <v>51</v>
      </c>
      <c r="C21" s="816"/>
      <c r="D21" s="56" t="s">
        <v>25</v>
      </c>
      <c r="E21" s="77">
        <f t="shared" si="6"/>
        <v>209300</v>
      </c>
      <c r="F21" s="78">
        <f t="shared" si="6"/>
        <v>202730</v>
      </c>
      <c r="G21" s="78">
        <f t="shared" si="6"/>
        <v>201996</v>
      </c>
      <c r="H21" s="11">
        <f t="shared" si="0"/>
        <v>99.637942090465145</v>
      </c>
      <c r="I21" s="79">
        <f t="shared" si="6"/>
        <v>206096</v>
      </c>
      <c r="J21" s="95">
        <v>18000</v>
      </c>
      <c r="K21" s="78">
        <v>16000</v>
      </c>
      <c r="L21" s="78">
        <v>15266</v>
      </c>
      <c r="M21" s="11">
        <f t="shared" si="2"/>
        <v>95.412499999999994</v>
      </c>
      <c r="N21" s="79">
        <v>32583</v>
      </c>
      <c r="O21" s="77">
        <v>191300</v>
      </c>
      <c r="P21" s="78">
        <v>186730</v>
      </c>
      <c r="Q21" s="78">
        <v>186730</v>
      </c>
      <c r="R21" s="11">
        <f t="shared" si="3"/>
        <v>100</v>
      </c>
      <c r="S21" s="79">
        <v>173513</v>
      </c>
      <c r="T21" s="77">
        <v>7000</v>
      </c>
      <c r="U21" s="78">
        <v>7000</v>
      </c>
      <c r="V21" s="78">
        <v>6102</v>
      </c>
      <c r="W21" s="11">
        <f t="shared" si="4"/>
        <v>87.171428571428564</v>
      </c>
      <c r="X21" s="81">
        <v>7544</v>
      </c>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c r="K22" s="78"/>
      <c r="L22" s="78"/>
      <c r="M22" s="11" t="e">
        <f t="shared" si="2"/>
        <v>#DIV/0!</v>
      </c>
      <c r="N22" s="79"/>
      <c r="O22" s="77"/>
      <c r="P22" s="78"/>
      <c r="Q22" s="78"/>
      <c r="R22" s="11" t="e">
        <f t="shared" si="3"/>
        <v>#DIV/0!</v>
      </c>
      <c r="S22" s="79"/>
      <c r="T22" s="77">
        <v>3000</v>
      </c>
      <c r="U22" s="78">
        <v>3000</v>
      </c>
      <c r="V22" s="78">
        <v>0</v>
      </c>
      <c r="W22" s="11">
        <f t="shared" si="4"/>
        <v>0</v>
      </c>
      <c r="X22" s="81">
        <v>3000</v>
      </c>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0</v>
      </c>
      <c r="J23" s="95"/>
      <c r="K23" s="78"/>
      <c r="L23" s="78"/>
      <c r="M23" s="11" t="e">
        <f t="shared" si="2"/>
        <v>#DIV/0!</v>
      </c>
      <c r="N23" s="79"/>
      <c r="O23" s="77"/>
      <c r="P23" s="78"/>
      <c r="Q23" s="78"/>
      <c r="R23" s="11" t="e">
        <f t="shared" si="3"/>
        <v>#DIV/0!</v>
      </c>
      <c r="S23" s="79"/>
      <c r="T23" s="77"/>
      <c r="U23" s="78"/>
      <c r="V23" s="78"/>
      <c r="W23" s="11"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9"/>
      <c r="O24" s="77"/>
      <c r="P24" s="78"/>
      <c r="Q24" s="78"/>
      <c r="R24" s="11" t="e">
        <f t="shared" si="3"/>
        <v>#DIV/0!</v>
      </c>
      <c r="S24" s="79"/>
      <c r="T24" s="77"/>
      <c r="U24" s="78"/>
      <c r="V24" s="78"/>
      <c r="W24" s="11" t="e">
        <f t="shared" si="4"/>
        <v>#DIV/0!</v>
      </c>
      <c r="X24" s="81"/>
    </row>
    <row r="25" spans="1:24" s="6" customFormat="1" ht="9.9499999999999993" customHeight="1" x14ac:dyDescent="0.2">
      <c r="A25" s="39" t="s">
        <v>22</v>
      </c>
      <c r="B25" s="48" t="s">
        <v>132</v>
      </c>
      <c r="C25" s="49"/>
      <c r="D25" s="56" t="s">
        <v>25</v>
      </c>
      <c r="E25" s="77">
        <f t="shared" si="6"/>
        <v>320000</v>
      </c>
      <c r="F25" s="78">
        <f t="shared" si="6"/>
        <v>189063</v>
      </c>
      <c r="G25" s="78">
        <f t="shared" si="6"/>
        <v>188351</v>
      </c>
      <c r="H25" s="11">
        <f t="shared" si="0"/>
        <v>99.623405954628879</v>
      </c>
      <c r="I25" s="79">
        <f t="shared" si="6"/>
        <v>212309</v>
      </c>
      <c r="J25" s="95">
        <v>80000</v>
      </c>
      <c r="K25" s="98">
        <v>36000</v>
      </c>
      <c r="L25" s="98">
        <v>35288</v>
      </c>
      <c r="M25" s="11">
        <f t="shared" si="2"/>
        <v>98.022222222222226</v>
      </c>
      <c r="N25" s="99"/>
      <c r="O25" s="100">
        <v>240000</v>
      </c>
      <c r="P25" s="98">
        <v>153063</v>
      </c>
      <c r="Q25" s="98">
        <v>153063</v>
      </c>
      <c r="R25" s="11">
        <f t="shared" si="3"/>
        <v>100</v>
      </c>
      <c r="S25" s="101">
        <v>212309</v>
      </c>
      <c r="T25" s="100"/>
      <c r="U25" s="98">
        <v>6000</v>
      </c>
      <c r="V25" s="98">
        <v>5817</v>
      </c>
      <c r="W25" s="11">
        <f t="shared" si="4"/>
        <v>96.95</v>
      </c>
      <c r="X25" s="124">
        <v>325</v>
      </c>
    </row>
    <row r="26" spans="1:24" s="14" customFormat="1" ht="9.9499999999999993" customHeight="1" x14ac:dyDescent="0.2">
      <c r="A26" s="38" t="s">
        <v>23</v>
      </c>
      <c r="B26" s="815" t="s">
        <v>72</v>
      </c>
      <c r="C26" s="816"/>
      <c r="D26" s="56" t="s">
        <v>25</v>
      </c>
      <c r="E26" s="77">
        <f t="shared" si="6"/>
        <v>266000</v>
      </c>
      <c r="F26" s="78">
        <f t="shared" si="6"/>
        <v>309000</v>
      </c>
      <c r="G26" s="78">
        <f t="shared" si="6"/>
        <v>301359</v>
      </c>
      <c r="H26" s="15">
        <f t="shared" si="0"/>
        <v>97.527184466019406</v>
      </c>
      <c r="I26" s="79">
        <f t="shared" si="6"/>
        <v>271403</v>
      </c>
      <c r="J26" s="95">
        <v>266000</v>
      </c>
      <c r="K26" s="103">
        <v>309000</v>
      </c>
      <c r="L26" s="103">
        <v>301359</v>
      </c>
      <c r="M26" s="11">
        <f t="shared" si="2"/>
        <v>97.527184466019406</v>
      </c>
      <c r="N26" s="79">
        <v>271403</v>
      </c>
      <c r="O26" s="102"/>
      <c r="P26" s="103"/>
      <c r="Q26" s="103"/>
      <c r="R26" s="11" t="e">
        <f t="shared" si="3"/>
        <v>#DIV/0!</v>
      </c>
      <c r="S26" s="99"/>
      <c r="T26" s="120">
        <v>53000</v>
      </c>
      <c r="U26" s="105">
        <v>62000</v>
      </c>
      <c r="V26" s="105">
        <v>61097</v>
      </c>
      <c r="W26" s="11">
        <f t="shared" si="4"/>
        <v>98.543548387096763</v>
      </c>
      <c r="X26" s="125">
        <v>66009</v>
      </c>
    </row>
    <row r="27" spans="1:24" s="16" customFormat="1" ht="9.9499999999999993" customHeight="1" x14ac:dyDescent="0.2">
      <c r="A27" s="38" t="s">
        <v>45</v>
      </c>
      <c r="B27" s="46" t="s">
        <v>73</v>
      </c>
      <c r="C27" s="47"/>
      <c r="D27" s="56" t="s">
        <v>25</v>
      </c>
      <c r="E27" s="77">
        <f t="shared" si="6"/>
        <v>0</v>
      </c>
      <c r="F27" s="78">
        <f t="shared" si="6"/>
        <v>0</v>
      </c>
      <c r="G27" s="78">
        <f t="shared" si="6"/>
        <v>296481</v>
      </c>
      <c r="H27" s="15" t="e">
        <f t="shared" si="0"/>
        <v>#DIV/0!</v>
      </c>
      <c r="I27" s="79">
        <f t="shared" si="6"/>
        <v>0</v>
      </c>
      <c r="J27" s="95">
        <v>0</v>
      </c>
      <c r="K27" s="103">
        <v>0</v>
      </c>
      <c r="L27" s="103">
        <v>296481</v>
      </c>
      <c r="M27" s="11" t="e">
        <f t="shared" si="2"/>
        <v>#DIV/0!</v>
      </c>
      <c r="N27" s="99"/>
      <c r="O27" s="102"/>
      <c r="P27" s="103"/>
      <c r="Q27" s="103"/>
      <c r="R27" s="11" t="e">
        <f t="shared" si="3"/>
        <v>#DIV/0!</v>
      </c>
      <c r="S27" s="99"/>
      <c r="T27" s="120"/>
      <c r="U27" s="105"/>
      <c r="V27" s="105"/>
      <c r="W27" s="11" t="e">
        <f t="shared" si="4"/>
        <v>#DIV/0!</v>
      </c>
      <c r="X27" s="125"/>
    </row>
    <row r="28" spans="1:24" s="14" customFormat="1" ht="9.9499999999999993" customHeight="1" x14ac:dyDescent="0.2">
      <c r="A28" s="38" t="s">
        <v>53</v>
      </c>
      <c r="B28" s="815" t="s">
        <v>74</v>
      </c>
      <c r="C28" s="816"/>
      <c r="D28" s="56" t="s">
        <v>25</v>
      </c>
      <c r="E28" s="77">
        <f t="shared" ref="E28:G30" si="7">SUM(J28,O28)</f>
        <v>203000</v>
      </c>
      <c r="F28" s="78">
        <f t="shared" si="7"/>
        <v>1646000</v>
      </c>
      <c r="G28" s="78">
        <f t="shared" si="7"/>
        <v>1795911</v>
      </c>
      <c r="H28" s="15">
        <f t="shared" si="0"/>
        <v>109.10759416767921</v>
      </c>
      <c r="I28" s="79">
        <f>SUM(N28,S28)</f>
        <v>420295</v>
      </c>
      <c r="J28" s="95">
        <v>203000</v>
      </c>
      <c r="K28" s="103">
        <v>1646000</v>
      </c>
      <c r="L28" s="103">
        <v>1795911</v>
      </c>
      <c r="M28" s="11">
        <f t="shared" si="2"/>
        <v>109.10759416767921</v>
      </c>
      <c r="N28" s="99">
        <v>420295</v>
      </c>
      <c r="O28" s="102"/>
      <c r="P28" s="103"/>
      <c r="Q28" s="103"/>
      <c r="R28" s="11" t="e">
        <f t="shared" si="3"/>
        <v>#DIV/0!</v>
      </c>
      <c r="S28" s="99"/>
      <c r="T28" s="120"/>
      <c r="U28" s="105">
        <v>2000</v>
      </c>
      <c r="V28" s="105">
        <v>1153</v>
      </c>
      <c r="W28" s="11">
        <f t="shared" si="4"/>
        <v>57.65</v>
      </c>
      <c r="X28" s="125"/>
    </row>
    <row r="29" spans="1:24" s="6" customFormat="1" ht="9.75" x14ac:dyDescent="0.2">
      <c r="A29" s="38" t="s">
        <v>54</v>
      </c>
      <c r="B29" s="46" t="s">
        <v>55</v>
      </c>
      <c r="C29" s="47"/>
      <c r="D29" s="56" t="s">
        <v>25</v>
      </c>
      <c r="E29" s="77">
        <f t="shared" si="7"/>
        <v>0</v>
      </c>
      <c r="F29" s="78">
        <f t="shared" si="7"/>
        <v>0</v>
      </c>
      <c r="G29" s="78">
        <f t="shared" si="7"/>
        <v>0</v>
      </c>
      <c r="H29" s="15" t="e">
        <f t="shared" si="0"/>
        <v>#DIV/0!</v>
      </c>
      <c r="I29" s="79">
        <f>SUM(N29,S29)</f>
        <v>0</v>
      </c>
      <c r="J29" s="95"/>
      <c r="K29" s="103"/>
      <c r="L29" s="103"/>
      <c r="M29" s="11" t="e">
        <f t="shared" si="2"/>
        <v>#DIV/0!</v>
      </c>
      <c r="N29" s="99"/>
      <c r="O29" s="102"/>
      <c r="P29" s="103"/>
      <c r="Q29" s="103"/>
      <c r="R29" s="11" t="e">
        <f t="shared" si="3"/>
        <v>#DIV/0!</v>
      </c>
      <c r="S29" s="99"/>
      <c r="T29" s="120"/>
      <c r="U29" s="105"/>
      <c r="V29" s="105"/>
      <c r="W29" s="11" t="e">
        <f t="shared" si="4"/>
        <v>#DIV/0!</v>
      </c>
      <c r="X29" s="125"/>
    </row>
    <row r="30" spans="1:24" s="27" customFormat="1" ht="9.75" x14ac:dyDescent="0.2">
      <c r="A30" s="40" t="s">
        <v>56</v>
      </c>
      <c r="B30" s="319" t="s">
        <v>75</v>
      </c>
      <c r="C30" s="320"/>
      <c r="D30" s="59" t="s">
        <v>25</v>
      </c>
      <c r="E30" s="82">
        <f t="shared" si="7"/>
        <v>0</v>
      </c>
      <c r="F30" s="83">
        <f t="shared" si="7"/>
        <v>0</v>
      </c>
      <c r="G30" s="83">
        <f t="shared" si="7"/>
        <v>0</v>
      </c>
      <c r="H30" s="17" t="e">
        <f t="shared" si="0"/>
        <v>#DIV/0!</v>
      </c>
      <c r="I30" s="84">
        <f>SUM(N30,S30)</f>
        <v>0</v>
      </c>
      <c r="J30" s="106"/>
      <c r="K30" s="107"/>
      <c r="L30" s="107"/>
      <c r="M30" s="31" t="e">
        <f t="shared" si="2"/>
        <v>#DIV/0!</v>
      </c>
      <c r="N30" s="108"/>
      <c r="O30" s="109"/>
      <c r="P30" s="107"/>
      <c r="Q30" s="107"/>
      <c r="R30" s="31" t="e">
        <f t="shared" si="3"/>
        <v>#DIV/0!</v>
      </c>
      <c r="S30" s="108"/>
      <c r="T30" s="121"/>
      <c r="U30" s="110"/>
      <c r="V30" s="110"/>
      <c r="W30" s="31" t="e">
        <f t="shared" si="4"/>
        <v>#DIV/0!</v>
      </c>
      <c r="X30" s="126"/>
    </row>
    <row r="31" spans="1:24" s="27" customFormat="1" ht="9.75" x14ac:dyDescent="0.2">
      <c r="A31" s="33" t="s">
        <v>57</v>
      </c>
      <c r="B31" s="817" t="s">
        <v>58</v>
      </c>
      <c r="C31" s="818"/>
      <c r="D31" s="22" t="s">
        <v>25</v>
      </c>
      <c r="E31" s="67">
        <f>SUM(E6-E11)</f>
        <v>0</v>
      </c>
      <c r="F31" s="67">
        <f>SUM(F6-F11)</f>
        <v>-38000</v>
      </c>
      <c r="G31" s="67">
        <f>SUM(G6-G11)</f>
        <v>225630</v>
      </c>
      <c r="H31" s="29">
        <f t="shared" si="0"/>
        <v>-593.76315789473688</v>
      </c>
      <c r="I31" s="68">
        <f>SUM(I6-I11)</f>
        <v>-2150101</v>
      </c>
      <c r="J31" s="67">
        <f>SUM(J6-J11)</f>
        <v>0</v>
      </c>
      <c r="K31" s="67">
        <f>SUM(K6-K11)</f>
        <v>-38000</v>
      </c>
      <c r="L31" s="67">
        <f>SUM(L6-L11)</f>
        <v>225630</v>
      </c>
      <c r="M31" s="21">
        <f t="shared" si="2"/>
        <v>-593.76315789473688</v>
      </c>
      <c r="N31" s="68">
        <f>SUM(N6-N11)</f>
        <v>-2150101</v>
      </c>
      <c r="O31" s="67">
        <f>SUM(O6-O11)</f>
        <v>0</v>
      </c>
      <c r="P31" s="67">
        <f>SUM(P6-P11)</f>
        <v>0</v>
      </c>
      <c r="Q31" s="67">
        <f>SUM(Q6-Q11)</f>
        <v>0</v>
      </c>
      <c r="R31" s="21" t="e">
        <f t="shared" si="3"/>
        <v>#DIV/0!</v>
      </c>
      <c r="S31" s="68">
        <f>SUM(S6-S11)</f>
        <v>0</v>
      </c>
      <c r="T31" s="67">
        <f>SUM(T6-T11)</f>
        <v>61000</v>
      </c>
      <c r="U31" s="67">
        <f>SUM(U6-U11)</f>
        <v>99000</v>
      </c>
      <c r="V31" s="67">
        <f>SUM(V6-V11)</f>
        <v>185622</v>
      </c>
      <c r="W31" s="21">
        <f t="shared" si="4"/>
        <v>187.4969696969697</v>
      </c>
      <c r="X31" s="67">
        <f>SUM(X6-X11)</f>
        <v>39795</v>
      </c>
    </row>
    <row r="32" spans="1:24" s="27" customFormat="1" ht="9.75" x14ac:dyDescent="0.2">
      <c r="A32" s="41" t="s">
        <v>59</v>
      </c>
      <c r="B32" s="60" t="s">
        <v>76</v>
      </c>
      <c r="C32" s="61"/>
      <c r="D32" s="22" t="s">
        <v>25</v>
      </c>
      <c r="E32" s="130">
        <f>SUM(J32,O32)</f>
        <v>0</v>
      </c>
      <c r="F32" s="131">
        <f>SUM(K32,P32)</f>
        <v>0</v>
      </c>
      <c r="G32" s="131">
        <f>SUM(L32,Q32)</f>
        <v>380</v>
      </c>
      <c r="H32" s="26" t="e">
        <f t="shared" si="0"/>
        <v>#DIV/0!</v>
      </c>
      <c r="I32" s="132">
        <f>SUM(N32,S32)</f>
        <v>0</v>
      </c>
      <c r="J32" s="112"/>
      <c r="K32" s="113"/>
      <c r="L32" s="113">
        <v>380</v>
      </c>
      <c r="M32" s="9" t="e">
        <f t="shared" si="2"/>
        <v>#DIV/0!</v>
      </c>
      <c r="N32" s="114"/>
      <c r="O32" s="115"/>
      <c r="P32" s="113"/>
      <c r="Q32" s="113"/>
      <c r="R32" s="9" t="e">
        <f t="shared" si="3"/>
        <v>#DIV/0!</v>
      </c>
      <c r="S32" s="114"/>
      <c r="T32" s="115"/>
      <c r="U32" s="113"/>
      <c r="V32" s="113"/>
      <c r="W32" s="9" t="e">
        <f t="shared" si="4"/>
        <v>#DIV/0!</v>
      </c>
      <c r="X32" s="116"/>
    </row>
    <row r="33" spans="1:24" s="27" customFormat="1" ht="9.75" x14ac:dyDescent="0.2">
      <c r="A33" s="33" t="s">
        <v>60</v>
      </c>
      <c r="B33" s="24" t="s">
        <v>61</v>
      </c>
      <c r="C33" s="25"/>
      <c r="D33" s="22" t="s">
        <v>25</v>
      </c>
      <c r="E33" s="67">
        <f>E31-E32</f>
        <v>0</v>
      </c>
      <c r="F33" s="67">
        <f>F31-F32</f>
        <v>-38000</v>
      </c>
      <c r="G33" s="67">
        <f>G31-G32</f>
        <v>225250</v>
      </c>
      <c r="H33" s="29">
        <f t="shared" si="0"/>
        <v>-592.76315789473676</v>
      </c>
      <c r="I33" s="68">
        <f>I31-I32</f>
        <v>-2150101</v>
      </c>
      <c r="J33" s="67">
        <f>J31-J32</f>
        <v>0</v>
      </c>
      <c r="K33" s="67">
        <f>K31-K32</f>
        <v>-38000</v>
      </c>
      <c r="L33" s="67">
        <f>L31-L32</f>
        <v>225250</v>
      </c>
      <c r="M33" s="21">
        <f t="shared" si="2"/>
        <v>-592.76315789473676</v>
      </c>
      <c r="N33" s="68">
        <f>N31-N32</f>
        <v>-2150101</v>
      </c>
      <c r="O33" s="67">
        <f>O31-O32</f>
        <v>0</v>
      </c>
      <c r="P33" s="67">
        <f>P31-P32</f>
        <v>0</v>
      </c>
      <c r="Q33" s="67">
        <f>Q31-Q32</f>
        <v>0</v>
      </c>
      <c r="R33" s="21" t="e">
        <f t="shared" si="3"/>
        <v>#DIV/0!</v>
      </c>
      <c r="S33" s="68">
        <f>S31-S32</f>
        <v>0</v>
      </c>
      <c r="T33" s="67">
        <f>T31-T32</f>
        <v>61000</v>
      </c>
      <c r="U33" s="67">
        <f>U31-U32</f>
        <v>99000</v>
      </c>
      <c r="V33" s="67">
        <f>V31-V32</f>
        <v>185622</v>
      </c>
      <c r="W33" s="21">
        <f t="shared" si="4"/>
        <v>187.4969696969697</v>
      </c>
      <c r="X33" s="67">
        <f>X31-X32</f>
        <v>39795</v>
      </c>
    </row>
    <row r="34" spans="1:24" s="4" customFormat="1" ht="9" x14ac:dyDescent="0.2">
      <c r="A34" s="42" t="s">
        <v>62</v>
      </c>
      <c r="B34" s="1193" t="s">
        <v>24</v>
      </c>
      <c r="C34" s="1194"/>
      <c r="D34" s="62" t="s">
        <v>25</v>
      </c>
      <c r="E34" s="207">
        <v>21130</v>
      </c>
      <c r="F34" s="208">
        <v>21130</v>
      </c>
      <c r="G34" s="208">
        <v>22077</v>
      </c>
      <c r="H34" s="13">
        <f t="shared" si="0"/>
        <v>104.48177946048271</v>
      </c>
      <c r="I34" s="209">
        <v>22231</v>
      </c>
      <c r="J34" s="804"/>
      <c r="K34" s="805"/>
      <c r="L34" s="805"/>
      <c r="M34" s="805"/>
      <c r="N34" s="805"/>
      <c r="O34" s="805"/>
      <c r="P34" s="805"/>
      <c r="Q34" s="805"/>
      <c r="R34" s="805"/>
      <c r="S34" s="805"/>
      <c r="T34" s="805"/>
      <c r="U34" s="805"/>
      <c r="V34" s="805"/>
      <c r="W34" s="805"/>
      <c r="X34" s="806"/>
    </row>
    <row r="35" spans="1:24" s="4" customFormat="1" ht="9" x14ac:dyDescent="0.2">
      <c r="A35" s="32" t="s">
        <v>63</v>
      </c>
      <c r="B35" s="797" t="s">
        <v>33</v>
      </c>
      <c r="C35" s="798"/>
      <c r="D35" s="63" t="s">
        <v>26</v>
      </c>
      <c r="E35" s="213">
        <v>73</v>
      </c>
      <c r="F35" s="214">
        <v>73</v>
      </c>
      <c r="G35" s="214">
        <v>74</v>
      </c>
      <c r="H35" s="15">
        <f t="shared" si="0"/>
        <v>101.36986301369863</v>
      </c>
      <c r="I35" s="215">
        <v>72</v>
      </c>
      <c r="J35" s="804"/>
      <c r="K35" s="805"/>
      <c r="L35" s="805"/>
      <c r="M35" s="805"/>
      <c r="N35" s="805"/>
      <c r="O35" s="805"/>
      <c r="P35" s="805"/>
      <c r="Q35" s="805"/>
      <c r="R35" s="805"/>
      <c r="S35" s="805"/>
      <c r="T35" s="805"/>
      <c r="U35" s="805"/>
      <c r="V35" s="805"/>
      <c r="W35" s="805"/>
      <c r="X35" s="806"/>
    </row>
    <row r="36" spans="1:24" s="4" customFormat="1" ht="9" x14ac:dyDescent="0.2">
      <c r="A36" s="43" t="s">
        <v>64</v>
      </c>
      <c r="B36" s="799" t="s">
        <v>27</v>
      </c>
      <c r="C36" s="800"/>
      <c r="D36" s="64" t="s">
        <v>26</v>
      </c>
      <c r="E36" s="210">
        <v>74</v>
      </c>
      <c r="F36" s="211">
        <v>74</v>
      </c>
      <c r="G36" s="211">
        <v>73</v>
      </c>
      <c r="H36" s="17">
        <f t="shared" si="0"/>
        <v>98.648648648648646</v>
      </c>
      <c r="I36" s="212">
        <v>73</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117"/>
      <c r="K37" s="118"/>
      <c r="L37" s="118"/>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5"/>
  <sheetViews>
    <sheetView tabSelected="1" zoomScaleNormal="100" workbookViewId="0"/>
  </sheetViews>
  <sheetFormatPr defaultRowHeight="12.75" x14ac:dyDescent="0.2"/>
  <cols>
    <col min="1" max="1" width="58" style="128" customWidth="1"/>
    <col min="2" max="2" width="33.5" style="128" customWidth="1"/>
    <col min="3" max="3" width="25.5" style="128" customWidth="1"/>
    <col min="4" max="5" width="25.75" style="128" customWidth="1"/>
    <col min="6" max="6" width="22.75" style="128" customWidth="1"/>
    <col min="7" max="9" width="10" style="128"/>
  </cols>
  <sheetData>
    <row r="1" spans="1:9" ht="18.75" x14ac:dyDescent="0.3">
      <c r="A1" s="129" t="s">
        <v>102</v>
      </c>
      <c r="B1" s="127"/>
      <c r="C1" s="127"/>
      <c r="D1" s="127"/>
      <c r="E1" s="127"/>
      <c r="F1" s="127"/>
      <c r="G1" s="127"/>
      <c r="H1" s="127"/>
      <c r="I1" s="127"/>
    </row>
    <row r="3" spans="1:9" s="217" customFormat="1" ht="10.5" x14ac:dyDescent="0.15">
      <c r="A3" s="852" t="s">
        <v>133</v>
      </c>
      <c r="B3" s="852"/>
      <c r="C3" s="852"/>
      <c r="D3" s="852"/>
      <c r="E3" s="852"/>
      <c r="F3" s="852"/>
      <c r="G3" s="852"/>
      <c r="H3" s="852"/>
      <c r="I3" s="852"/>
    </row>
    <row r="4" spans="1:9" s="218" customFormat="1" ht="11.25" x14ac:dyDescent="0.2"/>
    <row r="5" spans="1:9" s="219" customFormat="1" ht="9.75" x14ac:dyDescent="0.2">
      <c r="A5" s="870" t="s">
        <v>77</v>
      </c>
      <c r="B5" s="871"/>
      <c r="C5" s="551" t="s">
        <v>25</v>
      </c>
      <c r="D5" s="847" t="s">
        <v>112</v>
      </c>
      <c r="E5" s="847"/>
      <c r="F5" s="847"/>
      <c r="G5" s="847"/>
      <c r="H5" s="847"/>
      <c r="I5" s="847"/>
    </row>
    <row r="6" spans="1:9" s="218" customFormat="1" ht="15" customHeight="1" x14ac:dyDescent="0.2">
      <c r="A6" s="872" t="s">
        <v>134</v>
      </c>
      <c r="B6" s="872"/>
      <c r="C6" s="226">
        <f>C7+C8+C9</f>
        <v>-1512238.27</v>
      </c>
      <c r="D6" s="876"/>
      <c r="E6" s="877"/>
      <c r="F6" s="877"/>
      <c r="G6" s="877"/>
      <c r="H6" s="877"/>
      <c r="I6" s="877"/>
    </row>
    <row r="7" spans="1:9" s="218" customFormat="1" ht="25.5" customHeight="1" x14ac:dyDescent="0.2">
      <c r="A7" s="873" t="s">
        <v>78</v>
      </c>
      <c r="B7" s="874"/>
      <c r="C7" s="245">
        <v>13024.14</v>
      </c>
      <c r="D7" s="1205" t="s">
        <v>804</v>
      </c>
      <c r="E7" s="1206"/>
      <c r="F7" s="1206"/>
      <c r="G7" s="1206"/>
      <c r="H7" s="1206"/>
      <c r="I7" s="1207"/>
    </row>
    <row r="8" spans="1:9" s="217" customFormat="1" ht="29.25" customHeight="1" x14ac:dyDescent="0.15">
      <c r="A8" s="863" t="s">
        <v>113</v>
      </c>
      <c r="B8" s="864"/>
      <c r="C8" s="261">
        <v>78334.59</v>
      </c>
      <c r="D8" s="1208"/>
      <c r="E8" s="1209"/>
      <c r="F8" s="1209"/>
      <c r="G8" s="1209"/>
      <c r="H8" s="1209"/>
      <c r="I8" s="1210"/>
    </row>
    <row r="9" spans="1:9" s="217" customFormat="1" ht="26.25" customHeight="1" x14ac:dyDescent="0.15">
      <c r="A9" s="863" t="s">
        <v>114</v>
      </c>
      <c r="B9" s="864"/>
      <c r="C9" s="261">
        <v>-1603597</v>
      </c>
      <c r="D9" s="944"/>
      <c r="E9" s="1165"/>
      <c r="F9" s="1165"/>
      <c r="G9" s="1165"/>
      <c r="H9" s="1165"/>
      <c r="I9" s="945"/>
    </row>
    <row r="10" spans="1:9" s="218" customFormat="1" ht="11.25" x14ac:dyDescent="0.2">
      <c r="C10" s="220"/>
    </row>
    <row r="11" spans="1:9" s="218" customFormat="1" ht="11.25" x14ac:dyDescent="0.2">
      <c r="A11" s="852" t="s">
        <v>135</v>
      </c>
      <c r="B11" s="852"/>
      <c r="C11" s="852"/>
      <c r="D11" s="852"/>
      <c r="E11" s="852"/>
      <c r="F11" s="852"/>
      <c r="G11" s="852"/>
      <c r="H11" s="852"/>
      <c r="I11" s="852"/>
    </row>
    <row r="12" spans="1:9" s="218" customFormat="1" ht="11.25" x14ac:dyDescent="0.2">
      <c r="C12" s="220"/>
      <c r="D12" s="231"/>
      <c r="E12" s="231"/>
      <c r="F12" s="231"/>
      <c r="G12" s="231"/>
      <c r="H12" s="231"/>
      <c r="I12" s="231"/>
    </row>
    <row r="13" spans="1:9" s="221" customFormat="1" ht="9.75" x14ac:dyDescent="0.2">
      <c r="A13" s="551" t="s">
        <v>77</v>
      </c>
      <c r="B13" s="551" t="s">
        <v>79</v>
      </c>
      <c r="C13" s="551" t="s">
        <v>25</v>
      </c>
      <c r="D13" s="470"/>
      <c r="E13" s="436"/>
      <c r="F13" s="436"/>
      <c r="G13" s="436"/>
      <c r="H13" s="436"/>
      <c r="I13" s="436"/>
    </row>
    <row r="14" spans="1:9" s="218" customFormat="1" ht="15" customHeight="1" x14ac:dyDescent="0.2">
      <c r="A14" s="222" t="s">
        <v>136</v>
      </c>
      <c r="B14" s="437"/>
      <c r="C14" s="223">
        <v>0</v>
      </c>
      <c r="D14" s="471"/>
      <c r="E14" s="439"/>
      <c r="F14" s="439"/>
      <c r="G14" s="439"/>
      <c r="H14" s="439"/>
      <c r="I14" s="439"/>
    </row>
    <row r="15" spans="1:9" s="218" customFormat="1" ht="15" customHeight="1" x14ac:dyDescent="0.2">
      <c r="A15" s="868" t="s">
        <v>137</v>
      </c>
      <c r="B15" s="263" t="s">
        <v>80</v>
      </c>
      <c r="C15" s="264">
        <v>0</v>
      </c>
      <c r="D15" s="472"/>
      <c r="E15" s="441"/>
      <c r="F15" s="441"/>
      <c r="G15" s="441"/>
      <c r="H15" s="441"/>
      <c r="I15" s="441"/>
    </row>
    <row r="16" spans="1:9" s="218" customFormat="1" ht="15" customHeight="1" x14ac:dyDescent="0.2">
      <c r="A16" s="1204"/>
      <c r="B16" s="263" t="s">
        <v>81</v>
      </c>
      <c r="C16" s="724">
        <v>0</v>
      </c>
      <c r="D16" s="443"/>
      <c r="E16" s="443"/>
      <c r="F16" s="443"/>
      <c r="G16" s="443"/>
      <c r="H16" s="443"/>
      <c r="I16" s="443"/>
    </row>
    <row r="17" spans="1:9" s="218" customFormat="1" ht="15" customHeight="1" x14ac:dyDescent="0.2">
      <c r="A17" s="723"/>
      <c r="B17" s="725" t="s">
        <v>805</v>
      </c>
      <c r="C17" s="726">
        <v>91358.73</v>
      </c>
      <c r="D17" s="443"/>
      <c r="E17" s="443"/>
      <c r="F17" s="443"/>
      <c r="G17" s="443"/>
      <c r="H17" s="443"/>
      <c r="I17" s="443"/>
    </row>
    <row r="18" spans="1:9" s="218" customFormat="1" ht="15" customHeight="1" x14ac:dyDescent="0.2">
      <c r="A18" s="552" t="s">
        <v>134</v>
      </c>
      <c r="B18" s="445"/>
      <c r="C18" s="226">
        <f>SUM(C14:C17)</f>
        <v>91358.73</v>
      </c>
      <c r="D18" s="447"/>
      <c r="E18" s="447"/>
      <c r="F18" s="447"/>
      <c r="G18" s="447"/>
      <c r="H18" s="447"/>
      <c r="I18" s="447"/>
    </row>
    <row r="19" spans="1:9" s="449" customFormat="1" ht="11.25" x14ac:dyDescent="0.2">
      <c r="A19" s="448"/>
      <c r="C19" s="476"/>
      <c r="D19" s="452"/>
      <c r="E19" s="452"/>
      <c r="F19" s="452"/>
      <c r="G19" s="452"/>
      <c r="H19" s="452"/>
      <c r="I19" s="452"/>
    </row>
    <row r="20" spans="1:9" s="218" customFormat="1" ht="11.25" x14ac:dyDescent="0.2">
      <c r="A20" s="852" t="s">
        <v>138</v>
      </c>
      <c r="B20" s="852"/>
      <c r="C20" s="852"/>
      <c r="D20" s="852"/>
      <c r="E20" s="852"/>
      <c r="F20" s="852"/>
      <c r="G20" s="852"/>
      <c r="H20" s="852"/>
      <c r="I20" s="852"/>
    </row>
    <row r="21" spans="1:9" s="218" customFormat="1" ht="11.25" x14ac:dyDescent="0.2">
      <c r="C21" s="220"/>
    </row>
    <row r="22" spans="1:9" s="224" customFormat="1" ht="9.75" x14ac:dyDescent="0.2">
      <c r="A22" s="551" t="s">
        <v>79</v>
      </c>
      <c r="B22" s="551" t="s">
        <v>139</v>
      </c>
      <c r="C22" s="550" t="s">
        <v>140</v>
      </c>
      <c r="D22" s="551" t="s">
        <v>141</v>
      </c>
      <c r="E22" s="551" t="s">
        <v>142</v>
      </c>
      <c r="F22" s="847" t="s">
        <v>115</v>
      </c>
      <c r="G22" s="847"/>
      <c r="H22" s="847"/>
      <c r="I22" s="847"/>
    </row>
    <row r="23" spans="1:9" s="218" customFormat="1" ht="33" customHeight="1" x14ac:dyDescent="0.2">
      <c r="A23" s="265" t="s">
        <v>116</v>
      </c>
      <c r="B23" s="266">
        <v>238103.7</v>
      </c>
      <c r="C23" s="266">
        <v>276659.23</v>
      </c>
      <c r="D23" s="266">
        <v>344020.82</v>
      </c>
      <c r="E23" s="266">
        <f>B23+C23-D23</f>
        <v>170742.11</v>
      </c>
      <c r="F23" s="785" t="s">
        <v>824</v>
      </c>
      <c r="G23" s="786"/>
      <c r="H23" s="786"/>
      <c r="I23" s="787"/>
    </row>
    <row r="24" spans="1:9" s="218" customFormat="1" ht="24" customHeight="1" x14ac:dyDescent="0.2">
      <c r="A24" s="263" t="s">
        <v>143</v>
      </c>
      <c r="B24" s="267">
        <v>449113.11</v>
      </c>
      <c r="C24" s="267">
        <v>111313.18</v>
      </c>
      <c r="D24" s="267">
        <v>537277</v>
      </c>
      <c r="E24" s="267">
        <f t="shared" ref="E24:E26" si="0">B24+C24-D24</f>
        <v>23149.290000000037</v>
      </c>
      <c r="F24" s="747" t="s">
        <v>664</v>
      </c>
      <c r="G24" s="795"/>
      <c r="H24" s="795"/>
      <c r="I24" s="796"/>
    </row>
    <row r="25" spans="1:9" s="218" customFormat="1" ht="23.25" customHeight="1" x14ac:dyDescent="0.2">
      <c r="A25" s="263" t="s">
        <v>81</v>
      </c>
      <c r="B25" s="267">
        <v>39367.78</v>
      </c>
      <c r="C25" s="267">
        <v>10000</v>
      </c>
      <c r="D25" s="267">
        <v>1827</v>
      </c>
      <c r="E25" s="267">
        <f t="shared" si="0"/>
        <v>47540.78</v>
      </c>
      <c r="F25" s="788" t="s">
        <v>665</v>
      </c>
      <c r="G25" s="1202"/>
      <c r="H25" s="1202"/>
      <c r="I25" s="1203"/>
    </row>
    <row r="26" spans="1:9" s="218" customFormat="1" ht="11.25" customHeight="1" x14ac:dyDescent="0.2">
      <c r="A26" s="262" t="s">
        <v>82</v>
      </c>
      <c r="B26" s="268">
        <v>189902.5</v>
      </c>
      <c r="C26" s="268">
        <v>142817</v>
      </c>
      <c r="D26" s="268">
        <v>193446.5</v>
      </c>
      <c r="E26" s="268">
        <f t="shared" si="0"/>
        <v>139273</v>
      </c>
      <c r="F26" s="1176" t="s">
        <v>644</v>
      </c>
      <c r="G26" s="760"/>
      <c r="H26" s="760"/>
      <c r="I26" s="761"/>
    </row>
    <row r="27" spans="1:9" s="217" customFormat="1" ht="10.5" x14ac:dyDescent="0.15">
      <c r="A27" s="225" t="s">
        <v>34</v>
      </c>
      <c r="B27" s="226">
        <f>SUM(B23:B26)</f>
        <v>916487.09000000008</v>
      </c>
      <c r="C27" s="226">
        <f t="shared" ref="C27:E27" si="1">SUM(C23:C26)</f>
        <v>540789.40999999992</v>
      </c>
      <c r="D27" s="226">
        <f t="shared" si="1"/>
        <v>1076571.32</v>
      </c>
      <c r="E27" s="226">
        <f t="shared" si="1"/>
        <v>380705.18000000005</v>
      </c>
      <c r="F27" s="850"/>
      <c r="G27" s="850"/>
      <c r="H27" s="850"/>
      <c r="I27" s="851"/>
    </row>
    <row r="28" spans="1:9" s="218" customFormat="1" ht="11.25" x14ac:dyDescent="0.2">
      <c r="C28" s="220"/>
    </row>
    <row r="29" spans="1:9" s="218" customFormat="1" ht="11.25" x14ac:dyDescent="0.2">
      <c r="A29" s="852" t="s">
        <v>144</v>
      </c>
      <c r="B29" s="852"/>
      <c r="C29" s="852"/>
      <c r="D29" s="852"/>
      <c r="E29" s="852"/>
      <c r="F29" s="852"/>
      <c r="G29" s="852"/>
      <c r="H29" s="852"/>
      <c r="I29" s="852"/>
    </row>
    <row r="30" spans="1:9" s="218" customFormat="1" ht="11.25" x14ac:dyDescent="0.2">
      <c r="C30" s="220"/>
    </row>
    <row r="31" spans="1:9" s="218" customFormat="1" ht="11.25" x14ac:dyDescent="0.2">
      <c r="A31" s="551" t="s">
        <v>83</v>
      </c>
      <c r="B31" s="551" t="s">
        <v>25</v>
      </c>
      <c r="C31" s="550" t="s">
        <v>84</v>
      </c>
      <c r="D31" s="847" t="s">
        <v>117</v>
      </c>
      <c r="E31" s="847"/>
      <c r="F31" s="847"/>
      <c r="G31" s="847"/>
      <c r="H31" s="847"/>
      <c r="I31" s="847"/>
    </row>
    <row r="32" spans="1:9" s="218" customFormat="1" ht="15" customHeight="1" x14ac:dyDescent="0.2">
      <c r="A32" s="556"/>
      <c r="B32" s="268">
        <v>0</v>
      </c>
      <c r="C32" s="557"/>
      <c r="D32" s="1211"/>
      <c r="E32" s="1212"/>
      <c r="F32" s="1212"/>
      <c r="G32" s="1212"/>
      <c r="H32" s="1212"/>
      <c r="I32" s="1213"/>
    </row>
    <row r="33" spans="1:9" s="217" customFormat="1" ht="11.25" x14ac:dyDescent="0.2">
      <c r="A33" s="225" t="s">
        <v>34</v>
      </c>
      <c r="B33" s="226">
        <f>SUM(B32:B32)</f>
        <v>0</v>
      </c>
      <c r="C33" s="879"/>
      <c r="D33" s="879"/>
      <c r="E33" s="879"/>
      <c r="F33" s="879"/>
      <c r="G33" s="879"/>
      <c r="H33" s="879"/>
      <c r="I33" s="880"/>
    </row>
    <row r="34" spans="1:9" s="218" customFormat="1" ht="11.25" x14ac:dyDescent="0.2">
      <c r="C34" s="220"/>
    </row>
    <row r="35" spans="1:9" s="218" customFormat="1" ht="11.25" x14ac:dyDescent="0.2">
      <c r="A35" s="852" t="s">
        <v>145</v>
      </c>
      <c r="B35" s="852"/>
      <c r="C35" s="852"/>
      <c r="D35" s="852"/>
      <c r="E35" s="852"/>
      <c r="F35" s="852"/>
      <c r="G35" s="852"/>
      <c r="H35" s="852"/>
      <c r="I35" s="852"/>
    </row>
    <row r="36" spans="1:9" s="218" customFormat="1" ht="11.25" x14ac:dyDescent="0.2">
      <c r="C36" s="220"/>
    </row>
    <row r="37" spans="1:9" s="218" customFormat="1" ht="11.25" x14ac:dyDescent="0.2">
      <c r="A37" s="551" t="s">
        <v>83</v>
      </c>
      <c r="B37" s="551" t="s">
        <v>25</v>
      </c>
      <c r="C37" s="550" t="s">
        <v>84</v>
      </c>
      <c r="D37" s="847" t="s">
        <v>117</v>
      </c>
      <c r="E37" s="847"/>
      <c r="F37" s="847"/>
      <c r="G37" s="847"/>
      <c r="H37" s="847"/>
      <c r="I37" s="881"/>
    </row>
    <row r="38" spans="1:9" s="218" customFormat="1" ht="15" customHeight="1" x14ac:dyDescent="0.2">
      <c r="A38" s="239"/>
      <c r="B38" s="266">
        <v>0</v>
      </c>
      <c r="C38" s="227"/>
      <c r="D38" s="916"/>
      <c r="E38" s="917"/>
      <c r="F38" s="917"/>
      <c r="G38" s="917"/>
      <c r="H38" s="917"/>
      <c r="I38" s="918"/>
    </row>
    <row r="39" spans="1:9" s="217" customFormat="1" ht="10.5" x14ac:dyDescent="0.15">
      <c r="A39" s="225" t="s">
        <v>34</v>
      </c>
      <c r="B39" s="226">
        <f>SUM(B38:B38)</f>
        <v>0</v>
      </c>
      <c r="C39" s="882"/>
      <c r="D39" s="882"/>
      <c r="E39" s="882"/>
      <c r="F39" s="882"/>
      <c r="G39" s="882"/>
      <c r="H39" s="882"/>
      <c r="I39" s="882"/>
    </row>
    <row r="40" spans="1:9" s="218" customFormat="1" ht="11.25" x14ac:dyDescent="0.2">
      <c r="C40" s="220"/>
    </row>
    <row r="41" spans="1:9" s="218" customFormat="1" ht="11.25" x14ac:dyDescent="0.2">
      <c r="A41" s="852" t="s">
        <v>146</v>
      </c>
      <c r="B41" s="852"/>
      <c r="C41" s="852"/>
      <c r="D41" s="852"/>
      <c r="E41" s="852"/>
      <c r="F41" s="852"/>
      <c r="G41" s="852"/>
      <c r="H41" s="852"/>
      <c r="I41" s="852"/>
    </row>
    <row r="42" spans="1:9" s="218" customFormat="1" ht="11.25" x14ac:dyDescent="0.2">
      <c r="C42" s="220"/>
    </row>
    <row r="43" spans="1:9" s="218" customFormat="1" ht="11.25" x14ac:dyDescent="0.2">
      <c r="A43" s="551" t="s">
        <v>25</v>
      </c>
      <c r="B43" s="550" t="s">
        <v>147</v>
      </c>
      <c r="C43" s="861" t="s">
        <v>85</v>
      </c>
      <c r="D43" s="861"/>
      <c r="E43" s="861"/>
      <c r="F43" s="861"/>
      <c r="G43" s="861"/>
      <c r="H43" s="861"/>
      <c r="I43" s="862"/>
    </row>
    <row r="44" spans="1:9" s="218" customFormat="1" ht="11.25" customHeight="1" x14ac:dyDescent="0.2">
      <c r="A44" s="228">
        <v>0</v>
      </c>
      <c r="B44" s="228">
        <v>0</v>
      </c>
      <c r="C44" s="1197"/>
      <c r="D44" s="1198"/>
      <c r="E44" s="1198"/>
      <c r="F44" s="1198"/>
      <c r="G44" s="1198"/>
      <c r="H44" s="1198"/>
      <c r="I44" s="1199"/>
    </row>
    <row r="45" spans="1:9" s="217" customFormat="1" ht="10.5" x14ac:dyDescent="0.15">
      <c r="A45" s="226">
        <f>SUM(A44)</f>
        <v>0</v>
      </c>
      <c r="B45" s="226">
        <f>SUM(B44)</f>
        <v>0</v>
      </c>
      <c r="C45" s="859" t="s">
        <v>34</v>
      </c>
      <c r="D45" s="859"/>
      <c r="E45" s="859"/>
      <c r="F45" s="859"/>
      <c r="G45" s="859"/>
      <c r="H45" s="859"/>
      <c r="I45" s="860"/>
    </row>
    <row r="46" spans="1:9" s="218" customFormat="1" ht="11.25" x14ac:dyDescent="0.2">
      <c r="C46" s="220"/>
    </row>
    <row r="47" spans="1:9" s="218" customFormat="1" ht="11.25" x14ac:dyDescent="0.2">
      <c r="A47" s="852" t="s">
        <v>148</v>
      </c>
      <c r="B47" s="852"/>
      <c r="C47" s="852"/>
      <c r="D47" s="852"/>
      <c r="E47" s="852"/>
      <c r="F47" s="852"/>
      <c r="G47" s="852"/>
      <c r="H47" s="852"/>
      <c r="I47" s="852"/>
    </row>
    <row r="48" spans="1:9" s="449" customFormat="1" ht="11.25" x14ac:dyDescent="0.2">
      <c r="A48" s="633"/>
      <c r="B48" s="633"/>
      <c r="C48" s="633"/>
      <c r="D48" s="633"/>
      <c r="E48" s="633"/>
      <c r="F48" s="633"/>
      <c r="G48" s="633"/>
      <c r="H48" s="633"/>
      <c r="I48" s="633"/>
    </row>
    <row r="49" spans="1:9" s="449" customFormat="1" ht="11.25" x14ac:dyDescent="0.2">
      <c r="A49" s="753" t="s">
        <v>86</v>
      </c>
      <c r="B49" s="753"/>
      <c r="C49" s="549" t="s">
        <v>87</v>
      </c>
      <c r="D49" s="547" t="s">
        <v>88</v>
      </c>
      <c r="E49" s="547" t="s">
        <v>25</v>
      </c>
      <c r="F49" s="633"/>
      <c r="G49" s="633"/>
      <c r="H49" s="633"/>
      <c r="I49" s="633"/>
    </row>
    <row r="50" spans="1:9" s="218" customFormat="1" ht="15" customHeight="1" x14ac:dyDescent="0.2">
      <c r="A50" s="1201" t="s">
        <v>645</v>
      </c>
      <c r="B50" s="1201"/>
      <c r="C50" s="650">
        <v>41683</v>
      </c>
      <c r="D50" s="650">
        <v>41683</v>
      </c>
      <c r="E50" s="660">
        <v>3000</v>
      </c>
    </row>
    <row r="51" spans="1:9" s="218" customFormat="1" ht="60.75" customHeight="1" x14ac:dyDescent="0.2">
      <c r="A51" s="1196" t="s">
        <v>646</v>
      </c>
      <c r="B51" s="1196"/>
      <c r="C51" s="651">
        <v>41729</v>
      </c>
      <c r="D51" s="651">
        <v>41729</v>
      </c>
      <c r="E51" s="661">
        <v>127852</v>
      </c>
    </row>
    <row r="52" spans="1:9" s="218" customFormat="1" ht="15" customHeight="1" x14ac:dyDescent="0.2">
      <c r="A52" s="1196" t="s">
        <v>647</v>
      </c>
      <c r="B52" s="1196"/>
      <c r="C52" s="652">
        <v>41754</v>
      </c>
      <c r="D52" s="652">
        <v>41754</v>
      </c>
      <c r="E52" s="661">
        <v>30000</v>
      </c>
      <c r="H52" s="653"/>
    </row>
    <row r="53" spans="1:9" s="218" customFormat="1" ht="27.75" customHeight="1" x14ac:dyDescent="0.2">
      <c r="A53" s="1196" t="s">
        <v>648</v>
      </c>
      <c r="B53" s="1196"/>
      <c r="C53" s="651">
        <v>41779</v>
      </c>
      <c r="D53" s="651">
        <v>41779</v>
      </c>
      <c r="E53" s="662">
        <v>239293</v>
      </c>
    </row>
    <row r="54" spans="1:9" s="218" customFormat="1" ht="15" customHeight="1" x14ac:dyDescent="0.2">
      <c r="A54" s="1200" t="s">
        <v>649</v>
      </c>
      <c r="B54" s="1200"/>
      <c r="C54" s="654">
        <v>41820</v>
      </c>
      <c r="D54" s="654">
        <v>41759</v>
      </c>
      <c r="E54" s="663">
        <v>8000</v>
      </c>
    </row>
    <row r="55" spans="1:9" s="218" customFormat="1" ht="50.25" customHeight="1" x14ac:dyDescent="0.2">
      <c r="A55" s="1195" t="s">
        <v>650</v>
      </c>
      <c r="B55" s="1195"/>
      <c r="C55" s="652">
        <v>41786</v>
      </c>
      <c r="D55" s="652">
        <v>41786</v>
      </c>
      <c r="E55" s="661">
        <v>70000</v>
      </c>
    </row>
    <row r="56" spans="1:9" s="218" customFormat="1" ht="15" customHeight="1" x14ac:dyDescent="0.2">
      <c r="A56" s="1196" t="s">
        <v>651</v>
      </c>
      <c r="B56" s="1196"/>
      <c r="C56" s="651">
        <v>41786</v>
      </c>
      <c r="D56" s="651">
        <v>41786</v>
      </c>
      <c r="E56" s="662">
        <v>707</v>
      </c>
    </row>
    <row r="57" spans="1:9" s="218" customFormat="1" ht="39" customHeight="1" x14ac:dyDescent="0.2">
      <c r="A57" s="1196" t="s">
        <v>652</v>
      </c>
      <c r="B57" s="1196"/>
      <c r="C57" s="651">
        <v>41899</v>
      </c>
      <c r="D57" s="651">
        <v>41899</v>
      </c>
      <c r="E57" s="662">
        <v>74000</v>
      </c>
    </row>
    <row r="58" spans="1:9" s="218" customFormat="1" ht="61.5" customHeight="1" x14ac:dyDescent="0.2">
      <c r="A58" s="1196" t="s">
        <v>653</v>
      </c>
      <c r="B58" s="1196"/>
      <c r="C58" s="651">
        <v>41926</v>
      </c>
      <c r="D58" s="651">
        <v>41926</v>
      </c>
      <c r="E58" s="662">
        <v>100000</v>
      </c>
    </row>
    <row r="59" spans="1:9" s="218" customFormat="1" ht="50.25" customHeight="1" x14ac:dyDescent="0.2">
      <c r="A59" s="1196" t="s">
        <v>654</v>
      </c>
      <c r="B59" s="1196"/>
      <c r="C59" s="651">
        <v>41955</v>
      </c>
      <c r="D59" s="651">
        <v>41955</v>
      </c>
      <c r="E59" s="662">
        <v>80000</v>
      </c>
    </row>
    <row r="60" spans="1:9" s="218" customFormat="1" ht="38.25" customHeight="1" x14ac:dyDescent="0.2">
      <c r="A60" s="1196" t="s">
        <v>655</v>
      </c>
      <c r="B60" s="1196"/>
      <c r="C60" s="651">
        <v>41977</v>
      </c>
      <c r="D60" s="651">
        <v>41977</v>
      </c>
      <c r="E60" s="662">
        <v>139000</v>
      </c>
    </row>
    <row r="61" spans="1:9" s="218" customFormat="1" ht="39" customHeight="1" x14ac:dyDescent="0.2">
      <c r="A61" s="1200" t="s">
        <v>656</v>
      </c>
      <c r="B61" s="1200"/>
      <c r="C61" s="655">
        <v>42004</v>
      </c>
      <c r="D61" s="655">
        <v>42004</v>
      </c>
      <c r="E61" s="664">
        <v>23980</v>
      </c>
    </row>
    <row r="62" spans="1:9" s="218" customFormat="1" ht="97.5" customHeight="1" x14ac:dyDescent="0.2">
      <c r="A62" s="1196" t="s">
        <v>657</v>
      </c>
      <c r="B62" s="1196"/>
      <c r="C62" s="656" t="s">
        <v>658</v>
      </c>
      <c r="D62" s="656" t="s">
        <v>658</v>
      </c>
      <c r="E62" s="630" t="s">
        <v>659</v>
      </c>
    </row>
    <row r="63" spans="1:9" s="218" customFormat="1" ht="37.5" customHeight="1" x14ac:dyDescent="0.2">
      <c r="A63" s="1196" t="s">
        <v>660</v>
      </c>
      <c r="B63" s="1196"/>
      <c r="C63" s="651">
        <v>42004</v>
      </c>
      <c r="D63" s="651">
        <v>42004</v>
      </c>
      <c r="E63" s="630" t="s">
        <v>661</v>
      </c>
    </row>
    <row r="64" spans="1:9" s="218" customFormat="1" ht="39" customHeight="1" x14ac:dyDescent="0.2">
      <c r="A64" s="1196" t="s">
        <v>662</v>
      </c>
      <c r="B64" s="1196"/>
      <c r="C64" s="651">
        <v>42004</v>
      </c>
      <c r="D64" s="651">
        <v>42004</v>
      </c>
      <c r="E64" s="630" t="s">
        <v>663</v>
      </c>
    </row>
    <row r="65" spans="1:9" s="218" customFormat="1" ht="15" customHeight="1" x14ac:dyDescent="0.2">
      <c r="A65" s="657"/>
      <c r="B65" s="657"/>
      <c r="C65" s="658"/>
      <c r="D65" s="658"/>
      <c r="E65" s="659"/>
    </row>
    <row r="66" spans="1:9" s="218" customFormat="1" ht="15" customHeight="1" x14ac:dyDescent="0.2">
      <c r="A66" s="794" t="s">
        <v>152</v>
      </c>
      <c r="B66" s="794"/>
      <c r="C66" s="794"/>
      <c r="D66" s="794"/>
      <c r="E66" s="794"/>
      <c r="F66" s="794"/>
      <c r="G66" s="794"/>
      <c r="H66" s="794"/>
      <c r="I66" s="794"/>
    </row>
    <row r="67" spans="1:9" s="218" customFormat="1" ht="11.25" x14ac:dyDescent="0.2"/>
    <row r="68" spans="1:9" s="218" customFormat="1" ht="24" customHeight="1" x14ac:dyDescent="0.2">
      <c r="A68" s="1103" t="s">
        <v>667</v>
      </c>
      <c r="B68" s="1104"/>
      <c r="C68" s="1104"/>
      <c r="D68" s="1104"/>
      <c r="E68" s="1104"/>
      <c r="F68" s="1104"/>
      <c r="G68" s="1104"/>
      <c r="H68" s="1104"/>
      <c r="I68" s="1105"/>
    </row>
    <row r="69" spans="1:9" s="218" customFormat="1" ht="11.25" x14ac:dyDescent="0.2"/>
    <row r="70" spans="1:9" s="217" customFormat="1" ht="15" customHeight="1" x14ac:dyDescent="0.15">
      <c r="A70" s="852" t="s">
        <v>153</v>
      </c>
      <c r="B70" s="852"/>
      <c r="C70" s="852"/>
      <c r="D70" s="852"/>
      <c r="E70" s="852"/>
      <c r="F70" s="852"/>
      <c r="G70" s="852"/>
      <c r="H70" s="852"/>
      <c r="I70" s="852"/>
    </row>
    <row r="71" spans="1:9" s="218" customFormat="1" ht="11.25" x14ac:dyDescent="0.2"/>
    <row r="72" spans="1:9" s="218" customFormat="1" ht="34.5" customHeight="1" x14ac:dyDescent="0.2">
      <c r="A72" s="789" t="s">
        <v>806</v>
      </c>
      <c r="B72" s="790"/>
      <c r="C72" s="790"/>
      <c r="D72" s="790"/>
      <c r="E72" s="790"/>
      <c r="F72" s="790"/>
      <c r="G72" s="790"/>
      <c r="H72" s="790"/>
      <c r="I72" s="791"/>
    </row>
    <row r="73" spans="1:9" s="218" customFormat="1" ht="12.75" customHeight="1" x14ac:dyDescent="0.2">
      <c r="A73" s="789" t="s">
        <v>807</v>
      </c>
      <c r="B73" s="790"/>
      <c r="C73" s="790"/>
      <c r="D73" s="790"/>
      <c r="E73" s="790"/>
      <c r="F73" s="790"/>
      <c r="G73" s="790"/>
      <c r="H73" s="790"/>
      <c r="I73" s="791"/>
    </row>
    <row r="74" spans="1:9" s="218" customFormat="1" ht="12.75" customHeight="1" x14ac:dyDescent="0.2">
      <c r="A74" s="789" t="s">
        <v>666</v>
      </c>
      <c r="B74" s="790"/>
      <c r="C74" s="790"/>
      <c r="D74" s="790"/>
      <c r="E74" s="790"/>
      <c r="F74" s="790"/>
      <c r="G74" s="790"/>
      <c r="H74" s="790"/>
      <c r="I74" s="791"/>
    </row>
    <row r="75" spans="1:9" s="66" customFormat="1" x14ac:dyDescent="0.2"/>
  </sheetData>
  <mergeCells count="53">
    <mergeCell ref="D32:I32"/>
    <mergeCell ref="F26:I26"/>
    <mergeCell ref="F27:I27"/>
    <mergeCell ref="A29:I29"/>
    <mergeCell ref="D31:I31"/>
    <mergeCell ref="A3:I3"/>
    <mergeCell ref="A5:B5"/>
    <mergeCell ref="D5:I5"/>
    <mergeCell ref="A6:B6"/>
    <mergeCell ref="D6:I6"/>
    <mergeCell ref="A8:B8"/>
    <mergeCell ref="F25:I25"/>
    <mergeCell ref="A7:B7"/>
    <mergeCell ref="A9:B9"/>
    <mergeCell ref="A11:I11"/>
    <mergeCell ref="F22:I22"/>
    <mergeCell ref="F23:I23"/>
    <mergeCell ref="F24:I24"/>
    <mergeCell ref="A15:A16"/>
    <mergeCell ref="A20:I20"/>
    <mergeCell ref="D7:I9"/>
    <mergeCell ref="A74:I74"/>
    <mergeCell ref="A52:B52"/>
    <mergeCell ref="A53:B53"/>
    <mergeCell ref="A41:I41"/>
    <mergeCell ref="C43:I43"/>
    <mergeCell ref="C44:I44"/>
    <mergeCell ref="C45:I45"/>
    <mergeCell ref="A47:I47"/>
    <mergeCell ref="A49:B49"/>
    <mergeCell ref="A54:B54"/>
    <mergeCell ref="A58:B58"/>
    <mergeCell ref="A59:B59"/>
    <mergeCell ref="A60:B60"/>
    <mergeCell ref="A61:B61"/>
    <mergeCell ref="A50:B50"/>
    <mergeCell ref="A51:B51"/>
    <mergeCell ref="C33:I33"/>
    <mergeCell ref="A35:I35"/>
    <mergeCell ref="D37:I37"/>
    <mergeCell ref="D38:I38"/>
    <mergeCell ref="C39:I39"/>
    <mergeCell ref="A73:I73"/>
    <mergeCell ref="A55:B55"/>
    <mergeCell ref="A56:B56"/>
    <mergeCell ref="A57:B57"/>
    <mergeCell ref="A70:I70"/>
    <mergeCell ref="A62:B62"/>
    <mergeCell ref="A63:B63"/>
    <mergeCell ref="A64:B64"/>
    <mergeCell ref="A66:I66"/>
    <mergeCell ref="A68:I68"/>
    <mergeCell ref="A72:I72"/>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833" t="s">
        <v>102</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91"/>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99"/>
      <c r="B4" s="892"/>
      <c r="C4" s="893"/>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900"/>
      <c r="B5" s="894"/>
      <c r="C5" s="895"/>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26017911</v>
      </c>
      <c r="F6" s="67">
        <f>SUM(F7:F9)</f>
        <v>27427339</v>
      </c>
      <c r="G6" s="67">
        <f>SUM(G7:G9)</f>
        <v>27427458.879999999</v>
      </c>
      <c r="H6" s="28">
        <f t="shared" ref="H6:H33" si="0">G6/F6*100</f>
        <v>100.0004370821391</v>
      </c>
      <c r="I6" s="67">
        <f>SUM(I7:I9)</f>
        <v>27074211</v>
      </c>
      <c r="J6" s="67">
        <f>SUM(J7:J9)</f>
        <v>6956011</v>
      </c>
      <c r="K6" s="67">
        <f t="shared" ref="K6:X6" si="1">SUM(K7:K9)</f>
        <v>7342582</v>
      </c>
      <c r="L6" s="67">
        <f t="shared" si="1"/>
        <v>7342701.8799999999</v>
      </c>
      <c r="M6" s="28">
        <f t="shared" ref="M6:M33" si="2">L6/K6*100</f>
        <v>100.0016326681813</v>
      </c>
      <c r="N6" s="68">
        <f t="shared" si="1"/>
        <v>6950849</v>
      </c>
      <c r="O6" s="67">
        <f t="shared" si="1"/>
        <v>19061900</v>
      </c>
      <c r="P6" s="67">
        <f t="shared" si="1"/>
        <v>20084757</v>
      </c>
      <c r="Q6" s="67">
        <f t="shared" si="1"/>
        <v>20084757</v>
      </c>
      <c r="R6" s="28">
        <f t="shared" ref="R6:R33" si="3">Q6/P6*100</f>
        <v>100</v>
      </c>
      <c r="S6" s="67">
        <f t="shared" si="1"/>
        <v>20123362</v>
      </c>
      <c r="T6" s="67">
        <f t="shared" si="1"/>
        <v>0</v>
      </c>
      <c r="U6" s="67">
        <f t="shared" si="1"/>
        <v>555000</v>
      </c>
      <c r="V6" s="67">
        <f t="shared" si="1"/>
        <v>539358</v>
      </c>
      <c r="W6" s="28">
        <f t="shared" ref="W6:W33" si="4">V6/U6*100</f>
        <v>97.181621621621616</v>
      </c>
      <c r="X6" s="67">
        <f t="shared" si="1"/>
        <v>0</v>
      </c>
    </row>
    <row r="7" spans="1:24" s="6" customFormat="1" ht="9.9499999999999993" customHeight="1" x14ac:dyDescent="0.2">
      <c r="A7" s="34" t="s">
        <v>2</v>
      </c>
      <c r="B7" s="827" t="s">
        <v>47</v>
      </c>
      <c r="C7" s="828"/>
      <c r="D7" s="55" t="s">
        <v>25</v>
      </c>
      <c r="E7" s="70">
        <f t="shared" ref="E7:G10" si="5">SUM(J7,O7)</f>
        <v>3555000</v>
      </c>
      <c r="F7" s="71">
        <f t="shared" si="5"/>
        <v>3871571</v>
      </c>
      <c r="G7" s="71">
        <f t="shared" si="5"/>
        <v>3871819.5</v>
      </c>
      <c r="H7" s="10">
        <f t="shared" si="0"/>
        <v>100.00641858305066</v>
      </c>
      <c r="I7" s="72">
        <f>SUM(N7,S7)</f>
        <v>3647353</v>
      </c>
      <c r="J7" s="73">
        <v>3555000</v>
      </c>
      <c r="K7" s="74">
        <v>3871571</v>
      </c>
      <c r="L7" s="74">
        <v>3871819.5</v>
      </c>
      <c r="M7" s="10">
        <f t="shared" si="2"/>
        <v>100.00641858305066</v>
      </c>
      <c r="N7" s="75">
        <v>3647353</v>
      </c>
      <c r="O7" s="76"/>
      <c r="P7" s="74"/>
      <c r="Q7" s="74">
        <v>0</v>
      </c>
      <c r="R7" s="10" t="e">
        <f t="shared" si="3"/>
        <v>#DIV/0!</v>
      </c>
      <c r="S7" s="75"/>
      <c r="T7" s="76"/>
      <c r="U7" s="74">
        <v>555000</v>
      </c>
      <c r="V7" s="74">
        <v>539358</v>
      </c>
      <c r="W7" s="10">
        <f t="shared" si="4"/>
        <v>97.181621621621616</v>
      </c>
      <c r="X7" s="122"/>
    </row>
    <row r="8" spans="1:24" s="6" customFormat="1" ht="9.9499999999999993" customHeight="1" x14ac:dyDescent="0.2">
      <c r="A8" s="35" t="s">
        <v>3</v>
      </c>
      <c r="B8" s="829" t="s">
        <v>48</v>
      </c>
      <c r="C8" s="830"/>
      <c r="D8" s="56" t="s">
        <v>25</v>
      </c>
      <c r="E8" s="77">
        <f t="shared" si="5"/>
        <v>6000</v>
      </c>
      <c r="F8" s="78">
        <f t="shared" si="5"/>
        <v>6000</v>
      </c>
      <c r="G8" s="78">
        <f t="shared" si="5"/>
        <v>5871.38</v>
      </c>
      <c r="H8" s="11">
        <f t="shared" si="0"/>
        <v>97.856333333333339</v>
      </c>
      <c r="I8" s="79">
        <f>SUM(N8,S8)</f>
        <v>7625</v>
      </c>
      <c r="J8" s="80">
        <v>6000</v>
      </c>
      <c r="K8" s="78">
        <v>6000</v>
      </c>
      <c r="L8" s="78">
        <v>5871.38</v>
      </c>
      <c r="M8" s="11">
        <f t="shared" si="2"/>
        <v>97.856333333333339</v>
      </c>
      <c r="N8" s="79">
        <v>7456</v>
      </c>
      <c r="O8" s="77"/>
      <c r="P8" s="78"/>
      <c r="Q8" s="78">
        <v>0</v>
      </c>
      <c r="R8" s="11" t="e">
        <f t="shared" si="3"/>
        <v>#DIV/0!</v>
      </c>
      <c r="S8" s="78">
        <v>169</v>
      </c>
      <c r="T8" s="77"/>
      <c r="U8" s="78"/>
      <c r="V8" s="78">
        <v>0</v>
      </c>
      <c r="W8" s="11" t="e">
        <f t="shared" si="4"/>
        <v>#DIV/0!</v>
      </c>
      <c r="X8" s="81"/>
    </row>
    <row r="9" spans="1:24" s="6" customFormat="1" ht="9.9499999999999993" customHeight="1" x14ac:dyDescent="0.2">
      <c r="A9" s="36" t="s">
        <v>4</v>
      </c>
      <c r="B9" s="319" t="s">
        <v>66</v>
      </c>
      <c r="C9" s="320"/>
      <c r="D9" s="57" t="s">
        <v>25</v>
      </c>
      <c r="E9" s="82">
        <f t="shared" si="5"/>
        <v>22456911</v>
      </c>
      <c r="F9" s="83">
        <f t="shared" si="5"/>
        <v>23549768</v>
      </c>
      <c r="G9" s="83">
        <f t="shared" si="5"/>
        <v>23549768</v>
      </c>
      <c r="H9" s="31">
        <f t="shared" si="0"/>
        <v>100</v>
      </c>
      <c r="I9" s="84">
        <f>SUM(N9,S9)</f>
        <v>23419233</v>
      </c>
      <c r="J9" s="85">
        <v>3395011</v>
      </c>
      <c r="K9" s="83">
        <v>3465011</v>
      </c>
      <c r="L9" s="83">
        <v>3465011</v>
      </c>
      <c r="M9" s="31">
        <f t="shared" si="2"/>
        <v>100</v>
      </c>
      <c r="N9" s="84">
        <v>3296040</v>
      </c>
      <c r="O9" s="82">
        <v>19061900</v>
      </c>
      <c r="P9" s="83">
        <v>20084757</v>
      </c>
      <c r="Q9" s="83">
        <v>20084757</v>
      </c>
      <c r="R9" s="31">
        <f t="shared" si="3"/>
        <v>100</v>
      </c>
      <c r="S9" s="83">
        <v>20123193</v>
      </c>
      <c r="T9" s="82"/>
      <c r="U9" s="83"/>
      <c r="V9" s="83">
        <v>0</v>
      </c>
      <c r="W9" s="31"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v>0</v>
      </c>
      <c r="K10" s="87"/>
      <c r="L10" s="87"/>
      <c r="M10" s="28" t="e">
        <f t="shared" si="2"/>
        <v>#DIV/0!</v>
      </c>
      <c r="N10" s="88">
        <v>0</v>
      </c>
      <c r="O10" s="87"/>
      <c r="P10" s="87"/>
      <c r="Q10" s="87">
        <v>0</v>
      </c>
      <c r="R10" s="28" t="e">
        <f t="shared" si="3"/>
        <v>#DIV/0!</v>
      </c>
      <c r="S10" s="88">
        <v>0</v>
      </c>
      <c r="T10" s="87"/>
      <c r="U10" s="87"/>
      <c r="V10" s="87"/>
      <c r="W10" s="28" t="e">
        <f t="shared" si="4"/>
        <v>#DIV/0!</v>
      </c>
      <c r="X10" s="67">
        <f>SUM(X11:X13)</f>
        <v>0</v>
      </c>
    </row>
    <row r="11" spans="1:24" s="6" customFormat="1" ht="9.9499999999999993" customHeight="1" x14ac:dyDescent="0.2">
      <c r="A11" s="33" t="s">
        <v>6</v>
      </c>
      <c r="B11" s="826" t="s">
        <v>9</v>
      </c>
      <c r="C11" s="826"/>
      <c r="D11" s="23" t="s">
        <v>25</v>
      </c>
      <c r="E11" s="67">
        <f>SUM(E12:E30)</f>
        <v>26017911</v>
      </c>
      <c r="F11" s="67">
        <f>SUM(F12:F30)</f>
        <v>27427339</v>
      </c>
      <c r="G11" s="67">
        <f>SUM(G12:G30)</f>
        <v>29018031.73</v>
      </c>
      <c r="H11" s="28">
        <f t="shared" si="0"/>
        <v>105.79966117019227</v>
      </c>
      <c r="I11" s="68">
        <f>SUM(I12:I30)</f>
        <v>26787552.09</v>
      </c>
      <c r="J11" s="67">
        <f>SUM(J12:J30)</f>
        <v>6956011</v>
      </c>
      <c r="K11" s="67">
        <f>SUM(K12:K30)</f>
        <v>7342582</v>
      </c>
      <c r="L11" s="67">
        <f>SUM(L12:L30)</f>
        <v>7329677.7400000002</v>
      </c>
      <c r="M11" s="28">
        <f t="shared" si="2"/>
        <v>99.824254465254867</v>
      </c>
      <c r="N11" s="68">
        <f>SUM(N12:N30)</f>
        <v>6664190</v>
      </c>
      <c r="O11" s="67">
        <f>SUM(O12:O30)</f>
        <v>19061900</v>
      </c>
      <c r="P11" s="67">
        <f>SUM(P12:P30)</f>
        <v>20084757</v>
      </c>
      <c r="Q11" s="67">
        <f>SUM(Q12:Q30)</f>
        <v>21688353.990000002</v>
      </c>
      <c r="R11" s="28">
        <f t="shared" si="3"/>
        <v>107.9841493227924</v>
      </c>
      <c r="S11" s="68">
        <f>SUM(S12:S30)</f>
        <v>20123362.09</v>
      </c>
      <c r="T11" s="67">
        <f>SUM(T12:T30)</f>
        <v>0</v>
      </c>
      <c r="U11" s="67">
        <f>SUM(U12:U30)</f>
        <v>515212</v>
      </c>
      <c r="V11" s="67">
        <f>SUM(V12:V30)</f>
        <v>461023.41000000003</v>
      </c>
      <c r="W11" s="28">
        <f t="shared" si="4"/>
        <v>89.482273316615306</v>
      </c>
      <c r="X11" s="67">
        <f>SUM(X12:X14)</f>
        <v>0</v>
      </c>
    </row>
    <row r="12" spans="1:24" s="6" customFormat="1" ht="9.9499999999999993" customHeight="1" x14ac:dyDescent="0.2">
      <c r="A12" s="37" t="s">
        <v>8</v>
      </c>
      <c r="B12" s="831" t="s">
        <v>28</v>
      </c>
      <c r="C12" s="832"/>
      <c r="D12" s="58" t="s">
        <v>25</v>
      </c>
      <c r="E12" s="70">
        <f t="shared" ref="E12:I27" si="6">SUM(J12,O12)</f>
        <v>3855538</v>
      </c>
      <c r="F12" s="71">
        <f t="shared" si="6"/>
        <v>4156482</v>
      </c>
      <c r="G12" s="71">
        <f t="shared" si="6"/>
        <v>4175174.93</v>
      </c>
      <c r="H12" s="10">
        <f t="shared" si="0"/>
        <v>100.44972960306336</v>
      </c>
      <c r="I12" s="72">
        <f t="shared" si="6"/>
        <v>3821572.6</v>
      </c>
      <c r="J12" s="89">
        <v>3484638</v>
      </c>
      <c r="K12" s="90">
        <v>3793582</v>
      </c>
      <c r="L12" s="90">
        <v>3812216.93</v>
      </c>
      <c r="M12" s="10">
        <f t="shared" si="2"/>
        <v>100.49122254375943</v>
      </c>
      <c r="N12" s="91">
        <v>3532895</v>
      </c>
      <c r="O12" s="92">
        <v>370900</v>
      </c>
      <c r="P12" s="90">
        <v>362900</v>
      </c>
      <c r="Q12" s="90">
        <v>362958</v>
      </c>
      <c r="R12" s="10">
        <f t="shared" si="3"/>
        <v>100.01598236428768</v>
      </c>
      <c r="S12" s="90">
        <v>288677.59999999998</v>
      </c>
      <c r="T12" s="92"/>
      <c r="U12" s="90">
        <v>197000</v>
      </c>
      <c r="V12" s="90">
        <v>181457.53</v>
      </c>
      <c r="W12" s="10">
        <f t="shared" si="4"/>
        <v>92.110421319796956</v>
      </c>
      <c r="X12" s="94"/>
    </row>
    <row r="13" spans="1:24" s="6" customFormat="1" ht="9.9499999999999993" customHeight="1" x14ac:dyDescent="0.2">
      <c r="A13" s="38" t="s">
        <v>10</v>
      </c>
      <c r="B13" s="815" t="s">
        <v>29</v>
      </c>
      <c r="C13" s="816"/>
      <c r="D13" s="56" t="s">
        <v>25</v>
      </c>
      <c r="E13" s="77">
        <f t="shared" si="6"/>
        <v>2400000</v>
      </c>
      <c r="F13" s="78">
        <f t="shared" si="6"/>
        <v>1872000</v>
      </c>
      <c r="G13" s="78">
        <f t="shared" si="6"/>
        <v>1833836.45</v>
      </c>
      <c r="H13" s="11">
        <f t="shared" si="0"/>
        <v>97.961348824786327</v>
      </c>
      <c r="I13" s="79">
        <f t="shared" si="6"/>
        <v>2030813</v>
      </c>
      <c r="J13" s="95">
        <v>2400000</v>
      </c>
      <c r="K13" s="78">
        <v>1872000</v>
      </c>
      <c r="L13" s="78">
        <v>1833836.45</v>
      </c>
      <c r="M13" s="11">
        <f t="shared" si="2"/>
        <v>97.961348824786327</v>
      </c>
      <c r="N13" s="79">
        <v>2030813</v>
      </c>
      <c r="O13" s="77"/>
      <c r="P13" s="78"/>
      <c r="Q13" s="78"/>
      <c r="R13" s="11" t="e">
        <f t="shared" si="3"/>
        <v>#DIV/0!</v>
      </c>
      <c r="S13" s="78"/>
      <c r="T13" s="77"/>
      <c r="U13" s="78">
        <v>135000</v>
      </c>
      <c r="V13" s="78">
        <v>102168</v>
      </c>
      <c r="W13" s="11">
        <f t="shared" si="4"/>
        <v>75.680000000000007</v>
      </c>
      <c r="X13" s="81"/>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v>0</v>
      </c>
      <c r="K14" s="78"/>
      <c r="L14" s="78"/>
      <c r="M14" s="11" t="e">
        <f t="shared" si="2"/>
        <v>#DIV/0!</v>
      </c>
      <c r="N14" s="79">
        <v>0</v>
      </c>
      <c r="O14" s="77"/>
      <c r="P14" s="78"/>
      <c r="Q14" s="78"/>
      <c r="R14" s="11" t="e">
        <f t="shared" si="3"/>
        <v>#DIV/0!</v>
      </c>
      <c r="S14" s="78"/>
      <c r="T14" s="77"/>
      <c r="U14" s="78"/>
      <c r="V14" s="78"/>
      <c r="W14" s="11" t="e">
        <f t="shared" si="4"/>
        <v>#DIV/0!</v>
      </c>
      <c r="X14" s="81"/>
    </row>
    <row r="15" spans="1:24" s="6" customFormat="1" ht="9.9499999999999993" customHeight="1" x14ac:dyDescent="0.2">
      <c r="A15" s="38" t="s">
        <v>12</v>
      </c>
      <c r="B15" s="815" t="s">
        <v>68</v>
      </c>
      <c r="C15" s="816"/>
      <c r="D15" s="56" t="s">
        <v>25</v>
      </c>
      <c r="E15" s="77">
        <f t="shared" si="6"/>
        <v>495848</v>
      </c>
      <c r="F15" s="78">
        <f t="shared" si="6"/>
        <v>472248</v>
      </c>
      <c r="G15" s="78">
        <f t="shared" si="6"/>
        <v>472223.74</v>
      </c>
      <c r="H15" s="11">
        <f t="shared" si="0"/>
        <v>99.994862868662224</v>
      </c>
      <c r="I15" s="79">
        <f t="shared" si="6"/>
        <v>466372</v>
      </c>
      <c r="J15" s="95">
        <v>495848</v>
      </c>
      <c r="K15" s="78">
        <v>472248</v>
      </c>
      <c r="L15" s="78">
        <v>472223.74</v>
      </c>
      <c r="M15" s="11">
        <f t="shared" si="2"/>
        <v>99.994862868662224</v>
      </c>
      <c r="N15" s="79">
        <v>466372</v>
      </c>
      <c r="O15" s="77"/>
      <c r="P15" s="78"/>
      <c r="Q15" s="78"/>
      <c r="R15" s="11" t="e">
        <f t="shared" si="3"/>
        <v>#DIV/0!</v>
      </c>
      <c r="S15" s="78"/>
      <c r="T15" s="77"/>
      <c r="U15" s="78">
        <v>42000</v>
      </c>
      <c r="V15" s="78">
        <v>38558</v>
      </c>
      <c r="W15" s="11">
        <f t="shared" si="4"/>
        <v>91.804761904761904</v>
      </c>
      <c r="X15" s="81"/>
    </row>
    <row r="16" spans="1:24" s="6" customFormat="1" ht="9.9499999999999993" customHeight="1" x14ac:dyDescent="0.2">
      <c r="A16" s="38" t="s">
        <v>13</v>
      </c>
      <c r="B16" s="815" t="s">
        <v>30</v>
      </c>
      <c r="C16" s="816"/>
      <c r="D16" s="56" t="s">
        <v>25</v>
      </c>
      <c r="E16" s="77">
        <f t="shared" si="6"/>
        <v>34000</v>
      </c>
      <c r="F16" s="78">
        <f t="shared" si="6"/>
        <v>29000</v>
      </c>
      <c r="G16" s="78">
        <f t="shared" si="6"/>
        <v>28546</v>
      </c>
      <c r="H16" s="11">
        <f t="shared" si="0"/>
        <v>98.434482758620689</v>
      </c>
      <c r="I16" s="79">
        <f t="shared" si="6"/>
        <v>12872</v>
      </c>
      <c r="J16" s="95">
        <v>4000</v>
      </c>
      <c r="K16" s="78">
        <v>2200</v>
      </c>
      <c r="L16" s="78">
        <v>1840</v>
      </c>
      <c r="M16" s="11">
        <f t="shared" si="2"/>
        <v>83.636363636363626</v>
      </c>
      <c r="N16" s="79">
        <v>3597</v>
      </c>
      <c r="O16" s="77">
        <v>30000</v>
      </c>
      <c r="P16" s="78">
        <v>26800</v>
      </c>
      <c r="Q16" s="78">
        <v>26706</v>
      </c>
      <c r="R16" s="11">
        <f t="shared" si="3"/>
        <v>99.649253731343279</v>
      </c>
      <c r="S16" s="78">
        <v>9275</v>
      </c>
      <c r="T16" s="77"/>
      <c r="U16" s="78"/>
      <c r="V16" s="78"/>
      <c r="W16" s="11" t="e">
        <f t="shared" si="4"/>
        <v>#DIV/0!</v>
      </c>
      <c r="X16" s="81"/>
    </row>
    <row r="17" spans="1:24" s="6" customFormat="1" ht="9.9499999999999993" customHeight="1" x14ac:dyDescent="0.2">
      <c r="A17" s="38" t="s">
        <v>14</v>
      </c>
      <c r="B17" s="46" t="s">
        <v>49</v>
      </c>
      <c r="C17" s="47"/>
      <c r="D17" s="56" t="s">
        <v>25</v>
      </c>
      <c r="E17" s="77">
        <f t="shared" si="6"/>
        <v>3000</v>
      </c>
      <c r="F17" s="78">
        <f t="shared" si="6"/>
        <v>3000</v>
      </c>
      <c r="G17" s="78">
        <f t="shared" si="6"/>
        <v>3000</v>
      </c>
      <c r="H17" s="11">
        <f t="shared" si="0"/>
        <v>100</v>
      </c>
      <c r="I17" s="79">
        <f t="shared" si="6"/>
        <v>2998</v>
      </c>
      <c r="J17" s="95">
        <v>3000</v>
      </c>
      <c r="K17" s="78">
        <v>3000</v>
      </c>
      <c r="L17" s="78">
        <v>3000</v>
      </c>
      <c r="M17" s="11">
        <f t="shared" si="2"/>
        <v>100</v>
      </c>
      <c r="N17" s="79">
        <v>2998</v>
      </c>
      <c r="O17" s="77"/>
      <c r="P17" s="78"/>
      <c r="Q17" s="78"/>
      <c r="R17" s="11" t="e">
        <f t="shared" si="3"/>
        <v>#DIV/0!</v>
      </c>
      <c r="S17" s="78"/>
      <c r="T17" s="77"/>
      <c r="U17" s="78"/>
      <c r="V17" s="78"/>
      <c r="W17" s="11" t="e">
        <f t="shared" si="4"/>
        <v>#DIV/0!</v>
      </c>
      <c r="X17" s="81"/>
    </row>
    <row r="18" spans="1:24" s="6" customFormat="1" ht="9.9499999999999993" customHeight="1" x14ac:dyDescent="0.2">
      <c r="A18" s="38" t="s">
        <v>15</v>
      </c>
      <c r="B18" s="815" t="s">
        <v>31</v>
      </c>
      <c r="C18" s="816"/>
      <c r="D18" s="56" t="s">
        <v>25</v>
      </c>
      <c r="E18" s="77">
        <f t="shared" si="6"/>
        <v>597187</v>
      </c>
      <c r="F18" s="78">
        <f t="shared" si="6"/>
        <v>848624</v>
      </c>
      <c r="G18" s="78">
        <f t="shared" si="6"/>
        <v>856795.30999999994</v>
      </c>
      <c r="H18" s="11">
        <f t="shared" si="0"/>
        <v>100.96288933614888</v>
      </c>
      <c r="I18" s="79">
        <f t="shared" si="6"/>
        <v>694512.79</v>
      </c>
      <c r="J18" s="95">
        <v>481187</v>
      </c>
      <c r="K18" s="78">
        <v>679124</v>
      </c>
      <c r="L18" s="78">
        <v>687488.32</v>
      </c>
      <c r="M18" s="11">
        <f t="shared" si="2"/>
        <v>101.23163369281602</v>
      </c>
      <c r="N18" s="79">
        <v>444542</v>
      </c>
      <c r="O18" s="77">
        <v>116000</v>
      </c>
      <c r="P18" s="78">
        <v>169500</v>
      </c>
      <c r="Q18" s="78">
        <v>169306.99</v>
      </c>
      <c r="R18" s="11">
        <f t="shared" si="3"/>
        <v>99.886129793510321</v>
      </c>
      <c r="S18" s="78">
        <v>249970.79</v>
      </c>
      <c r="T18" s="77"/>
      <c r="U18" s="78">
        <v>45000</v>
      </c>
      <c r="V18" s="78">
        <v>20377.2</v>
      </c>
      <c r="W18" s="11">
        <f t="shared" si="4"/>
        <v>45.282666666666664</v>
      </c>
      <c r="X18" s="81"/>
    </row>
    <row r="19" spans="1:24" s="12" customFormat="1" ht="9.9499999999999993" customHeight="1" x14ac:dyDescent="0.2">
      <c r="A19" s="38" t="s">
        <v>16</v>
      </c>
      <c r="B19" s="815" t="s">
        <v>32</v>
      </c>
      <c r="C19" s="816"/>
      <c r="D19" s="56" t="s">
        <v>25</v>
      </c>
      <c r="E19" s="77">
        <f t="shared" si="6"/>
        <v>13758000</v>
      </c>
      <c r="F19" s="78">
        <f t="shared" si="6"/>
        <v>14477614</v>
      </c>
      <c r="G19" s="78">
        <f t="shared" si="6"/>
        <v>14477614</v>
      </c>
      <c r="H19" s="11">
        <f t="shared" si="0"/>
        <v>100</v>
      </c>
      <c r="I19" s="79">
        <f t="shared" si="6"/>
        <v>14312108</v>
      </c>
      <c r="J19" s="96">
        <v>45000</v>
      </c>
      <c r="K19" s="78">
        <v>46827</v>
      </c>
      <c r="L19" s="78">
        <v>46827</v>
      </c>
      <c r="M19" s="11">
        <f t="shared" si="2"/>
        <v>100</v>
      </c>
      <c r="N19" s="79">
        <v>77757</v>
      </c>
      <c r="O19" s="77">
        <v>13713000</v>
      </c>
      <c r="P19" s="78">
        <v>14430787</v>
      </c>
      <c r="Q19" s="78">
        <v>14430787</v>
      </c>
      <c r="R19" s="11">
        <f t="shared" si="3"/>
        <v>100</v>
      </c>
      <c r="S19" s="78">
        <v>14234351</v>
      </c>
      <c r="T19" s="119"/>
      <c r="U19" s="97">
        <v>70500</v>
      </c>
      <c r="V19" s="97">
        <v>76827</v>
      </c>
      <c r="W19" s="11">
        <f t="shared" si="4"/>
        <v>108.97446808510638</v>
      </c>
      <c r="X19" s="123"/>
    </row>
    <row r="20" spans="1:24" s="6" customFormat="1" ht="9.9499999999999993" customHeight="1" x14ac:dyDescent="0.2">
      <c r="A20" s="38" t="s">
        <v>17</v>
      </c>
      <c r="B20" s="815" t="s">
        <v>50</v>
      </c>
      <c r="C20" s="816"/>
      <c r="D20" s="56" t="s">
        <v>25</v>
      </c>
      <c r="E20" s="77">
        <f t="shared" si="6"/>
        <v>4673000</v>
      </c>
      <c r="F20" s="78">
        <f t="shared" si="6"/>
        <v>4928609</v>
      </c>
      <c r="G20" s="78">
        <f t="shared" si="6"/>
        <v>4928366</v>
      </c>
      <c r="H20" s="11">
        <f t="shared" si="0"/>
        <v>99.995069602802729</v>
      </c>
      <c r="I20" s="79">
        <f t="shared" si="6"/>
        <v>4901970</v>
      </c>
      <c r="J20" s="95">
        <v>11000</v>
      </c>
      <c r="K20" s="78">
        <v>14609</v>
      </c>
      <c r="L20" s="78">
        <v>14564</v>
      </c>
      <c r="M20" s="11">
        <f t="shared" si="2"/>
        <v>99.691970702991313</v>
      </c>
      <c r="N20" s="79">
        <v>16800</v>
      </c>
      <c r="O20" s="77">
        <v>4662000</v>
      </c>
      <c r="P20" s="78">
        <v>4914000</v>
      </c>
      <c r="Q20" s="78">
        <v>4913802</v>
      </c>
      <c r="R20" s="11">
        <f t="shared" si="3"/>
        <v>99.995970695970698</v>
      </c>
      <c r="S20" s="78">
        <v>4885170</v>
      </c>
      <c r="T20" s="77"/>
      <c r="U20" s="78">
        <v>24300</v>
      </c>
      <c r="V20" s="78">
        <v>26336</v>
      </c>
      <c r="W20" s="11">
        <f t="shared" si="4"/>
        <v>108.37860082304528</v>
      </c>
      <c r="X20" s="81"/>
    </row>
    <row r="21" spans="1:24" s="6" customFormat="1" ht="9.9499999999999993" customHeight="1" x14ac:dyDescent="0.2">
      <c r="A21" s="38" t="s">
        <v>18</v>
      </c>
      <c r="B21" s="815" t="s">
        <v>51</v>
      </c>
      <c r="C21" s="816"/>
      <c r="D21" s="56" t="s">
        <v>25</v>
      </c>
      <c r="E21" s="77">
        <f t="shared" si="6"/>
        <v>171000</v>
      </c>
      <c r="F21" s="78">
        <f t="shared" si="6"/>
        <v>161000</v>
      </c>
      <c r="G21" s="78">
        <f t="shared" si="6"/>
        <v>160545</v>
      </c>
      <c r="H21" s="11">
        <f t="shared" si="0"/>
        <v>99.717391304347828</v>
      </c>
      <c r="I21" s="79">
        <f t="shared" si="6"/>
        <v>156802</v>
      </c>
      <c r="J21" s="95">
        <v>1000</v>
      </c>
      <c r="K21" s="78">
        <v>1000</v>
      </c>
      <c r="L21" s="78">
        <v>118</v>
      </c>
      <c r="M21" s="11">
        <f t="shared" si="2"/>
        <v>11.799999999999999</v>
      </c>
      <c r="N21" s="79">
        <v>778</v>
      </c>
      <c r="O21" s="77">
        <v>170000</v>
      </c>
      <c r="P21" s="78">
        <v>160000</v>
      </c>
      <c r="Q21" s="78">
        <v>160427</v>
      </c>
      <c r="R21" s="11">
        <f t="shared" si="3"/>
        <v>100.266875</v>
      </c>
      <c r="S21" s="78">
        <v>156024</v>
      </c>
      <c r="T21" s="77"/>
      <c r="U21" s="78">
        <v>705</v>
      </c>
      <c r="V21" s="78">
        <v>770</v>
      </c>
      <c r="W21" s="11">
        <f t="shared" si="4"/>
        <v>109.21985815602837</v>
      </c>
      <c r="X21" s="81"/>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c r="K22" s="78"/>
      <c r="L22" s="78"/>
      <c r="M22" s="11" t="e">
        <f t="shared" si="2"/>
        <v>#DIV/0!</v>
      </c>
      <c r="N22" s="79"/>
      <c r="O22" s="77"/>
      <c r="P22" s="78"/>
      <c r="Q22" s="78"/>
      <c r="R22" s="11" t="e">
        <f t="shared" si="3"/>
        <v>#DIV/0!</v>
      </c>
      <c r="S22" s="78"/>
      <c r="T22" s="77"/>
      <c r="U22" s="78"/>
      <c r="V22" s="78"/>
      <c r="W22" s="11" t="e">
        <f t="shared" si="4"/>
        <v>#DIV/0!</v>
      </c>
      <c r="X22" s="81"/>
    </row>
    <row r="23" spans="1:24" s="6" customFormat="1" ht="9.9499999999999993" customHeight="1" x14ac:dyDescent="0.2">
      <c r="A23" s="38" t="s">
        <v>20</v>
      </c>
      <c r="B23" s="46" t="s">
        <v>70</v>
      </c>
      <c r="C23" s="47"/>
      <c r="D23" s="56" t="s">
        <v>25</v>
      </c>
      <c r="E23" s="77">
        <f t="shared" si="6"/>
        <v>0</v>
      </c>
      <c r="F23" s="78">
        <f t="shared" si="6"/>
        <v>0</v>
      </c>
      <c r="G23" s="78">
        <f t="shared" si="6"/>
        <v>1603597</v>
      </c>
      <c r="H23" s="11" t="e">
        <f t="shared" si="0"/>
        <v>#DIV/0!</v>
      </c>
      <c r="I23" s="79">
        <f t="shared" si="6"/>
        <v>0</v>
      </c>
      <c r="J23" s="95"/>
      <c r="K23" s="78"/>
      <c r="L23" s="78"/>
      <c r="M23" s="11" t="e">
        <f t="shared" si="2"/>
        <v>#DIV/0!</v>
      </c>
      <c r="N23" s="79"/>
      <c r="O23" s="77"/>
      <c r="P23" s="78"/>
      <c r="Q23" s="78">
        <v>1603597</v>
      </c>
      <c r="R23" s="11" t="e">
        <f t="shared" si="3"/>
        <v>#DIV/0!</v>
      </c>
      <c r="S23" s="78"/>
      <c r="T23" s="77"/>
      <c r="U23" s="78"/>
      <c r="V23" s="78"/>
      <c r="W23" s="11"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9"/>
      <c r="O24" s="77"/>
      <c r="P24" s="78"/>
      <c r="Q24" s="78"/>
      <c r="R24" s="11" t="e">
        <f t="shared" si="3"/>
        <v>#DIV/0!</v>
      </c>
      <c r="S24" s="78"/>
      <c r="T24" s="77"/>
      <c r="U24" s="78"/>
      <c r="V24" s="78"/>
      <c r="W24" s="11" t="e">
        <f t="shared" si="4"/>
        <v>#DIV/0!</v>
      </c>
      <c r="X24" s="81"/>
    </row>
    <row r="25" spans="1:24" s="6" customFormat="1" ht="9.9499999999999993" customHeight="1" x14ac:dyDescent="0.2">
      <c r="A25" s="39" t="s">
        <v>22</v>
      </c>
      <c r="B25" s="48" t="s">
        <v>71</v>
      </c>
      <c r="C25" s="49"/>
      <c r="D25" s="56" t="s">
        <v>25</v>
      </c>
      <c r="E25" s="77">
        <f t="shared" si="6"/>
        <v>0</v>
      </c>
      <c r="F25" s="78">
        <f t="shared" si="6"/>
        <v>0</v>
      </c>
      <c r="G25" s="78">
        <f t="shared" si="6"/>
        <v>0</v>
      </c>
      <c r="H25" s="11" t="e">
        <f t="shared" si="0"/>
        <v>#DIV/0!</v>
      </c>
      <c r="I25" s="79">
        <f t="shared" si="6"/>
        <v>0</v>
      </c>
      <c r="J25" s="95"/>
      <c r="K25" s="98"/>
      <c r="L25" s="98"/>
      <c r="M25" s="11" t="e">
        <f t="shared" si="2"/>
        <v>#DIV/0!</v>
      </c>
      <c r="N25" s="99"/>
      <c r="O25" s="100"/>
      <c r="P25" s="98"/>
      <c r="Q25" s="98"/>
      <c r="R25" s="11" t="e">
        <f t="shared" si="3"/>
        <v>#DIV/0!</v>
      </c>
      <c r="S25" s="98"/>
      <c r="T25" s="100"/>
      <c r="U25" s="98"/>
      <c r="V25" s="98"/>
      <c r="W25" s="11" t="e">
        <f t="shared" si="4"/>
        <v>#DIV/0!</v>
      </c>
      <c r="X25" s="124"/>
    </row>
    <row r="26" spans="1:24" s="14" customFormat="1" ht="9.9499999999999993" customHeight="1" x14ac:dyDescent="0.2">
      <c r="A26" s="38" t="s">
        <v>23</v>
      </c>
      <c r="B26" s="815" t="s">
        <v>72</v>
      </c>
      <c r="C26" s="816"/>
      <c r="D26" s="56" t="s">
        <v>25</v>
      </c>
      <c r="E26" s="77">
        <f t="shared" si="6"/>
        <v>29821</v>
      </c>
      <c r="F26" s="78">
        <f t="shared" si="6"/>
        <v>43858</v>
      </c>
      <c r="G26" s="78">
        <f t="shared" si="6"/>
        <v>43858</v>
      </c>
      <c r="H26" s="11">
        <f t="shared" si="0"/>
        <v>100</v>
      </c>
      <c r="I26" s="79">
        <f t="shared" si="6"/>
        <v>67131</v>
      </c>
      <c r="J26" s="95">
        <v>29821</v>
      </c>
      <c r="K26" s="103">
        <v>43858</v>
      </c>
      <c r="L26" s="103">
        <v>43858</v>
      </c>
      <c r="M26" s="11">
        <f t="shared" si="2"/>
        <v>100</v>
      </c>
      <c r="N26" s="79">
        <v>67131</v>
      </c>
      <c r="O26" s="102"/>
      <c r="P26" s="103"/>
      <c r="Q26" s="103"/>
      <c r="R26" s="11" t="e">
        <f t="shared" si="3"/>
        <v>#DIV/0!</v>
      </c>
      <c r="S26" s="103"/>
      <c r="T26" s="102"/>
      <c r="U26" s="103">
        <v>707</v>
      </c>
      <c r="V26" s="103">
        <v>868.18</v>
      </c>
      <c r="W26" s="11">
        <f t="shared" si="4"/>
        <v>122.79773691654879</v>
      </c>
      <c r="X26" s="104"/>
    </row>
    <row r="27" spans="1:24" s="16" customFormat="1" ht="9.9499999999999993" customHeight="1" x14ac:dyDescent="0.2">
      <c r="A27" s="38" t="s">
        <v>45</v>
      </c>
      <c r="B27" s="46" t="s">
        <v>73</v>
      </c>
      <c r="C27" s="47"/>
      <c r="D27" s="56" t="s">
        <v>25</v>
      </c>
      <c r="E27" s="77">
        <f t="shared" si="6"/>
        <v>0</v>
      </c>
      <c r="F27" s="78">
        <f t="shared" si="6"/>
        <v>431387</v>
      </c>
      <c r="G27" s="78">
        <f t="shared" si="6"/>
        <v>431322.3</v>
      </c>
      <c r="H27" s="11">
        <f t="shared" si="0"/>
        <v>99.985001866073858</v>
      </c>
      <c r="I27" s="79">
        <f t="shared" si="6"/>
        <v>319883.7</v>
      </c>
      <c r="J27" s="95"/>
      <c r="K27" s="103">
        <v>410617</v>
      </c>
      <c r="L27" s="103">
        <v>410552.3</v>
      </c>
      <c r="M27" s="11">
        <f t="shared" si="2"/>
        <v>99.984243224221103</v>
      </c>
      <c r="N27" s="99">
        <v>19990</v>
      </c>
      <c r="O27" s="102"/>
      <c r="P27" s="103">
        <v>20770</v>
      </c>
      <c r="Q27" s="103">
        <v>20770</v>
      </c>
      <c r="R27" s="11">
        <f t="shared" si="3"/>
        <v>100</v>
      </c>
      <c r="S27" s="103">
        <v>299893.7</v>
      </c>
      <c r="T27" s="102"/>
      <c r="U27" s="103"/>
      <c r="V27" s="103">
        <v>13661.5</v>
      </c>
      <c r="W27" s="11" t="e">
        <f t="shared" si="4"/>
        <v>#DIV/0!</v>
      </c>
      <c r="X27" s="104"/>
    </row>
    <row r="28" spans="1:24" s="14" customFormat="1" ht="9.9499999999999993" customHeight="1" x14ac:dyDescent="0.2">
      <c r="A28" s="38" t="s">
        <v>53</v>
      </c>
      <c r="B28" s="815" t="s">
        <v>74</v>
      </c>
      <c r="C28" s="816"/>
      <c r="D28" s="56" t="s">
        <v>25</v>
      </c>
      <c r="E28" s="77">
        <f t="shared" ref="E28:G30" si="7">SUM(J28,O28)</f>
        <v>517</v>
      </c>
      <c r="F28" s="78">
        <f t="shared" si="7"/>
        <v>3517</v>
      </c>
      <c r="G28" s="78">
        <f t="shared" si="7"/>
        <v>3153</v>
      </c>
      <c r="H28" s="11">
        <f t="shared" si="0"/>
        <v>89.650270116576621</v>
      </c>
      <c r="I28" s="79">
        <f>SUM(N28,S28)</f>
        <v>517</v>
      </c>
      <c r="J28" s="95">
        <v>517</v>
      </c>
      <c r="K28" s="103">
        <v>3517</v>
      </c>
      <c r="L28" s="103">
        <v>3153</v>
      </c>
      <c r="M28" s="11">
        <f t="shared" si="2"/>
        <v>89.650270116576621</v>
      </c>
      <c r="N28" s="99">
        <v>517</v>
      </c>
      <c r="O28" s="102"/>
      <c r="P28" s="103"/>
      <c r="Q28" s="103"/>
      <c r="R28" s="11" t="e">
        <f t="shared" si="3"/>
        <v>#DIV/0!</v>
      </c>
      <c r="S28" s="103"/>
      <c r="T28" s="102"/>
      <c r="U28" s="105"/>
      <c r="V28" s="105"/>
      <c r="W28" s="11" t="e">
        <f t="shared" si="4"/>
        <v>#DIV/0!</v>
      </c>
      <c r="X28" s="104"/>
    </row>
    <row r="29" spans="1:24" s="6" customFormat="1" ht="9.75" x14ac:dyDescent="0.2">
      <c r="A29" s="38" t="s">
        <v>54</v>
      </c>
      <c r="B29" s="46" t="s">
        <v>55</v>
      </c>
      <c r="C29" s="47"/>
      <c r="D29" s="56" t="s">
        <v>25</v>
      </c>
      <c r="E29" s="77">
        <f t="shared" si="7"/>
        <v>0</v>
      </c>
      <c r="F29" s="78">
        <f t="shared" si="7"/>
        <v>0</v>
      </c>
      <c r="G29" s="78">
        <f t="shared" si="7"/>
        <v>0</v>
      </c>
      <c r="H29" s="11" t="e">
        <f t="shared" si="0"/>
        <v>#DIV/0!</v>
      </c>
      <c r="I29" s="79">
        <f>SUM(N29,S29)</f>
        <v>0</v>
      </c>
      <c r="J29" s="95"/>
      <c r="K29" s="103"/>
      <c r="L29" s="103"/>
      <c r="M29" s="11" t="e">
        <f t="shared" si="2"/>
        <v>#DIV/0!</v>
      </c>
      <c r="N29" s="99"/>
      <c r="O29" s="102"/>
      <c r="P29" s="103"/>
      <c r="Q29" s="103"/>
      <c r="R29" s="11" t="e">
        <f t="shared" si="3"/>
        <v>#DIV/0!</v>
      </c>
      <c r="S29" s="103"/>
      <c r="T29" s="102"/>
      <c r="U29" s="105"/>
      <c r="V29" s="105"/>
      <c r="W29" s="11" t="e">
        <f t="shared" si="4"/>
        <v>#DIV/0!</v>
      </c>
      <c r="X29" s="104"/>
    </row>
    <row r="30" spans="1:24" s="27" customFormat="1" ht="9.75" x14ac:dyDescent="0.2">
      <c r="A30" s="40" t="s">
        <v>56</v>
      </c>
      <c r="B30" s="319" t="s">
        <v>75</v>
      </c>
      <c r="C30" s="320"/>
      <c r="D30" s="59" t="s">
        <v>25</v>
      </c>
      <c r="E30" s="82">
        <f t="shared" si="7"/>
        <v>0</v>
      </c>
      <c r="F30" s="83">
        <f t="shared" si="7"/>
        <v>0</v>
      </c>
      <c r="G30" s="83">
        <f t="shared" si="7"/>
        <v>0</v>
      </c>
      <c r="H30" s="31" t="e">
        <f t="shared" si="0"/>
        <v>#DIV/0!</v>
      </c>
      <c r="I30" s="84">
        <f>SUM(N30,S30)</f>
        <v>0</v>
      </c>
      <c r="J30" s="106"/>
      <c r="K30" s="107"/>
      <c r="L30" s="107"/>
      <c r="M30" s="31" t="e">
        <f t="shared" si="2"/>
        <v>#DIV/0!</v>
      </c>
      <c r="N30" s="108"/>
      <c r="O30" s="109"/>
      <c r="P30" s="107"/>
      <c r="Q30" s="107"/>
      <c r="R30" s="31" t="e">
        <f t="shared" si="3"/>
        <v>#DIV/0!</v>
      </c>
      <c r="S30" s="107"/>
      <c r="T30" s="121"/>
      <c r="U30" s="110"/>
      <c r="V30" s="110"/>
      <c r="W30" s="31" t="e">
        <f t="shared" si="4"/>
        <v>#DIV/0!</v>
      </c>
      <c r="X30" s="126"/>
    </row>
    <row r="31" spans="1:24" s="27" customFormat="1" ht="9.75" x14ac:dyDescent="0.2">
      <c r="A31" s="33" t="s">
        <v>57</v>
      </c>
      <c r="B31" s="817" t="s">
        <v>58</v>
      </c>
      <c r="C31" s="818"/>
      <c r="D31" s="22" t="s">
        <v>25</v>
      </c>
      <c r="E31" s="67">
        <f>SUM(E6-E11)</f>
        <v>0</v>
      </c>
      <c r="F31" s="67">
        <f>SUM(F6-F11)</f>
        <v>0</v>
      </c>
      <c r="G31" s="67">
        <f>SUM(G6-G11)</f>
        <v>-1590572.8500000015</v>
      </c>
      <c r="H31" s="21" t="e">
        <f t="shared" si="0"/>
        <v>#DIV/0!</v>
      </c>
      <c r="I31" s="68">
        <f>SUM(I6-I11)</f>
        <v>286658.91000000015</v>
      </c>
      <c r="J31" s="67">
        <f>SUM(J6-J11)</f>
        <v>0</v>
      </c>
      <c r="K31" s="67">
        <f>SUM(K6-K11)</f>
        <v>0</v>
      </c>
      <c r="L31" s="67">
        <f>SUM(L6-L11)</f>
        <v>13024.139999999665</v>
      </c>
      <c r="M31" s="21" t="e">
        <f t="shared" si="2"/>
        <v>#DIV/0!</v>
      </c>
      <c r="N31" s="68">
        <f>SUM(N6-N11)</f>
        <v>286659</v>
      </c>
      <c r="O31" s="67">
        <f>SUM(O6-O11)</f>
        <v>0</v>
      </c>
      <c r="P31" s="67">
        <f>SUM(P6-P11)</f>
        <v>0</v>
      </c>
      <c r="Q31" s="67">
        <f>SUM(Q6-Q11)</f>
        <v>-1603596.9900000021</v>
      </c>
      <c r="R31" s="21" t="e">
        <f t="shared" si="3"/>
        <v>#DIV/0!</v>
      </c>
      <c r="S31" s="68">
        <f>SUM(S6-S11)</f>
        <v>-8.9999999850988388E-2</v>
      </c>
      <c r="T31" s="68">
        <f>SUM(T6-T11)</f>
        <v>0</v>
      </c>
      <c r="U31" s="67">
        <f>SUM(U6-U11)</f>
        <v>39788</v>
      </c>
      <c r="V31" s="67">
        <f>SUM(V6-V11)</f>
        <v>78334.589999999967</v>
      </c>
      <c r="W31" s="21">
        <f t="shared" si="4"/>
        <v>196.8799386749773</v>
      </c>
      <c r="X31" s="67">
        <f>SUM(X32:X34)</f>
        <v>0</v>
      </c>
    </row>
    <row r="32" spans="1:24" s="27" customFormat="1" ht="9.75" x14ac:dyDescent="0.2">
      <c r="A32" s="41" t="s">
        <v>59</v>
      </c>
      <c r="B32" s="60" t="s">
        <v>76</v>
      </c>
      <c r="C32" s="61"/>
      <c r="D32" s="22" t="s">
        <v>25</v>
      </c>
      <c r="E32" s="130">
        <f>SUM(J32,O32)</f>
        <v>0</v>
      </c>
      <c r="F32" s="131">
        <f>SUM(K32,P32)</f>
        <v>0</v>
      </c>
      <c r="G32" s="131">
        <f>SUM(L32,Q32)</f>
        <v>0</v>
      </c>
      <c r="H32" s="26" t="e">
        <f t="shared" si="0"/>
        <v>#DIV/0!</v>
      </c>
      <c r="I32" s="132">
        <f>SUM(N32,S32)</f>
        <v>0</v>
      </c>
      <c r="J32" s="112"/>
      <c r="K32" s="113"/>
      <c r="L32" s="113"/>
      <c r="M32" s="9" t="e">
        <f t="shared" si="2"/>
        <v>#DIV/0!</v>
      </c>
      <c r="N32" s="114"/>
      <c r="O32" s="115"/>
      <c r="P32" s="113"/>
      <c r="Q32" s="113"/>
      <c r="R32" s="9" t="e">
        <f t="shared" si="3"/>
        <v>#DIV/0!</v>
      </c>
      <c r="S32" s="114"/>
      <c r="T32" s="115"/>
      <c r="U32" s="113"/>
      <c r="V32" s="113"/>
      <c r="W32" s="9" t="e">
        <f t="shared" si="4"/>
        <v>#DIV/0!</v>
      </c>
      <c r="X32" s="116"/>
    </row>
    <row r="33" spans="1:24" s="27" customFormat="1" ht="9.75" x14ac:dyDescent="0.2">
      <c r="A33" s="33" t="s">
        <v>60</v>
      </c>
      <c r="B33" s="24" t="s">
        <v>61</v>
      </c>
      <c r="C33" s="25"/>
      <c r="D33" s="22" t="s">
        <v>25</v>
      </c>
      <c r="E33" s="67">
        <f>E31-E32</f>
        <v>0</v>
      </c>
      <c r="F33" s="67">
        <f>F31-F32</f>
        <v>0</v>
      </c>
      <c r="G33" s="67">
        <f>G31-G32</f>
        <v>-1590572.8500000015</v>
      </c>
      <c r="H33" s="29" t="e">
        <f t="shared" si="0"/>
        <v>#DIV/0!</v>
      </c>
      <c r="I33" s="68">
        <f>I31-I32</f>
        <v>286658.91000000015</v>
      </c>
      <c r="J33" s="67">
        <f>J31-J32</f>
        <v>0</v>
      </c>
      <c r="K33" s="67">
        <f>K31-K32</f>
        <v>0</v>
      </c>
      <c r="L33" s="67">
        <f>L31-L32</f>
        <v>13024.139999999665</v>
      </c>
      <c r="M33" s="21" t="e">
        <f t="shared" si="2"/>
        <v>#DIV/0!</v>
      </c>
      <c r="N33" s="68">
        <f>N31-N32</f>
        <v>286659</v>
      </c>
      <c r="O33" s="67">
        <f>O31-O32</f>
        <v>0</v>
      </c>
      <c r="P33" s="67">
        <f>P31-P32</f>
        <v>0</v>
      </c>
      <c r="Q33" s="67">
        <f>Q31-Q32</f>
        <v>-1603596.9900000021</v>
      </c>
      <c r="R33" s="21" t="e">
        <f t="shared" si="3"/>
        <v>#DIV/0!</v>
      </c>
      <c r="S33" s="68">
        <f>S31-S32</f>
        <v>-8.9999999850988388E-2</v>
      </c>
      <c r="T33" s="68">
        <f>T31-T32</f>
        <v>0</v>
      </c>
      <c r="U33" s="67">
        <f>U31-U32</f>
        <v>39788</v>
      </c>
      <c r="V33" s="67">
        <f>V31-V32</f>
        <v>78334.589999999967</v>
      </c>
      <c r="W33" s="21">
        <f t="shared" si="4"/>
        <v>196.8799386749773</v>
      </c>
      <c r="X33" s="67">
        <f>SUM(X34:X36)</f>
        <v>0</v>
      </c>
    </row>
    <row r="34" spans="1:24" s="136" customFormat="1" ht="9" x14ac:dyDescent="0.2">
      <c r="A34" s="42" t="s">
        <v>62</v>
      </c>
      <c r="B34" s="813" t="s">
        <v>24</v>
      </c>
      <c r="C34" s="814"/>
      <c r="D34" s="62" t="s">
        <v>25</v>
      </c>
      <c r="E34" s="207">
        <v>23398</v>
      </c>
      <c r="F34" s="208">
        <v>24612</v>
      </c>
      <c r="G34" s="208">
        <v>24742</v>
      </c>
      <c r="H34" s="13">
        <v>100.53</v>
      </c>
      <c r="I34" s="209">
        <v>24340</v>
      </c>
      <c r="J34" s="804"/>
      <c r="K34" s="805"/>
      <c r="L34" s="805"/>
      <c r="M34" s="805"/>
      <c r="N34" s="805"/>
      <c r="O34" s="805"/>
      <c r="P34" s="805"/>
      <c r="Q34" s="805"/>
      <c r="R34" s="805"/>
      <c r="S34" s="805"/>
      <c r="T34" s="805"/>
      <c r="U34" s="805"/>
      <c r="V34" s="805"/>
      <c r="W34" s="805"/>
      <c r="X34" s="806"/>
    </row>
    <row r="35" spans="1:24" s="136" customFormat="1" ht="9" x14ac:dyDescent="0.2">
      <c r="A35" s="32" t="s">
        <v>63</v>
      </c>
      <c r="B35" s="797" t="s">
        <v>33</v>
      </c>
      <c r="C35" s="798"/>
      <c r="D35" s="63" t="s">
        <v>26</v>
      </c>
      <c r="E35" s="213">
        <v>49</v>
      </c>
      <c r="F35" s="214">
        <v>49</v>
      </c>
      <c r="G35" s="214">
        <v>50</v>
      </c>
      <c r="H35" s="15">
        <v>102.04</v>
      </c>
      <c r="I35" s="215">
        <v>49</v>
      </c>
      <c r="J35" s="804"/>
      <c r="K35" s="805"/>
      <c r="L35" s="805"/>
      <c r="M35" s="805"/>
      <c r="N35" s="805"/>
      <c r="O35" s="805"/>
      <c r="P35" s="805"/>
      <c r="Q35" s="805"/>
      <c r="R35" s="805"/>
      <c r="S35" s="805"/>
      <c r="T35" s="805"/>
      <c r="U35" s="805"/>
      <c r="V35" s="805"/>
      <c r="W35" s="805"/>
      <c r="X35" s="806"/>
    </row>
    <row r="36" spans="1:24" s="136" customFormat="1" ht="9" x14ac:dyDescent="0.2">
      <c r="A36" s="43" t="s">
        <v>64</v>
      </c>
      <c r="B36" s="799" t="s">
        <v>27</v>
      </c>
      <c r="C36" s="800"/>
      <c r="D36" s="64" t="s">
        <v>26</v>
      </c>
      <c r="E36" s="210">
        <v>53</v>
      </c>
      <c r="F36" s="211">
        <v>53</v>
      </c>
      <c r="G36" s="211">
        <v>57</v>
      </c>
      <c r="H36" s="17">
        <v>107.55</v>
      </c>
      <c r="I36" s="212">
        <v>53</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117"/>
      <c r="K37" s="118"/>
      <c r="L37" s="118"/>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K4:M4"/>
    <mergeCell ref="N4:N5"/>
    <mergeCell ref="A1:X1"/>
    <mergeCell ref="A3:A5"/>
    <mergeCell ref="B3:C5"/>
    <mergeCell ref="D3:D5"/>
    <mergeCell ref="E3:I3"/>
    <mergeCell ref="J3:N3"/>
    <mergeCell ref="O3:S3"/>
    <mergeCell ref="T3:X3"/>
    <mergeCell ref="S4:S5"/>
    <mergeCell ref="T4:T5"/>
    <mergeCell ref="U4:W4"/>
    <mergeCell ref="X4:X5"/>
    <mergeCell ref="O4:O5"/>
    <mergeCell ref="P4:R4"/>
    <mergeCell ref="I4:I5"/>
    <mergeCell ref="J4:J5"/>
    <mergeCell ref="B20:C20"/>
    <mergeCell ref="E4:E5"/>
    <mergeCell ref="F4:H4"/>
    <mergeCell ref="B8:C8"/>
    <mergeCell ref="B10:C10"/>
    <mergeCell ref="B11:C11"/>
    <mergeCell ref="B12:C12"/>
    <mergeCell ref="B7:C7"/>
    <mergeCell ref="B13:C13"/>
    <mergeCell ref="B15:C15"/>
    <mergeCell ref="B16:C16"/>
    <mergeCell ref="B18:C18"/>
    <mergeCell ref="B19:C19"/>
    <mergeCell ref="B6:C6"/>
    <mergeCell ref="B36:C36"/>
    <mergeCell ref="B21:C21"/>
    <mergeCell ref="B22:C22"/>
    <mergeCell ref="E37:I37"/>
    <mergeCell ref="N37:X37"/>
    <mergeCell ref="B26:C26"/>
    <mergeCell ref="B28:C28"/>
    <mergeCell ref="B31:C31"/>
    <mergeCell ref="B34:C34"/>
    <mergeCell ref="J34:X36"/>
    <mergeCell ref="B35:C35"/>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4"/>
  <sheetViews>
    <sheetView tabSelected="1" zoomScaleNormal="100" workbookViewId="0"/>
  </sheetViews>
  <sheetFormatPr defaultRowHeight="12.75" x14ac:dyDescent="0.2"/>
  <cols>
    <col min="1" max="1" width="58" style="128" customWidth="1"/>
    <col min="2" max="2" width="33.5" style="128" customWidth="1"/>
    <col min="3" max="5" width="25.75" style="128" customWidth="1"/>
    <col min="6" max="6" width="22.75" style="128" customWidth="1"/>
    <col min="7" max="8" width="16" style="128" customWidth="1"/>
    <col min="9" max="9" width="16.25" style="128" customWidth="1"/>
  </cols>
  <sheetData>
    <row r="1" spans="1:9" ht="18.75" x14ac:dyDescent="0.3">
      <c r="A1" s="129" t="s">
        <v>103</v>
      </c>
      <c r="B1" s="127"/>
      <c r="C1" s="127"/>
      <c r="D1" s="127"/>
      <c r="E1" s="127"/>
      <c r="F1" s="127"/>
      <c r="G1" s="127"/>
      <c r="H1" s="127"/>
      <c r="I1" s="127"/>
    </row>
    <row r="3" spans="1:9" s="217" customFormat="1" ht="10.5" x14ac:dyDescent="0.15">
      <c r="A3" s="852" t="s">
        <v>133</v>
      </c>
      <c r="B3" s="852"/>
      <c r="C3" s="852"/>
      <c r="D3" s="852"/>
      <c r="E3" s="852"/>
      <c r="F3" s="852"/>
      <c r="G3" s="852"/>
      <c r="H3" s="852"/>
      <c r="I3" s="852"/>
    </row>
    <row r="4" spans="1:9" s="218" customFormat="1" ht="11.25" x14ac:dyDescent="0.2"/>
    <row r="5" spans="1:9" s="219" customFormat="1" ht="9.75" x14ac:dyDescent="0.2">
      <c r="A5" s="870" t="s">
        <v>77</v>
      </c>
      <c r="B5" s="871"/>
      <c r="C5" s="551" t="s">
        <v>25</v>
      </c>
      <c r="D5" s="847" t="s">
        <v>112</v>
      </c>
      <c r="E5" s="847"/>
      <c r="F5" s="847"/>
      <c r="G5" s="847"/>
      <c r="H5" s="847"/>
      <c r="I5" s="847"/>
    </row>
    <row r="6" spans="1:9" s="218" customFormat="1" ht="15" customHeight="1" x14ac:dyDescent="0.2">
      <c r="A6" s="872" t="s">
        <v>134</v>
      </c>
      <c r="B6" s="872"/>
      <c r="C6" s="226">
        <f>SUM(C7:C9)</f>
        <v>587436.76</v>
      </c>
      <c r="D6" s="876"/>
      <c r="E6" s="877"/>
      <c r="F6" s="877"/>
      <c r="G6" s="877"/>
      <c r="H6" s="877"/>
      <c r="I6" s="877"/>
    </row>
    <row r="7" spans="1:9" s="218" customFormat="1" ht="23.25" customHeight="1" x14ac:dyDescent="0.2">
      <c r="A7" s="873" t="s">
        <v>78</v>
      </c>
      <c r="B7" s="874"/>
      <c r="C7" s="245">
        <v>325948.88</v>
      </c>
      <c r="D7" s="875" t="s">
        <v>697</v>
      </c>
      <c r="E7" s="875"/>
      <c r="F7" s="875"/>
      <c r="G7" s="875"/>
      <c r="H7" s="875"/>
      <c r="I7" s="875"/>
    </row>
    <row r="8" spans="1:9" s="217" customFormat="1" ht="27" customHeight="1" x14ac:dyDescent="0.15">
      <c r="A8" s="863" t="s">
        <v>113</v>
      </c>
      <c r="B8" s="864"/>
      <c r="C8" s="261">
        <v>261487.88</v>
      </c>
      <c r="D8" s="875" t="s">
        <v>722</v>
      </c>
      <c r="E8" s="875"/>
      <c r="F8" s="875"/>
      <c r="G8" s="875"/>
      <c r="H8" s="875"/>
      <c r="I8" s="875"/>
    </row>
    <row r="9" spans="1:9" s="217" customFormat="1" ht="15" customHeight="1" x14ac:dyDescent="0.15">
      <c r="A9" s="863" t="s">
        <v>114</v>
      </c>
      <c r="B9" s="864"/>
      <c r="C9" s="261">
        <v>0</v>
      </c>
      <c r="D9" s="921"/>
      <c r="E9" s="922"/>
      <c r="F9" s="922"/>
      <c r="G9" s="922"/>
      <c r="H9" s="922"/>
      <c r="I9" s="923"/>
    </row>
    <row r="10" spans="1:9" s="218" customFormat="1" ht="11.25" x14ac:dyDescent="0.2">
      <c r="C10" s="220"/>
    </row>
    <row r="11" spans="1:9" s="218" customFormat="1" ht="11.25" x14ac:dyDescent="0.2">
      <c r="A11" s="852" t="s">
        <v>135</v>
      </c>
      <c r="B11" s="852"/>
      <c r="C11" s="852"/>
      <c r="D11" s="852"/>
      <c r="E11" s="852"/>
      <c r="F11" s="852"/>
      <c r="G11" s="852"/>
      <c r="H11" s="852"/>
      <c r="I11" s="852"/>
    </row>
    <row r="12" spans="1:9" s="218" customFormat="1" ht="11.25" x14ac:dyDescent="0.2">
      <c r="C12" s="220"/>
      <c r="D12" s="231"/>
      <c r="E12" s="231"/>
      <c r="F12" s="231"/>
      <c r="G12" s="231"/>
      <c r="H12" s="231"/>
      <c r="I12" s="231"/>
    </row>
    <row r="13" spans="1:9" s="221" customFormat="1" ht="9.75" x14ac:dyDescent="0.2">
      <c r="A13" s="551" t="s">
        <v>77</v>
      </c>
      <c r="B13" s="551" t="s">
        <v>79</v>
      </c>
      <c r="C13" s="551" t="s">
        <v>25</v>
      </c>
      <c r="D13" s="470"/>
      <c r="E13" s="436"/>
      <c r="F13" s="436"/>
      <c r="G13" s="436"/>
      <c r="H13" s="436"/>
      <c r="I13" s="436"/>
    </row>
    <row r="14" spans="1:9" s="218" customFormat="1" ht="15" customHeight="1" x14ac:dyDescent="0.2">
      <c r="A14" s="222" t="s">
        <v>136</v>
      </c>
      <c r="B14" s="437"/>
      <c r="C14" s="223">
        <v>0</v>
      </c>
      <c r="D14" s="471"/>
      <c r="E14" s="439"/>
      <c r="F14" s="439"/>
      <c r="G14" s="439"/>
      <c r="H14" s="439"/>
      <c r="I14" s="439"/>
    </row>
    <row r="15" spans="1:9" s="218" customFormat="1" ht="15" customHeight="1" x14ac:dyDescent="0.2">
      <c r="A15" s="868" t="s">
        <v>137</v>
      </c>
      <c r="B15" s="263" t="s">
        <v>80</v>
      </c>
      <c r="C15" s="264">
        <v>487436.76</v>
      </c>
      <c r="D15" s="472"/>
      <c r="E15" s="441"/>
      <c r="F15" s="441"/>
      <c r="G15" s="441"/>
      <c r="H15" s="441"/>
      <c r="I15" s="441"/>
    </row>
    <row r="16" spans="1:9" s="218" customFormat="1" ht="15" customHeight="1" x14ac:dyDescent="0.2">
      <c r="A16" s="869"/>
      <c r="B16" s="262" t="s">
        <v>81</v>
      </c>
      <c r="C16" s="473">
        <v>100000</v>
      </c>
      <c r="D16" s="554"/>
      <c r="E16" s="443"/>
      <c r="F16" s="443"/>
      <c r="G16" s="443"/>
      <c r="H16" s="443"/>
      <c r="I16" s="443"/>
    </row>
    <row r="17" spans="1:9" s="218" customFormat="1" ht="15" customHeight="1" x14ac:dyDescent="0.2">
      <c r="A17" s="552" t="s">
        <v>134</v>
      </c>
      <c r="B17" s="445"/>
      <c r="C17" s="226">
        <f>SUM(C14:C16)</f>
        <v>587436.76</v>
      </c>
      <c r="D17" s="447"/>
      <c r="E17" s="447"/>
      <c r="F17" s="447"/>
      <c r="G17" s="447"/>
      <c r="H17" s="447"/>
      <c r="I17" s="447"/>
    </row>
    <row r="18" spans="1:9" s="449" customFormat="1" ht="11.25" x14ac:dyDescent="0.2">
      <c r="A18" s="448"/>
      <c r="C18" s="476"/>
      <c r="D18" s="452"/>
      <c r="E18" s="452"/>
      <c r="F18" s="452"/>
      <c r="G18" s="452"/>
      <c r="H18" s="452"/>
      <c r="I18" s="452"/>
    </row>
    <row r="19" spans="1:9" s="218" customFormat="1" ht="11.25" x14ac:dyDescent="0.2">
      <c r="A19" s="852" t="s">
        <v>138</v>
      </c>
      <c r="B19" s="852"/>
      <c r="C19" s="852"/>
      <c r="D19" s="852"/>
      <c r="E19" s="852"/>
      <c r="F19" s="852"/>
      <c r="G19" s="852"/>
      <c r="H19" s="852"/>
      <c r="I19" s="852"/>
    </row>
    <row r="20" spans="1:9" s="218" customFormat="1" ht="11.25" x14ac:dyDescent="0.2">
      <c r="C20" s="220"/>
    </row>
    <row r="21" spans="1:9" s="224" customFormat="1" ht="9.75" x14ac:dyDescent="0.2">
      <c r="A21" s="551" t="s">
        <v>79</v>
      </c>
      <c r="B21" s="551" t="s">
        <v>139</v>
      </c>
      <c r="C21" s="550" t="s">
        <v>140</v>
      </c>
      <c r="D21" s="551" t="s">
        <v>141</v>
      </c>
      <c r="E21" s="551" t="s">
        <v>142</v>
      </c>
      <c r="F21" s="847" t="s">
        <v>668</v>
      </c>
      <c r="G21" s="847"/>
      <c r="H21" s="847"/>
      <c r="I21" s="847"/>
    </row>
    <row r="22" spans="1:9" s="218" customFormat="1" ht="138" customHeight="1" x14ac:dyDescent="0.2">
      <c r="A22" s="265" t="s">
        <v>116</v>
      </c>
      <c r="B22" s="266">
        <v>118544.11</v>
      </c>
      <c r="C22" s="266">
        <v>389880.94</v>
      </c>
      <c r="D22" s="266">
        <v>420701</v>
      </c>
      <c r="E22" s="266">
        <f>B22+C22-D22</f>
        <v>87724.049999999988</v>
      </c>
      <c r="F22" s="785" t="s">
        <v>669</v>
      </c>
      <c r="G22" s="786"/>
      <c r="H22" s="786"/>
      <c r="I22" s="787"/>
    </row>
    <row r="23" spans="1:9" s="218" customFormat="1" ht="47.25" customHeight="1" x14ac:dyDescent="0.2">
      <c r="A23" s="263" t="s">
        <v>143</v>
      </c>
      <c r="B23" s="267">
        <v>92786.94</v>
      </c>
      <c r="C23" s="267">
        <v>261410.05</v>
      </c>
      <c r="D23" s="267">
        <v>264965</v>
      </c>
      <c r="E23" s="267">
        <f t="shared" ref="E23:E24" si="0">B23+C23-D23</f>
        <v>89231.989999999991</v>
      </c>
      <c r="F23" s="747" t="s">
        <v>670</v>
      </c>
      <c r="G23" s="1225"/>
      <c r="H23" s="1225"/>
      <c r="I23" s="1226"/>
    </row>
    <row r="24" spans="1:9" s="218" customFormat="1" ht="38.25" customHeight="1" x14ac:dyDescent="0.2">
      <c r="A24" s="263" t="s">
        <v>81</v>
      </c>
      <c r="B24" s="267">
        <v>2378.61</v>
      </c>
      <c r="C24" s="267">
        <v>80000</v>
      </c>
      <c r="D24" s="267">
        <v>81500</v>
      </c>
      <c r="E24" s="267">
        <f t="shared" si="0"/>
        <v>878.61000000000058</v>
      </c>
      <c r="F24" s="747" t="s">
        <v>671</v>
      </c>
      <c r="G24" s="1225"/>
      <c r="H24" s="1225"/>
      <c r="I24" s="1226"/>
    </row>
    <row r="25" spans="1:9" s="218" customFormat="1" ht="60" customHeight="1" x14ac:dyDescent="0.2">
      <c r="A25" s="262" t="s">
        <v>82</v>
      </c>
      <c r="B25" s="268">
        <v>27874.54</v>
      </c>
      <c r="C25" s="268">
        <v>67797.95</v>
      </c>
      <c r="D25" s="268">
        <v>71205</v>
      </c>
      <c r="E25" s="268">
        <v>24467.49</v>
      </c>
      <c r="F25" s="759" t="s">
        <v>723</v>
      </c>
      <c r="G25" s="848"/>
      <c r="H25" s="848"/>
      <c r="I25" s="849"/>
    </row>
    <row r="26" spans="1:9" s="217" customFormat="1" ht="10.5" x14ac:dyDescent="0.15">
      <c r="A26" s="225" t="s">
        <v>34</v>
      </c>
      <c r="B26" s="226">
        <f>SUM(B22:B25)</f>
        <v>241584.19999999998</v>
      </c>
      <c r="C26" s="226">
        <f t="shared" ref="C26:E26" si="1">SUM(C22:C25)</f>
        <v>799088.94</v>
      </c>
      <c r="D26" s="226">
        <f t="shared" si="1"/>
        <v>838371</v>
      </c>
      <c r="E26" s="226">
        <f t="shared" si="1"/>
        <v>202302.13999999996</v>
      </c>
      <c r="F26" s="850"/>
      <c r="G26" s="850"/>
      <c r="H26" s="850"/>
      <c r="I26" s="851"/>
    </row>
    <row r="27" spans="1:9" s="218" customFormat="1" ht="11.25" x14ac:dyDescent="0.2">
      <c r="C27" s="220"/>
    </row>
    <row r="28" spans="1:9" s="218" customFormat="1" ht="11.25" x14ac:dyDescent="0.2">
      <c r="A28" s="852" t="s">
        <v>144</v>
      </c>
      <c r="B28" s="852"/>
      <c r="C28" s="852"/>
      <c r="D28" s="852"/>
      <c r="E28" s="852"/>
      <c r="F28" s="852"/>
      <c r="G28" s="852"/>
      <c r="H28" s="852"/>
      <c r="I28" s="852"/>
    </row>
    <row r="29" spans="1:9" s="218" customFormat="1" ht="11.25" x14ac:dyDescent="0.2">
      <c r="C29" s="220"/>
    </row>
    <row r="30" spans="1:9" s="218" customFormat="1" ht="11.25" x14ac:dyDescent="0.2">
      <c r="A30" s="551" t="s">
        <v>83</v>
      </c>
      <c r="B30" s="551" t="s">
        <v>25</v>
      </c>
      <c r="C30" s="550" t="s">
        <v>84</v>
      </c>
      <c r="D30" s="847" t="s">
        <v>117</v>
      </c>
      <c r="E30" s="847"/>
      <c r="F30" s="847"/>
      <c r="G30" s="847"/>
      <c r="H30" s="847"/>
      <c r="I30" s="847"/>
    </row>
    <row r="31" spans="1:9" s="218" customFormat="1" ht="15" customHeight="1" x14ac:dyDescent="0.2">
      <c r="A31" s="238" t="s">
        <v>672</v>
      </c>
      <c r="B31" s="266">
        <v>14400</v>
      </c>
      <c r="C31" s="667" t="s">
        <v>109</v>
      </c>
      <c r="D31" s="1217" t="s">
        <v>720</v>
      </c>
      <c r="E31" s="1218"/>
      <c r="F31" s="1218"/>
      <c r="G31" s="1218"/>
      <c r="H31" s="1218"/>
      <c r="I31" s="1219"/>
    </row>
    <row r="32" spans="1:9" s="218" customFormat="1" ht="15" customHeight="1" x14ac:dyDescent="0.2">
      <c r="A32" s="556" t="s">
        <v>672</v>
      </c>
      <c r="B32" s="268">
        <v>67540</v>
      </c>
      <c r="C32" s="668" t="s">
        <v>110</v>
      </c>
      <c r="D32" s="1208"/>
      <c r="E32" s="1209"/>
      <c r="F32" s="1209"/>
      <c r="G32" s="1209"/>
      <c r="H32" s="1209"/>
      <c r="I32" s="1210"/>
    </row>
    <row r="33" spans="1:9" s="218" customFormat="1" ht="15" customHeight="1" x14ac:dyDescent="0.2">
      <c r="A33" s="556" t="s">
        <v>672</v>
      </c>
      <c r="B33" s="268">
        <v>31798</v>
      </c>
      <c r="C33" s="669" t="s">
        <v>111</v>
      </c>
      <c r="D33" s="1208"/>
      <c r="E33" s="1209"/>
      <c r="F33" s="1209"/>
      <c r="G33" s="1209"/>
      <c r="H33" s="1209"/>
      <c r="I33" s="1210"/>
    </row>
    <row r="34" spans="1:9" s="218" customFormat="1" ht="15" customHeight="1" x14ac:dyDescent="0.2">
      <c r="A34" s="556" t="s">
        <v>672</v>
      </c>
      <c r="B34" s="268">
        <v>17520</v>
      </c>
      <c r="C34" s="669" t="s">
        <v>125</v>
      </c>
      <c r="D34" s="1208"/>
      <c r="E34" s="1209"/>
      <c r="F34" s="1209"/>
      <c r="G34" s="1209"/>
      <c r="H34" s="1209"/>
      <c r="I34" s="1210"/>
    </row>
    <row r="35" spans="1:9" s="218" customFormat="1" ht="15" customHeight="1" x14ac:dyDescent="0.2">
      <c r="A35" s="556" t="s">
        <v>672</v>
      </c>
      <c r="B35" s="268">
        <v>5943</v>
      </c>
      <c r="C35" s="669" t="s">
        <v>673</v>
      </c>
      <c r="D35" s="1220"/>
      <c r="E35" s="1221"/>
      <c r="F35" s="1221"/>
      <c r="G35" s="1221"/>
      <c r="H35" s="1221"/>
      <c r="I35" s="1222"/>
    </row>
    <row r="36" spans="1:9" s="217" customFormat="1" ht="11.25" x14ac:dyDescent="0.2">
      <c r="A36" s="225" t="s">
        <v>34</v>
      </c>
      <c r="B36" s="226">
        <f>SUM(B31:B35)</f>
        <v>137201</v>
      </c>
      <c r="C36" s="879"/>
      <c r="D36" s="1223"/>
      <c r="E36" s="1223"/>
      <c r="F36" s="1223"/>
      <c r="G36" s="1223"/>
      <c r="H36" s="1223"/>
      <c r="I36" s="1224"/>
    </row>
    <row r="37" spans="1:9" s="218" customFormat="1" ht="11.25" x14ac:dyDescent="0.2">
      <c r="C37" s="220"/>
    </row>
    <row r="38" spans="1:9" s="218" customFormat="1" ht="11.25" x14ac:dyDescent="0.2">
      <c r="A38" s="852" t="s">
        <v>145</v>
      </c>
      <c r="B38" s="852"/>
      <c r="C38" s="852"/>
      <c r="D38" s="852"/>
      <c r="E38" s="852"/>
      <c r="F38" s="852"/>
      <c r="G38" s="852"/>
      <c r="H38" s="852"/>
      <c r="I38" s="852"/>
    </row>
    <row r="39" spans="1:9" s="218" customFormat="1" ht="11.25" x14ac:dyDescent="0.2">
      <c r="C39" s="220"/>
    </row>
    <row r="40" spans="1:9" s="218" customFormat="1" ht="11.25" x14ac:dyDescent="0.2">
      <c r="A40" s="551" t="s">
        <v>83</v>
      </c>
      <c r="B40" s="551" t="s">
        <v>25</v>
      </c>
      <c r="C40" s="550" t="s">
        <v>84</v>
      </c>
      <c r="D40" s="847" t="s">
        <v>117</v>
      </c>
      <c r="E40" s="847"/>
      <c r="F40" s="847"/>
      <c r="G40" s="847"/>
      <c r="H40" s="847"/>
      <c r="I40" s="881"/>
    </row>
    <row r="41" spans="1:9" s="218" customFormat="1" ht="15" customHeight="1" x14ac:dyDescent="0.2">
      <c r="A41" s="238"/>
      <c r="B41" s="266">
        <v>0</v>
      </c>
      <c r="C41" s="227"/>
      <c r="D41" s="1214"/>
      <c r="E41" s="1215"/>
      <c r="F41" s="1215"/>
      <c r="G41" s="1215"/>
      <c r="H41" s="1215"/>
      <c r="I41" s="1216"/>
    </row>
    <row r="42" spans="1:9" s="217" customFormat="1" ht="10.5" x14ac:dyDescent="0.15">
      <c r="A42" s="225" t="s">
        <v>34</v>
      </c>
      <c r="B42" s="226">
        <f>SUM(B41:B41)</f>
        <v>0</v>
      </c>
      <c r="C42" s="882"/>
      <c r="D42" s="882"/>
      <c r="E42" s="882"/>
      <c r="F42" s="882"/>
      <c r="G42" s="882"/>
      <c r="H42" s="882"/>
      <c r="I42" s="882"/>
    </row>
    <row r="43" spans="1:9" s="218" customFormat="1" ht="11.25" x14ac:dyDescent="0.2">
      <c r="C43" s="220"/>
    </row>
    <row r="44" spans="1:9" s="218" customFormat="1" ht="11.25" x14ac:dyDescent="0.2">
      <c r="A44" s="852" t="s">
        <v>146</v>
      </c>
      <c r="B44" s="852"/>
      <c r="C44" s="852"/>
      <c r="D44" s="852"/>
      <c r="E44" s="852"/>
      <c r="F44" s="852"/>
      <c r="G44" s="852"/>
      <c r="H44" s="852"/>
      <c r="I44" s="852"/>
    </row>
    <row r="45" spans="1:9" s="218" customFormat="1" ht="11.25" x14ac:dyDescent="0.2">
      <c r="C45" s="220"/>
    </row>
    <row r="46" spans="1:9" s="218" customFormat="1" ht="11.25" x14ac:dyDescent="0.2">
      <c r="A46" s="551" t="s">
        <v>25</v>
      </c>
      <c r="B46" s="550" t="s">
        <v>147</v>
      </c>
      <c r="C46" s="861" t="s">
        <v>85</v>
      </c>
      <c r="D46" s="861"/>
      <c r="E46" s="861"/>
      <c r="F46" s="861"/>
      <c r="G46" s="861"/>
      <c r="H46" s="861"/>
      <c r="I46" s="862"/>
    </row>
    <row r="47" spans="1:9" s="218" customFormat="1" ht="11.25" x14ac:dyDescent="0.2">
      <c r="A47" s="228">
        <v>10300</v>
      </c>
      <c r="B47" s="228">
        <v>10300</v>
      </c>
      <c r="C47" s="856" t="s">
        <v>698</v>
      </c>
      <c r="D47" s="857"/>
      <c r="E47" s="857"/>
      <c r="F47" s="857"/>
      <c r="G47" s="857"/>
      <c r="H47" s="857"/>
      <c r="I47" s="858"/>
    </row>
    <row r="48" spans="1:9" s="217" customFormat="1" ht="10.5" x14ac:dyDescent="0.15">
      <c r="A48" s="226">
        <f>SUM(A47)</f>
        <v>10300</v>
      </c>
      <c r="B48" s="226">
        <f>SUM(B47)</f>
        <v>10300</v>
      </c>
      <c r="C48" s="859" t="s">
        <v>34</v>
      </c>
      <c r="D48" s="859"/>
      <c r="E48" s="859"/>
      <c r="F48" s="859"/>
      <c r="G48" s="859"/>
      <c r="H48" s="859"/>
      <c r="I48" s="860"/>
    </row>
    <row r="49" spans="1:9" s="218" customFormat="1" ht="11.25" x14ac:dyDescent="0.2">
      <c r="C49" s="220"/>
    </row>
    <row r="50" spans="1:9" s="218" customFormat="1" ht="11.25" x14ac:dyDescent="0.2">
      <c r="A50" s="852" t="s">
        <v>148</v>
      </c>
      <c r="B50" s="852"/>
      <c r="C50" s="852"/>
      <c r="D50" s="852"/>
      <c r="E50" s="852"/>
      <c r="F50" s="852"/>
      <c r="G50" s="852"/>
      <c r="H50" s="852"/>
      <c r="I50" s="852"/>
    </row>
    <row r="51" spans="1:9" s="218" customFormat="1" ht="11.25" x14ac:dyDescent="0.2">
      <c r="C51" s="220"/>
    </row>
    <row r="52" spans="1:9" s="229" customFormat="1" ht="11.25" x14ac:dyDescent="0.2">
      <c r="A52" s="847" t="s">
        <v>86</v>
      </c>
      <c r="B52" s="847"/>
      <c r="C52" s="550" t="s">
        <v>87</v>
      </c>
      <c r="D52" s="551" t="s">
        <v>88</v>
      </c>
      <c r="E52" s="551" t="s">
        <v>25</v>
      </c>
    </row>
    <row r="53" spans="1:9" s="218" customFormat="1" ht="11.25" x14ac:dyDescent="0.2">
      <c r="A53" s="670" t="s">
        <v>674</v>
      </c>
      <c r="B53" s="671"/>
      <c r="C53" s="675">
        <v>41716</v>
      </c>
      <c r="D53" s="675">
        <v>41718</v>
      </c>
      <c r="E53" s="678">
        <v>25000</v>
      </c>
    </row>
    <row r="54" spans="1:9" s="218" customFormat="1" ht="11.25" x14ac:dyDescent="0.2">
      <c r="A54" s="672" t="s">
        <v>675</v>
      </c>
      <c r="B54" s="673"/>
      <c r="C54" s="676">
        <v>41716</v>
      </c>
      <c r="D54" s="676">
        <v>41718</v>
      </c>
      <c r="E54" s="679">
        <v>25000</v>
      </c>
    </row>
    <row r="55" spans="1:9" s="218" customFormat="1" ht="11.25" x14ac:dyDescent="0.2">
      <c r="A55" s="672" t="s">
        <v>726</v>
      </c>
      <c r="B55" s="673"/>
      <c r="C55" s="676">
        <v>41716</v>
      </c>
      <c r="D55" s="676">
        <v>41718</v>
      </c>
      <c r="E55" s="679">
        <v>-39500</v>
      </c>
    </row>
    <row r="56" spans="1:9" s="218" customFormat="1" ht="11.25" x14ac:dyDescent="0.2">
      <c r="A56" s="672" t="s">
        <v>676</v>
      </c>
      <c r="B56" s="673"/>
      <c r="C56" s="676">
        <v>41716</v>
      </c>
      <c r="D56" s="676">
        <v>41718</v>
      </c>
      <c r="E56" s="679">
        <v>39500</v>
      </c>
    </row>
    <row r="57" spans="1:9" s="218" customFormat="1" ht="11.25" x14ac:dyDescent="0.2">
      <c r="A57" s="672" t="s">
        <v>699</v>
      </c>
      <c r="B57" s="673"/>
      <c r="C57" s="676">
        <v>41716</v>
      </c>
      <c r="D57" s="676">
        <v>41718</v>
      </c>
      <c r="E57" s="679">
        <v>-40000</v>
      </c>
    </row>
    <row r="58" spans="1:9" s="218" customFormat="1" ht="11.25" x14ac:dyDescent="0.2">
      <c r="A58" s="672" t="s">
        <v>700</v>
      </c>
      <c r="B58" s="673"/>
      <c r="C58" s="676">
        <v>41730</v>
      </c>
      <c r="D58" s="676">
        <v>41732</v>
      </c>
      <c r="E58" s="679">
        <v>100000</v>
      </c>
    </row>
    <row r="59" spans="1:9" s="218" customFormat="1" ht="11.25" x14ac:dyDescent="0.2">
      <c r="A59" s="672" t="s">
        <v>677</v>
      </c>
      <c r="B59" s="673"/>
      <c r="C59" s="676">
        <v>41730</v>
      </c>
      <c r="D59" s="676">
        <v>41732</v>
      </c>
      <c r="E59" s="679">
        <v>100000</v>
      </c>
    </row>
    <row r="60" spans="1:9" s="218" customFormat="1" ht="11.25" x14ac:dyDescent="0.2">
      <c r="A60" s="672" t="s">
        <v>701</v>
      </c>
      <c r="B60" s="673"/>
      <c r="C60" s="676">
        <v>41758</v>
      </c>
      <c r="D60" s="676">
        <v>41764</v>
      </c>
      <c r="E60" s="679">
        <v>-1200000</v>
      </c>
    </row>
    <row r="61" spans="1:9" s="218" customFormat="1" ht="11.25" x14ac:dyDescent="0.2">
      <c r="A61" s="672" t="s">
        <v>678</v>
      </c>
      <c r="B61" s="673"/>
      <c r="C61" s="676">
        <v>41758</v>
      </c>
      <c r="D61" s="676">
        <v>41764</v>
      </c>
      <c r="E61" s="679">
        <v>-1200000</v>
      </c>
    </row>
    <row r="62" spans="1:9" s="218" customFormat="1" ht="11.25" x14ac:dyDescent="0.2">
      <c r="A62" s="672" t="s">
        <v>679</v>
      </c>
      <c r="B62" s="673"/>
      <c r="C62" s="676">
        <v>41772</v>
      </c>
      <c r="D62" s="676">
        <v>41773</v>
      </c>
      <c r="E62" s="679">
        <v>-1470000</v>
      </c>
    </row>
    <row r="63" spans="1:9" s="218" customFormat="1" ht="11.25" x14ac:dyDescent="0.2">
      <c r="A63" s="672" t="s">
        <v>680</v>
      </c>
      <c r="B63" s="673"/>
      <c r="C63" s="676">
        <v>41772</v>
      </c>
      <c r="D63" s="676">
        <v>41773</v>
      </c>
      <c r="E63" s="679">
        <v>1470000</v>
      </c>
    </row>
    <row r="64" spans="1:9" s="218" customFormat="1" ht="11.25" x14ac:dyDescent="0.2">
      <c r="A64" s="672" t="s">
        <v>681</v>
      </c>
      <c r="B64" s="673"/>
      <c r="C64" s="676">
        <v>41772</v>
      </c>
      <c r="D64" s="676">
        <v>41773</v>
      </c>
      <c r="E64" s="679">
        <v>-70000</v>
      </c>
    </row>
    <row r="65" spans="1:5" s="218" customFormat="1" ht="11.25" x14ac:dyDescent="0.2">
      <c r="A65" s="672" t="s">
        <v>682</v>
      </c>
      <c r="B65" s="673"/>
      <c r="C65" s="676">
        <v>41772</v>
      </c>
      <c r="D65" s="676">
        <v>41773</v>
      </c>
      <c r="E65" s="679">
        <v>70000</v>
      </c>
    </row>
    <row r="66" spans="1:5" s="218" customFormat="1" ht="11.25" x14ac:dyDescent="0.2">
      <c r="A66" s="672" t="s">
        <v>683</v>
      </c>
      <c r="B66" s="673"/>
      <c r="C66" s="676">
        <v>41772</v>
      </c>
      <c r="D66" s="676">
        <v>41773</v>
      </c>
      <c r="E66" s="679">
        <v>-20000</v>
      </c>
    </row>
    <row r="67" spans="1:5" s="218" customFormat="1" ht="11.25" x14ac:dyDescent="0.2">
      <c r="A67" s="672" t="s">
        <v>684</v>
      </c>
      <c r="B67" s="673"/>
      <c r="C67" s="676">
        <v>41772</v>
      </c>
      <c r="D67" s="676">
        <v>41773</v>
      </c>
      <c r="E67" s="679">
        <v>20000</v>
      </c>
    </row>
    <row r="68" spans="1:5" s="218" customFormat="1" ht="11.25" x14ac:dyDescent="0.2">
      <c r="A68" s="672" t="s">
        <v>702</v>
      </c>
      <c r="B68" s="673"/>
      <c r="C68" s="676">
        <v>41772</v>
      </c>
      <c r="D68" s="676">
        <v>41773</v>
      </c>
      <c r="E68" s="679">
        <v>-900</v>
      </c>
    </row>
    <row r="69" spans="1:5" s="218" customFormat="1" ht="11.25" x14ac:dyDescent="0.2">
      <c r="A69" s="672" t="s">
        <v>703</v>
      </c>
      <c r="B69" s="673"/>
      <c r="C69" s="676">
        <v>41772</v>
      </c>
      <c r="D69" s="676">
        <v>41773</v>
      </c>
      <c r="E69" s="679">
        <v>900</v>
      </c>
    </row>
    <row r="70" spans="1:5" s="218" customFormat="1" ht="11.25" x14ac:dyDescent="0.2">
      <c r="A70" s="672" t="s">
        <v>704</v>
      </c>
      <c r="B70" s="673"/>
      <c r="C70" s="676">
        <v>41786</v>
      </c>
      <c r="D70" s="676">
        <v>41789</v>
      </c>
      <c r="E70" s="679">
        <v>-250000</v>
      </c>
    </row>
    <row r="71" spans="1:5" s="218" customFormat="1" ht="11.25" x14ac:dyDescent="0.2">
      <c r="A71" s="672" t="s">
        <v>705</v>
      </c>
      <c r="B71" s="673"/>
      <c r="C71" s="676">
        <v>41786</v>
      </c>
      <c r="D71" s="676">
        <v>41789</v>
      </c>
      <c r="E71" s="679">
        <v>-250000</v>
      </c>
    </row>
    <row r="72" spans="1:5" s="218" customFormat="1" ht="11.25" x14ac:dyDescent="0.2">
      <c r="A72" s="672" t="s">
        <v>685</v>
      </c>
      <c r="B72" s="673"/>
      <c r="C72" s="676">
        <v>41786</v>
      </c>
      <c r="D72" s="676">
        <v>41789</v>
      </c>
      <c r="E72" s="679">
        <v>-54000</v>
      </c>
    </row>
    <row r="73" spans="1:5" s="218" customFormat="1" ht="11.25" x14ac:dyDescent="0.2">
      <c r="A73" s="672" t="s">
        <v>706</v>
      </c>
      <c r="B73" s="673"/>
      <c r="C73" s="676">
        <v>41786</v>
      </c>
      <c r="D73" s="676">
        <v>41789</v>
      </c>
      <c r="E73" s="679">
        <v>-54000</v>
      </c>
    </row>
    <row r="74" spans="1:5" s="218" customFormat="1" ht="11.25" x14ac:dyDescent="0.2">
      <c r="A74" s="672" t="s">
        <v>707</v>
      </c>
      <c r="B74" s="673"/>
      <c r="C74" s="676">
        <v>41786</v>
      </c>
      <c r="D74" s="676">
        <v>41789</v>
      </c>
      <c r="E74" s="679">
        <v>-4000</v>
      </c>
    </row>
    <row r="75" spans="1:5" s="218" customFormat="1" ht="11.25" x14ac:dyDescent="0.2">
      <c r="A75" s="672" t="s">
        <v>708</v>
      </c>
      <c r="B75" s="673"/>
      <c r="C75" s="676">
        <v>41786</v>
      </c>
      <c r="D75" s="676">
        <v>41789</v>
      </c>
      <c r="E75" s="679">
        <v>-4000</v>
      </c>
    </row>
    <row r="76" spans="1:5" s="218" customFormat="1" ht="11.25" x14ac:dyDescent="0.2">
      <c r="A76" s="672" t="s">
        <v>709</v>
      </c>
      <c r="B76" s="673"/>
      <c r="C76" s="676">
        <v>41786</v>
      </c>
      <c r="D76" s="676">
        <v>41789</v>
      </c>
      <c r="E76" s="679">
        <v>-21600</v>
      </c>
    </row>
    <row r="77" spans="1:5" s="218" customFormat="1" ht="11.25" x14ac:dyDescent="0.2">
      <c r="A77" s="672" t="s">
        <v>686</v>
      </c>
      <c r="B77" s="673"/>
      <c r="C77" s="676">
        <v>41786</v>
      </c>
      <c r="D77" s="676">
        <v>41789</v>
      </c>
      <c r="E77" s="679">
        <v>-21600</v>
      </c>
    </row>
    <row r="78" spans="1:5" s="218" customFormat="1" ht="11.25" x14ac:dyDescent="0.2">
      <c r="A78" s="672" t="s">
        <v>687</v>
      </c>
      <c r="B78" s="673"/>
      <c r="C78" s="676">
        <v>41786</v>
      </c>
      <c r="D78" s="676">
        <v>41789</v>
      </c>
      <c r="E78" s="679">
        <v>39500</v>
      </c>
    </row>
    <row r="79" spans="1:5" s="218" customFormat="1" ht="11.25" x14ac:dyDescent="0.2">
      <c r="A79" s="672" t="s">
        <v>727</v>
      </c>
      <c r="B79" s="673"/>
      <c r="C79" s="676">
        <v>41786</v>
      </c>
      <c r="D79" s="676">
        <v>41789</v>
      </c>
      <c r="E79" s="679">
        <v>39500</v>
      </c>
    </row>
    <row r="80" spans="1:5" s="218" customFormat="1" ht="11.25" x14ac:dyDescent="0.2">
      <c r="A80" s="672" t="s">
        <v>710</v>
      </c>
      <c r="B80" s="673"/>
      <c r="C80" s="676">
        <v>41786</v>
      </c>
      <c r="D80" s="676">
        <v>41789</v>
      </c>
      <c r="E80" s="679">
        <v>10300</v>
      </c>
    </row>
    <row r="81" spans="1:5" s="218" customFormat="1" ht="11.25" x14ac:dyDescent="0.2">
      <c r="A81" s="672" t="s">
        <v>711</v>
      </c>
      <c r="B81" s="673"/>
      <c r="C81" s="676">
        <v>41786</v>
      </c>
      <c r="D81" s="676">
        <v>41789</v>
      </c>
      <c r="E81" s="679">
        <v>10300</v>
      </c>
    </row>
    <row r="82" spans="1:5" s="218" customFormat="1" ht="11.25" x14ac:dyDescent="0.2">
      <c r="A82" s="672" t="s">
        <v>728</v>
      </c>
      <c r="B82" s="673"/>
      <c r="C82" s="676">
        <v>41819</v>
      </c>
      <c r="D82" s="676">
        <v>41820</v>
      </c>
      <c r="E82" s="679">
        <v>-70000</v>
      </c>
    </row>
    <row r="83" spans="1:5" s="218" customFormat="1" ht="11.25" x14ac:dyDescent="0.2">
      <c r="A83" s="672" t="s">
        <v>712</v>
      </c>
      <c r="B83" s="673"/>
      <c r="C83" s="676">
        <v>41819</v>
      </c>
      <c r="D83" s="676">
        <v>41820</v>
      </c>
      <c r="E83" s="679">
        <v>70000</v>
      </c>
    </row>
    <row r="84" spans="1:5" s="218" customFormat="1" ht="11.25" x14ac:dyDescent="0.2">
      <c r="A84" s="672" t="s">
        <v>688</v>
      </c>
      <c r="B84" s="673"/>
      <c r="C84" s="676">
        <v>41819</v>
      </c>
      <c r="D84" s="676">
        <v>41820</v>
      </c>
      <c r="E84" s="679">
        <v>1000</v>
      </c>
    </row>
    <row r="85" spans="1:5" s="218" customFormat="1" ht="11.25" x14ac:dyDescent="0.2">
      <c r="A85" s="672" t="s">
        <v>713</v>
      </c>
      <c r="B85" s="673"/>
      <c r="C85" s="676">
        <v>41819</v>
      </c>
      <c r="D85" s="676">
        <v>41820</v>
      </c>
      <c r="E85" s="679">
        <v>1000</v>
      </c>
    </row>
    <row r="86" spans="1:5" s="218" customFormat="1" ht="11.25" x14ac:dyDescent="0.2">
      <c r="A86" s="672" t="s">
        <v>689</v>
      </c>
      <c r="B86" s="674"/>
      <c r="C86" s="676">
        <v>41967</v>
      </c>
      <c r="D86" s="676">
        <v>41968</v>
      </c>
      <c r="E86" s="679">
        <v>54890</v>
      </c>
    </row>
    <row r="87" spans="1:5" s="218" customFormat="1" ht="11.25" x14ac:dyDescent="0.2">
      <c r="A87" s="672" t="s">
        <v>690</v>
      </c>
      <c r="B87" s="674"/>
      <c r="C87" s="676">
        <v>41967</v>
      </c>
      <c r="D87" s="676">
        <v>41968</v>
      </c>
      <c r="E87" s="679">
        <v>54890</v>
      </c>
    </row>
    <row r="88" spans="1:5" s="218" customFormat="1" ht="11.25" x14ac:dyDescent="0.2">
      <c r="A88" s="672" t="s">
        <v>714</v>
      </c>
      <c r="B88" s="674"/>
      <c r="C88" s="676">
        <v>41981</v>
      </c>
      <c r="D88" s="676">
        <v>41983</v>
      </c>
      <c r="E88" s="680">
        <v>247000</v>
      </c>
    </row>
    <row r="89" spans="1:5" s="218" customFormat="1" ht="11.25" x14ac:dyDescent="0.2">
      <c r="A89" s="672" t="s">
        <v>724</v>
      </c>
      <c r="B89" s="674"/>
      <c r="C89" s="676">
        <v>41981</v>
      </c>
      <c r="D89" s="676">
        <v>41983</v>
      </c>
      <c r="E89" s="680">
        <v>215000</v>
      </c>
    </row>
    <row r="90" spans="1:5" s="218" customFormat="1" ht="11.25" x14ac:dyDescent="0.2">
      <c r="A90" s="672" t="s">
        <v>715</v>
      </c>
      <c r="B90" s="674"/>
      <c r="C90" s="676">
        <v>41981</v>
      </c>
      <c r="D90" s="676">
        <v>41983</v>
      </c>
      <c r="E90" s="680">
        <v>12000</v>
      </c>
    </row>
    <row r="91" spans="1:5" s="218" customFormat="1" ht="11.25" x14ac:dyDescent="0.2">
      <c r="A91" s="672" t="s">
        <v>716</v>
      </c>
      <c r="B91" s="674"/>
      <c r="C91" s="676">
        <v>41981</v>
      </c>
      <c r="D91" s="676">
        <v>41983</v>
      </c>
      <c r="E91" s="680">
        <v>20000</v>
      </c>
    </row>
    <row r="92" spans="1:5" s="218" customFormat="1" ht="11.25" x14ac:dyDescent="0.2">
      <c r="A92" s="672" t="s">
        <v>691</v>
      </c>
      <c r="B92" s="674"/>
      <c r="C92" s="676">
        <v>41991</v>
      </c>
      <c r="D92" s="676">
        <v>41992</v>
      </c>
      <c r="E92" s="680">
        <v>-100000</v>
      </c>
    </row>
    <row r="93" spans="1:5" s="218" customFormat="1" ht="11.25" x14ac:dyDescent="0.2">
      <c r="A93" s="672" t="s">
        <v>692</v>
      </c>
      <c r="B93" s="674"/>
      <c r="C93" s="676">
        <v>41991</v>
      </c>
      <c r="D93" s="676">
        <v>41992</v>
      </c>
      <c r="E93" s="680">
        <v>100000</v>
      </c>
    </row>
    <row r="94" spans="1:5" s="218" customFormat="1" ht="11.25" x14ac:dyDescent="0.2">
      <c r="A94" s="672" t="s">
        <v>717</v>
      </c>
      <c r="B94" s="674"/>
      <c r="C94" s="676">
        <v>42003</v>
      </c>
      <c r="D94" s="676">
        <v>42004</v>
      </c>
      <c r="E94" s="680">
        <v>480000</v>
      </c>
    </row>
    <row r="95" spans="1:5" s="218" customFormat="1" ht="11.25" x14ac:dyDescent="0.2">
      <c r="A95" s="672" t="s">
        <v>696</v>
      </c>
      <c r="B95" s="674"/>
      <c r="C95" s="676">
        <v>42003</v>
      </c>
      <c r="D95" s="676">
        <v>42004</v>
      </c>
      <c r="E95" s="680">
        <v>480000</v>
      </c>
    </row>
    <row r="96" spans="1:5" s="218" customFormat="1" ht="11.25" x14ac:dyDescent="0.2">
      <c r="A96" s="672" t="s">
        <v>693</v>
      </c>
      <c r="B96" s="674"/>
      <c r="C96" s="676">
        <v>42003</v>
      </c>
      <c r="D96" s="676">
        <v>42004</v>
      </c>
      <c r="E96" s="680">
        <v>-500</v>
      </c>
    </row>
    <row r="97" spans="1:9" s="218" customFormat="1" ht="11.25" x14ac:dyDescent="0.2">
      <c r="A97" s="672" t="s">
        <v>718</v>
      </c>
      <c r="B97" s="674"/>
      <c r="C97" s="676">
        <v>42003</v>
      </c>
      <c r="D97" s="676">
        <v>42004</v>
      </c>
      <c r="E97" s="680">
        <v>500</v>
      </c>
    </row>
    <row r="98" spans="1:9" s="218" customFormat="1" ht="11.25" x14ac:dyDescent="0.2">
      <c r="A98" s="672" t="s">
        <v>694</v>
      </c>
      <c r="B98" s="674"/>
      <c r="C98" s="676">
        <v>42003</v>
      </c>
      <c r="D98" s="676">
        <v>42004</v>
      </c>
      <c r="E98" s="680">
        <v>61100</v>
      </c>
    </row>
    <row r="99" spans="1:9" s="218" customFormat="1" ht="11.25" x14ac:dyDescent="0.2">
      <c r="A99" s="672" t="s">
        <v>695</v>
      </c>
      <c r="B99" s="674"/>
      <c r="C99" s="676">
        <v>42003</v>
      </c>
      <c r="D99" s="676">
        <v>42004</v>
      </c>
      <c r="E99" s="680">
        <v>61000</v>
      </c>
    </row>
    <row r="100" spans="1:9" s="218" customFormat="1" ht="11.25" x14ac:dyDescent="0.2">
      <c r="A100" s="672" t="s">
        <v>719</v>
      </c>
      <c r="B100" s="674"/>
      <c r="C100" s="676">
        <v>42003</v>
      </c>
      <c r="D100" s="676">
        <v>42004</v>
      </c>
      <c r="E100" s="680">
        <v>100</v>
      </c>
    </row>
    <row r="101" spans="1:9" s="218" customFormat="1" ht="11.25" x14ac:dyDescent="0.2">
      <c r="A101" s="672" t="s">
        <v>694</v>
      </c>
      <c r="B101" s="674"/>
      <c r="C101" s="676">
        <v>42003</v>
      </c>
      <c r="D101" s="676">
        <v>42004</v>
      </c>
      <c r="E101" s="680">
        <v>13000</v>
      </c>
    </row>
    <row r="102" spans="1:9" s="218" customFormat="1" ht="11.25" x14ac:dyDescent="0.2">
      <c r="A102" s="672" t="s">
        <v>696</v>
      </c>
      <c r="B102" s="682"/>
      <c r="C102" s="677">
        <v>42003</v>
      </c>
      <c r="D102" s="677">
        <v>42004</v>
      </c>
      <c r="E102" s="681">
        <v>13000</v>
      </c>
    </row>
    <row r="103" spans="1:9" s="218" customFormat="1" ht="11.25" x14ac:dyDescent="0.2">
      <c r="A103" s="553"/>
      <c r="B103" s="553"/>
      <c r="C103" s="665"/>
      <c r="D103" s="665"/>
      <c r="E103" s="666"/>
    </row>
    <row r="104" spans="1:9" s="218" customFormat="1" ht="11.25" x14ac:dyDescent="0.2">
      <c r="A104" s="794" t="s">
        <v>152</v>
      </c>
      <c r="B104" s="794"/>
      <c r="C104" s="794"/>
      <c r="D104" s="794"/>
      <c r="E104" s="794"/>
      <c r="F104" s="794"/>
      <c r="G104" s="794"/>
      <c r="H104" s="794"/>
      <c r="I104" s="794"/>
    </row>
    <row r="105" spans="1:9" s="218" customFormat="1" ht="11.25" x14ac:dyDescent="0.2"/>
    <row r="106" spans="1:9" s="218" customFormat="1" ht="11.25" x14ac:dyDescent="0.2">
      <c r="A106" s="884" t="s">
        <v>725</v>
      </c>
      <c r="B106" s="890"/>
      <c r="C106" s="890"/>
      <c r="D106" s="890"/>
      <c r="E106" s="890"/>
      <c r="F106" s="890"/>
      <c r="G106" s="890"/>
      <c r="H106" s="890"/>
      <c r="I106" s="885"/>
    </row>
    <row r="107" spans="1:9" s="218" customFormat="1" ht="11.25" x14ac:dyDescent="0.2">
      <c r="A107" s="884"/>
      <c r="B107" s="890"/>
      <c r="C107" s="890"/>
      <c r="D107" s="890"/>
      <c r="E107" s="890"/>
      <c r="F107" s="890"/>
      <c r="G107" s="890"/>
      <c r="H107" s="890"/>
      <c r="I107" s="885"/>
    </row>
    <row r="108" spans="1:9" s="218" customFormat="1" ht="0.75" customHeight="1" x14ac:dyDescent="0.2">
      <c r="A108" s="884"/>
      <c r="B108" s="890"/>
      <c r="C108" s="890"/>
      <c r="D108" s="890"/>
      <c r="E108" s="890"/>
      <c r="F108" s="890"/>
      <c r="G108" s="890"/>
      <c r="H108" s="890"/>
      <c r="I108" s="885"/>
    </row>
    <row r="109" spans="1:9" s="218" customFormat="1" ht="11.25" hidden="1" x14ac:dyDescent="0.2"/>
    <row r="110" spans="1:9" s="217" customFormat="1" ht="10.5" x14ac:dyDescent="0.15">
      <c r="A110" s="852" t="s">
        <v>153</v>
      </c>
      <c r="B110" s="852"/>
      <c r="C110" s="852"/>
      <c r="D110" s="852"/>
      <c r="E110" s="852"/>
      <c r="F110" s="852"/>
      <c r="G110" s="852"/>
      <c r="H110" s="852"/>
      <c r="I110" s="852"/>
    </row>
    <row r="111" spans="1:9" s="218" customFormat="1" ht="11.25" x14ac:dyDescent="0.2"/>
    <row r="112" spans="1:9" s="218" customFormat="1" ht="47.25" customHeight="1" x14ac:dyDescent="0.2">
      <c r="A112" s="789" t="s">
        <v>802</v>
      </c>
      <c r="B112" s="790"/>
      <c r="C112" s="790"/>
      <c r="D112" s="790"/>
      <c r="E112" s="790"/>
      <c r="F112" s="790"/>
      <c r="G112" s="790"/>
      <c r="H112" s="790"/>
      <c r="I112" s="791"/>
    </row>
    <row r="113" spans="1:9" s="66" customFormat="1" x14ac:dyDescent="0.2">
      <c r="A113" s="789" t="s">
        <v>121</v>
      </c>
      <c r="B113" s="790"/>
      <c r="C113" s="790"/>
      <c r="D113" s="790"/>
      <c r="E113" s="790"/>
      <c r="F113" s="790"/>
      <c r="G113" s="790"/>
      <c r="H113" s="790"/>
      <c r="I113" s="791"/>
    </row>
    <row r="114" spans="1:9" ht="11.25" x14ac:dyDescent="0.15">
      <c r="A114" s="884" t="s">
        <v>721</v>
      </c>
      <c r="B114" s="890"/>
      <c r="C114" s="890"/>
      <c r="D114" s="890"/>
      <c r="E114" s="890"/>
      <c r="F114" s="890"/>
      <c r="G114" s="890"/>
      <c r="H114" s="890"/>
      <c r="I114" s="885"/>
    </row>
  </sheetData>
  <mergeCells count="42">
    <mergeCell ref="A3:I3"/>
    <mergeCell ref="A5:B5"/>
    <mergeCell ref="D5:I5"/>
    <mergeCell ref="A6:B6"/>
    <mergeCell ref="F24:I24"/>
    <mergeCell ref="D6:I6"/>
    <mergeCell ref="D7:I7"/>
    <mergeCell ref="A7:B7"/>
    <mergeCell ref="A8:B8"/>
    <mergeCell ref="D8:I8"/>
    <mergeCell ref="F25:I25"/>
    <mergeCell ref="F26:I26"/>
    <mergeCell ref="A28:I28"/>
    <mergeCell ref="A9:B9"/>
    <mergeCell ref="D9:I9"/>
    <mergeCell ref="F23:I23"/>
    <mergeCell ref="A11:I11"/>
    <mergeCell ref="A15:A16"/>
    <mergeCell ref="A19:I19"/>
    <mergeCell ref="F21:I21"/>
    <mergeCell ref="F22:I22"/>
    <mergeCell ref="A44:I44"/>
    <mergeCell ref="C46:I46"/>
    <mergeCell ref="A106:I106"/>
    <mergeCell ref="A108:I108"/>
    <mergeCell ref="A104:I104"/>
    <mergeCell ref="A107:I107"/>
    <mergeCell ref="D41:I41"/>
    <mergeCell ref="C42:I42"/>
    <mergeCell ref="D30:I30"/>
    <mergeCell ref="D31:I35"/>
    <mergeCell ref="C36:I36"/>
    <mergeCell ref="A38:I38"/>
    <mergeCell ref="D40:I40"/>
    <mergeCell ref="A112:I112"/>
    <mergeCell ref="A113:I113"/>
    <mergeCell ref="A114:I114"/>
    <mergeCell ref="C47:I47"/>
    <mergeCell ref="C48:I48"/>
    <mergeCell ref="A50:I50"/>
    <mergeCell ref="A52:B52"/>
    <mergeCell ref="A110:I110"/>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833" t="s">
        <v>103</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9499999999999993" customHeight="1" x14ac:dyDescent="0.2">
      <c r="A3" s="824" t="s">
        <v>40</v>
      </c>
      <c r="B3" s="837" t="s">
        <v>41</v>
      </c>
      <c r="C3" s="838"/>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9499999999999993" customHeight="1" x14ac:dyDescent="0.2">
      <c r="A4" s="845"/>
      <c r="B4" s="839"/>
      <c r="C4" s="840"/>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9499999999999993" customHeight="1" x14ac:dyDescent="0.2">
      <c r="A5" s="846"/>
      <c r="B5" s="841"/>
      <c r="C5" s="842"/>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9499999999999993" customHeight="1" x14ac:dyDescent="0.2">
      <c r="A6" s="33" t="s">
        <v>0</v>
      </c>
      <c r="B6" s="826" t="s">
        <v>1</v>
      </c>
      <c r="C6" s="826"/>
      <c r="D6" s="22" t="s">
        <v>25</v>
      </c>
      <c r="E6" s="67">
        <f>SUM(E7:E9)</f>
        <v>17621500</v>
      </c>
      <c r="F6" s="67">
        <f>SUM(F7:F9)</f>
        <v>17245930</v>
      </c>
      <c r="G6" s="67">
        <f>SUM(G7:G9)</f>
        <v>17408449.879999999</v>
      </c>
      <c r="H6" s="28">
        <f t="shared" ref="H6:H36" si="0">G6/F6*100</f>
        <v>100.94236657576599</v>
      </c>
      <c r="I6" s="67">
        <f>SUM(I7:I9)</f>
        <v>19793900</v>
      </c>
      <c r="J6" s="67">
        <f>SUM(J7:J9)</f>
        <v>10625000</v>
      </c>
      <c r="K6" s="67">
        <f t="shared" ref="K6:X6" si="1">SUM(K7:K9)</f>
        <v>9056390</v>
      </c>
      <c r="L6" s="67">
        <f t="shared" si="1"/>
        <v>9202929.879999999</v>
      </c>
      <c r="M6" s="28">
        <f t="shared" ref="M6:M33" si="2">L6/K6*100</f>
        <v>101.61808270182711</v>
      </c>
      <c r="N6" s="68">
        <f t="shared" si="1"/>
        <v>11812290</v>
      </c>
      <c r="O6" s="67">
        <f t="shared" si="1"/>
        <v>6996500</v>
      </c>
      <c r="P6" s="67">
        <f t="shared" si="1"/>
        <v>8189540</v>
      </c>
      <c r="Q6" s="67">
        <f t="shared" si="1"/>
        <v>8205520</v>
      </c>
      <c r="R6" s="28">
        <f t="shared" ref="R6:R33" si="3">Q6/P6*100</f>
        <v>100.19512695462748</v>
      </c>
      <c r="S6" s="67">
        <f t="shared" si="1"/>
        <v>7981610</v>
      </c>
      <c r="T6" s="67">
        <f t="shared" si="1"/>
        <v>1470000</v>
      </c>
      <c r="U6" s="67">
        <f t="shared" si="1"/>
        <v>1700000</v>
      </c>
      <c r="V6" s="67">
        <f t="shared" si="1"/>
        <v>1783324</v>
      </c>
      <c r="W6" s="28">
        <f t="shared" ref="W6:W33" si="4">V6/U6*100</f>
        <v>104.90141176470588</v>
      </c>
      <c r="X6" s="67">
        <f t="shared" si="1"/>
        <v>0</v>
      </c>
    </row>
    <row r="7" spans="1:24" s="6" customFormat="1" ht="9.9499999999999993" customHeight="1" x14ac:dyDescent="0.2">
      <c r="A7" s="34" t="s">
        <v>2</v>
      </c>
      <c r="B7" s="827" t="s">
        <v>47</v>
      </c>
      <c r="C7" s="828"/>
      <c r="D7" s="55" t="s">
        <v>25</v>
      </c>
      <c r="E7" s="70">
        <f t="shared" ref="E7:G10" si="5">SUM(J7,O7)</f>
        <v>4450000</v>
      </c>
      <c r="F7" s="71">
        <f t="shared" si="5"/>
        <v>3981390</v>
      </c>
      <c r="G7" s="290">
        <f t="shared" si="5"/>
        <v>4132085.03</v>
      </c>
      <c r="H7" s="291">
        <f t="shared" si="0"/>
        <v>103.78498539454813</v>
      </c>
      <c r="I7" s="292">
        <f>SUM(N7,S7)</f>
        <v>5437378</v>
      </c>
      <c r="J7" s="293">
        <v>4450000</v>
      </c>
      <c r="K7" s="294">
        <f>3057400+50000+50000+54890+215000+480000+61100+13000</f>
        <v>3981390</v>
      </c>
      <c r="L7" s="294">
        <v>4132085.03</v>
      </c>
      <c r="M7" s="10">
        <f t="shared" si="2"/>
        <v>103.78498539454813</v>
      </c>
      <c r="N7" s="75">
        <v>5405676</v>
      </c>
      <c r="O7" s="76"/>
      <c r="P7" s="74"/>
      <c r="Q7" s="74"/>
      <c r="R7" s="10" t="e">
        <f t="shared" si="3"/>
        <v>#DIV/0!</v>
      </c>
      <c r="S7" s="74">
        <v>31702</v>
      </c>
      <c r="T7" s="76">
        <v>1470000</v>
      </c>
      <c r="U7" s="74">
        <v>1700000</v>
      </c>
      <c r="V7" s="74">
        <f>165029+1618295</f>
        <v>1783324</v>
      </c>
      <c r="W7" s="10">
        <f t="shared" si="4"/>
        <v>104.90141176470588</v>
      </c>
      <c r="X7" s="122"/>
    </row>
    <row r="8" spans="1:24" s="6" customFormat="1" ht="9.9499999999999993" customHeight="1" x14ac:dyDescent="0.2">
      <c r="A8" s="35" t="s">
        <v>3</v>
      </c>
      <c r="B8" s="815" t="s">
        <v>48</v>
      </c>
      <c r="C8" s="816"/>
      <c r="D8" s="56" t="s">
        <v>25</v>
      </c>
      <c r="E8" s="77">
        <f t="shared" si="5"/>
        <v>8000</v>
      </c>
      <c r="F8" s="78">
        <f t="shared" si="5"/>
        <v>8000</v>
      </c>
      <c r="G8" s="295">
        <f t="shared" si="5"/>
        <v>3845</v>
      </c>
      <c r="H8" s="296">
        <f t="shared" si="0"/>
        <v>48.0625</v>
      </c>
      <c r="I8" s="297">
        <f>SUM(N8,S8)</f>
        <v>8794</v>
      </c>
      <c r="J8" s="298">
        <v>8000</v>
      </c>
      <c r="K8" s="295">
        <v>8000</v>
      </c>
      <c r="L8" s="295">
        <v>3845</v>
      </c>
      <c r="M8" s="11">
        <f t="shared" si="2"/>
        <v>48.0625</v>
      </c>
      <c r="N8" s="79">
        <v>8794</v>
      </c>
      <c r="O8" s="77"/>
      <c r="P8" s="78"/>
      <c r="Q8" s="78"/>
      <c r="R8" s="11" t="e">
        <f t="shared" si="3"/>
        <v>#DIV/0!</v>
      </c>
      <c r="S8" s="78"/>
      <c r="T8" s="77"/>
      <c r="U8" s="78"/>
      <c r="V8" s="78"/>
      <c r="W8" s="11" t="e">
        <f t="shared" si="4"/>
        <v>#DIV/0!</v>
      </c>
      <c r="X8" s="81"/>
    </row>
    <row r="9" spans="1:24" s="6" customFormat="1" ht="9.9499999999999993" customHeight="1" x14ac:dyDescent="0.2">
      <c r="A9" s="36" t="s">
        <v>4</v>
      </c>
      <c r="B9" s="319" t="s">
        <v>66</v>
      </c>
      <c r="C9" s="320"/>
      <c r="D9" s="57" t="s">
        <v>25</v>
      </c>
      <c r="E9" s="82">
        <f t="shared" si="5"/>
        <v>13163500</v>
      </c>
      <c r="F9" s="83">
        <f t="shared" si="5"/>
        <v>13256540</v>
      </c>
      <c r="G9" s="299">
        <f t="shared" si="5"/>
        <v>13272519.85</v>
      </c>
      <c r="H9" s="300">
        <f t="shared" si="0"/>
        <v>100.12054314323345</v>
      </c>
      <c r="I9" s="301">
        <f>SUM(N9,S9)</f>
        <v>14347728</v>
      </c>
      <c r="J9" s="302">
        <v>6167000</v>
      </c>
      <c r="K9" s="299">
        <v>5067000</v>
      </c>
      <c r="L9" s="299">
        <v>5066999.8499999996</v>
      </c>
      <c r="M9" s="31">
        <f t="shared" si="2"/>
        <v>99.999997039668429</v>
      </c>
      <c r="N9" s="84">
        <v>6397820</v>
      </c>
      <c r="O9" s="82">
        <v>6996500</v>
      </c>
      <c r="P9" s="83">
        <v>8189540</v>
      </c>
      <c r="Q9" s="83">
        <f>7391723+813797</f>
        <v>8205520</v>
      </c>
      <c r="R9" s="31">
        <f t="shared" si="3"/>
        <v>100.19512695462748</v>
      </c>
      <c r="S9" s="83">
        <v>7949908</v>
      </c>
      <c r="T9" s="82"/>
      <c r="U9" s="83"/>
      <c r="V9" s="83"/>
      <c r="W9" s="31"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650000</v>
      </c>
      <c r="J10" s="69"/>
      <c r="K10" s="87"/>
      <c r="L10" s="87"/>
      <c r="M10" s="28" t="e">
        <f t="shared" si="2"/>
        <v>#DIV/0!</v>
      </c>
      <c r="N10" s="88">
        <v>650000</v>
      </c>
      <c r="O10" s="87"/>
      <c r="P10" s="87"/>
      <c r="Q10" s="87"/>
      <c r="R10" s="28" t="e">
        <f t="shared" si="3"/>
        <v>#DIV/0!</v>
      </c>
      <c r="S10" s="88"/>
      <c r="T10" s="87"/>
      <c r="U10" s="87"/>
      <c r="V10" s="87"/>
      <c r="W10" s="28" t="e">
        <f t="shared" si="4"/>
        <v>#DIV/0!</v>
      </c>
      <c r="X10" s="87"/>
    </row>
    <row r="11" spans="1:24" s="6" customFormat="1" ht="9.9499999999999993" customHeight="1" x14ac:dyDescent="0.2">
      <c r="A11" s="33" t="s">
        <v>6</v>
      </c>
      <c r="B11" s="826" t="s">
        <v>9</v>
      </c>
      <c r="C11" s="826"/>
      <c r="D11" s="23" t="s">
        <v>25</v>
      </c>
      <c r="E11" s="67">
        <f>SUM(E12:E30)</f>
        <v>17621500</v>
      </c>
      <c r="F11" s="67">
        <f>SUM(F12:F30)</f>
        <v>17304830</v>
      </c>
      <c r="G11" s="67">
        <f>SUM(G12:G30)</f>
        <v>17082310.949999999</v>
      </c>
      <c r="H11" s="28">
        <f t="shared" si="0"/>
        <v>98.714121722085679</v>
      </c>
      <c r="I11" s="68">
        <f>SUM(I12:I30)</f>
        <v>19334319</v>
      </c>
      <c r="J11" s="67">
        <f>SUM(J12:J30)</f>
        <v>10625000</v>
      </c>
      <c r="K11" s="67">
        <f>SUM(K12:K30)</f>
        <v>9115290</v>
      </c>
      <c r="L11" s="67">
        <f>SUM(L12:L30)</f>
        <v>8876790.7400000002</v>
      </c>
      <c r="M11" s="28">
        <f t="shared" si="2"/>
        <v>97.383525263595558</v>
      </c>
      <c r="N11" s="68">
        <f>SUM(N12:N30)</f>
        <v>11352709</v>
      </c>
      <c r="O11" s="67">
        <f>SUM(O12:O30)</f>
        <v>6996500</v>
      </c>
      <c r="P11" s="67">
        <f>SUM(P12:P30)</f>
        <v>8189540</v>
      </c>
      <c r="Q11" s="67">
        <f>SUM(Q12:Q30)</f>
        <v>8205520.21</v>
      </c>
      <c r="R11" s="28">
        <f t="shared" si="3"/>
        <v>100.19512951887408</v>
      </c>
      <c r="S11" s="68">
        <f>SUM(S12:S30)</f>
        <v>7981610</v>
      </c>
      <c r="T11" s="67">
        <f>SUM(T12:T30)</f>
        <v>1396500</v>
      </c>
      <c r="U11" s="67">
        <f>SUM(U12:U30)</f>
        <v>1523500</v>
      </c>
      <c r="V11" s="67">
        <f>SUM(V12:V30)</f>
        <v>1521835.6</v>
      </c>
      <c r="W11" s="28">
        <f t="shared" si="4"/>
        <v>99.890751558910409</v>
      </c>
      <c r="X11" s="67">
        <f>SUM(X12:X30)</f>
        <v>0</v>
      </c>
    </row>
    <row r="12" spans="1:24" s="6" customFormat="1" ht="9.9499999999999993" customHeight="1" x14ac:dyDescent="0.2">
      <c r="A12" s="37" t="s">
        <v>8</v>
      </c>
      <c r="B12" s="831" t="s">
        <v>28</v>
      </c>
      <c r="C12" s="832"/>
      <c r="D12" s="58" t="s">
        <v>25</v>
      </c>
      <c r="E12" s="70">
        <f t="shared" ref="E12:I27" si="6">SUM(J12,O12)</f>
        <v>992000</v>
      </c>
      <c r="F12" s="71">
        <f t="shared" si="6"/>
        <v>1602353</v>
      </c>
      <c r="G12" s="290">
        <f t="shared" si="6"/>
        <v>1608928</v>
      </c>
      <c r="H12" s="291">
        <f t="shared" si="0"/>
        <v>100.41033405248407</v>
      </c>
      <c r="I12" s="292">
        <f t="shared" si="6"/>
        <v>1384765</v>
      </c>
      <c r="J12" s="303">
        <v>992000</v>
      </c>
      <c r="K12" s="294">
        <f>932300+15000+480000+13000</f>
        <v>1440300</v>
      </c>
      <c r="L12" s="294">
        <f>1596328-162053-15980+8934+12600</f>
        <v>1439829</v>
      </c>
      <c r="M12" s="291">
        <f t="shared" si="2"/>
        <v>99.967298479483446</v>
      </c>
      <c r="N12" s="292">
        <v>1263529</v>
      </c>
      <c r="O12" s="304"/>
      <c r="P12" s="294">
        <v>162053</v>
      </c>
      <c r="Q12" s="294">
        <f>162053+15980-8934</f>
        <v>169099</v>
      </c>
      <c r="R12" s="291">
        <f t="shared" si="3"/>
        <v>104.34796023523167</v>
      </c>
      <c r="S12" s="294">
        <v>121236</v>
      </c>
      <c r="T12" s="304">
        <v>70000</v>
      </c>
      <c r="U12" s="294">
        <v>83000</v>
      </c>
      <c r="V12" s="294">
        <f>95518-12600</f>
        <v>82918</v>
      </c>
      <c r="W12" s="10">
        <f t="shared" si="4"/>
        <v>99.901204819277112</v>
      </c>
      <c r="X12" s="94"/>
    </row>
    <row r="13" spans="1:24" s="6" customFormat="1" ht="9.9499999999999993" customHeight="1" x14ac:dyDescent="0.2">
      <c r="A13" s="38" t="s">
        <v>10</v>
      </c>
      <c r="B13" s="815" t="s">
        <v>29</v>
      </c>
      <c r="C13" s="816"/>
      <c r="D13" s="56" t="s">
        <v>25</v>
      </c>
      <c r="E13" s="77">
        <f t="shared" si="6"/>
        <v>3800000</v>
      </c>
      <c r="F13" s="78">
        <f t="shared" si="6"/>
        <v>1550000</v>
      </c>
      <c r="G13" s="295">
        <f t="shared" si="6"/>
        <v>1549663</v>
      </c>
      <c r="H13" s="296">
        <f t="shared" si="0"/>
        <v>99.97825806451614</v>
      </c>
      <c r="I13" s="297">
        <f t="shared" si="6"/>
        <v>3714335</v>
      </c>
      <c r="J13" s="305">
        <v>3800000</v>
      </c>
      <c r="K13" s="295">
        <f>1650000-100000</f>
        <v>1550000</v>
      </c>
      <c r="L13" s="295">
        <f>1742663-193000</f>
        <v>1549663</v>
      </c>
      <c r="M13" s="296">
        <f t="shared" si="2"/>
        <v>99.97825806451614</v>
      </c>
      <c r="N13" s="297">
        <v>3714335</v>
      </c>
      <c r="O13" s="306"/>
      <c r="P13" s="295"/>
      <c r="Q13" s="295"/>
      <c r="R13" s="296" t="e">
        <f t="shared" si="3"/>
        <v>#DIV/0!</v>
      </c>
      <c r="S13" s="295"/>
      <c r="T13" s="306">
        <v>950000</v>
      </c>
      <c r="U13" s="295">
        <v>1135000</v>
      </c>
      <c r="V13" s="295">
        <f>941631+193000</f>
        <v>1134631</v>
      </c>
      <c r="W13" s="11">
        <f t="shared" si="4"/>
        <v>99.967488986784133</v>
      </c>
      <c r="X13" s="81"/>
    </row>
    <row r="14" spans="1:24" s="6" customFormat="1" ht="9.9499999999999993" customHeight="1" x14ac:dyDescent="0.2">
      <c r="A14" s="38" t="s">
        <v>11</v>
      </c>
      <c r="B14" s="46" t="s">
        <v>67</v>
      </c>
      <c r="C14" s="47"/>
      <c r="D14" s="56" t="s">
        <v>25</v>
      </c>
      <c r="E14" s="77">
        <f t="shared" si="6"/>
        <v>0</v>
      </c>
      <c r="F14" s="78">
        <f t="shared" si="6"/>
        <v>0</v>
      </c>
      <c r="G14" s="295">
        <f t="shared" si="6"/>
        <v>0</v>
      </c>
      <c r="H14" s="296" t="e">
        <f t="shared" si="0"/>
        <v>#DIV/0!</v>
      </c>
      <c r="I14" s="297">
        <f t="shared" si="6"/>
        <v>0</v>
      </c>
      <c r="J14" s="305"/>
      <c r="K14" s="295" t="s">
        <v>90</v>
      </c>
      <c r="L14" s="295"/>
      <c r="M14" s="296" t="e">
        <f t="shared" si="2"/>
        <v>#VALUE!</v>
      </c>
      <c r="N14" s="297"/>
      <c r="O14" s="306"/>
      <c r="P14" s="295"/>
      <c r="Q14" s="295"/>
      <c r="R14" s="296" t="e">
        <f t="shared" si="3"/>
        <v>#DIV/0!</v>
      </c>
      <c r="S14" s="295"/>
      <c r="T14" s="306"/>
      <c r="U14" s="295"/>
      <c r="V14" s="295"/>
      <c r="W14" s="11" t="e">
        <f t="shared" si="4"/>
        <v>#DIV/0!</v>
      </c>
      <c r="X14" s="81"/>
    </row>
    <row r="15" spans="1:24" s="6" customFormat="1" ht="9.9499999999999993" customHeight="1" x14ac:dyDescent="0.2">
      <c r="A15" s="38" t="s">
        <v>12</v>
      </c>
      <c r="B15" s="815" t="s">
        <v>68</v>
      </c>
      <c r="C15" s="816"/>
      <c r="D15" s="56" t="s">
        <v>25</v>
      </c>
      <c r="E15" s="77">
        <f t="shared" si="6"/>
        <v>480000</v>
      </c>
      <c r="F15" s="78">
        <f t="shared" si="6"/>
        <v>460000</v>
      </c>
      <c r="G15" s="295">
        <f t="shared" si="6"/>
        <v>431007</v>
      </c>
      <c r="H15" s="296">
        <f t="shared" si="0"/>
        <v>93.697173913043471</v>
      </c>
      <c r="I15" s="297">
        <f t="shared" si="6"/>
        <v>762487</v>
      </c>
      <c r="J15" s="305">
        <v>480000</v>
      </c>
      <c r="K15" s="295">
        <v>460000</v>
      </c>
      <c r="L15" s="295">
        <v>431007</v>
      </c>
      <c r="M15" s="296">
        <f t="shared" si="2"/>
        <v>93.697173913043471</v>
      </c>
      <c r="N15" s="297">
        <v>730785</v>
      </c>
      <c r="O15" s="306"/>
      <c r="P15" s="295"/>
      <c r="Q15" s="295"/>
      <c r="R15" s="296" t="e">
        <f t="shared" si="3"/>
        <v>#DIV/0!</v>
      </c>
      <c r="S15" s="295">
        <v>31702</v>
      </c>
      <c r="T15" s="306"/>
      <c r="U15" s="295"/>
      <c r="V15" s="295"/>
      <c r="W15" s="11" t="e">
        <f t="shared" si="4"/>
        <v>#DIV/0!</v>
      </c>
      <c r="X15" s="81"/>
    </row>
    <row r="16" spans="1:24" s="6" customFormat="1" ht="9.9499999999999993" customHeight="1" x14ac:dyDescent="0.2">
      <c r="A16" s="38" t="s">
        <v>13</v>
      </c>
      <c r="B16" s="815" t="s">
        <v>30</v>
      </c>
      <c r="C16" s="816"/>
      <c r="D16" s="56" t="s">
        <v>25</v>
      </c>
      <c r="E16" s="77">
        <f t="shared" si="6"/>
        <v>40000</v>
      </c>
      <c r="F16" s="78">
        <f t="shared" si="6"/>
        <v>45386</v>
      </c>
      <c r="G16" s="295">
        <f t="shared" si="6"/>
        <v>30185</v>
      </c>
      <c r="H16" s="296">
        <f t="shared" si="0"/>
        <v>66.507292997840736</v>
      </c>
      <c r="I16" s="297">
        <f t="shared" si="6"/>
        <v>36191</v>
      </c>
      <c r="J16" s="305">
        <v>40000</v>
      </c>
      <c r="K16" s="295">
        <f>40000-500</f>
        <v>39500</v>
      </c>
      <c r="L16" s="295">
        <f>30185-5886</f>
        <v>24299</v>
      </c>
      <c r="M16" s="296">
        <f t="shared" si="2"/>
        <v>61.516455696202534</v>
      </c>
      <c r="N16" s="297">
        <v>25314</v>
      </c>
      <c r="O16" s="306"/>
      <c r="P16" s="295">
        <v>5886</v>
      </c>
      <c r="Q16" s="295">
        <v>5886</v>
      </c>
      <c r="R16" s="296">
        <f t="shared" si="3"/>
        <v>100</v>
      </c>
      <c r="S16" s="295">
        <v>10877</v>
      </c>
      <c r="T16" s="306"/>
      <c r="U16" s="295"/>
      <c r="V16" s="295"/>
      <c r="W16" s="11" t="e">
        <f t="shared" si="4"/>
        <v>#DIV/0!</v>
      </c>
      <c r="X16" s="81"/>
    </row>
    <row r="17" spans="1:24" s="6" customFormat="1" ht="9.9499999999999993" customHeight="1" x14ac:dyDescent="0.2">
      <c r="A17" s="38" t="s">
        <v>14</v>
      </c>
      <c r="B17" s="46" t="s">
        <v>49</v>
      </c>
      <c r="C17" s="47"/>
      <c r="D17" s="56" t="s">
        <v>25</v>
      </c>
      <c r="E17" s="77">
        <f t="shared" si="6"/>
        <v>2000</v>
      </c>
      <c r="F17" s="78">
        <f t="shared" si="6"/>
        <v>2500</v>
      </c>
      <c r="G17" s="295">
        <f t="shared" si="6"/>
        <v>2488</v>
      </c>
      <c r="H17" s="296">
        <f t="shared" si="0"/>
        <v>99.52</v>
      </c>
      <c r="I17" s="297">
        <f t="shared" si="6"/>
        <v>1442</v>
      </c>
      <c r="J17" s="305">
        <v>2000</v>
      </c>
      <c r="K17" s="295">
        <f>2000+500</f>
        <v>2500</v>
      </c>
      <c r="L17" s="295">
        <v>2488</v>
      </c>
      <c r="M17" s="296">
        <f t="shared" si="2"/>
        <v>99.52</v>
      </c>
      <c r="N17" s="297">
        <v>1442</v>
      </c>
      <c r="O17" s="306"/>
      <c r="P17" s="295"/>
      <c r="Q17" s="295"/>
      <c r="R17" s="296" t="e">
        <f t="shared" si="3"/>
        <v>#DIV/0!</v>
      </c>
      <c r="S17" s="295"/>
      <c r="T17" s="306"/>
      <c r="U17" s="295"/>
      <c r="V17" s="295"/>
      <c r="W17" s="11" t="e">
        <f t="shared" si="4"/>
        <v>#DIV/0!</v>
      </c>
      <c r="X17" s="81"/>
    </row>
    <row r="18" spans="1:24" s="6" customFormat="1" ht="9.9499999999999993" customHeight="1" x14ac:dyDescent="0.2">
      <c r="A18" s="38" t="s">
        <v>15</v>
      </c>
      <c r="B18" s="815" t="s">
        <v>31</v>
      </c>
      <c r="C18" s="816"/>
      <c r="D18" s="56" t="s">
        <v>25</v>
      </c>
      <c r="E18" s="77">
        <f t="shared" si="6"/>
        <v>2690000</v>
      </c>
      <c r="F18" s="78">
        <f t="shared" si="6"/>
        <v>2782668</v>
      </c>
      <c r="G18" s="295">
        <f t="shared" si="6"/>
        <v>2656239</v>
      </c>
      <c r="H18" s="296">
        <f t="shared" si="0"/>
        <v>95.45655464467913</v>
      </c>
      <c r="I18" s="297">
        <f t="shared" si="6"/>
        <v>2744414</v>
      </c>
      <c r="J18" s="305">
        <v>2690000</v>
      </c>
      <c r="K18" s="295">
        <f>2594000+25000+105000</f>
        <v>2724000</v>
      </c>
      <c r="L18" s="295">
        <f>2551239-58668+105000</f>
        <v>2597571</v>
      </c>
      <c r="M18" s="296">
        <f t="shared" si="2"/>
        <v>95.358700440528636</v>
      </c>
      <c r="N18" s="297">
        <v>2688883</v>
      </c>
      <c r="O18" s="306"/>
      <c r="P18" s="295">
        <v>58668</v>
      </c>
      <c r="Q18" s="295">
        <v>58668</v>
      </c>
      <c r="R18" s="296">
        <f t="shared" si="3"/>
        <v>100</v>
      </c>
      <c r="S18" s="295">
        <v>55531</v>
      </c>
      <c r="T18" s="306">
        <v>46000</v>
      </c>
      <c r="U18" s="295">
        <v>91000</v>
      </c>
      <c r="V18" s="295">
        <f>195276.6-105000</f>
        <v>90276.6</v>
      </c>
      <c r="W18" s="11">
        <f t="shared" si="4"/>
        <v>99.205054945054954</v>
      </c>
      <c r="X18" s="81"/>
    </row>
    <row r="19" spans="1:24" s="12" customFormat="1" ht="9.9499999999999993" customHeight="1" x14ac:dyDescent="0.2">
      <c r="A19" s="38" t="s">
        <v>16</v>
      </c>
      <c r="B19" s="815" t="s">
        <v>32</v>
      </c>
      <c r="C19" s="816"/>
      <c r="D19" s="56" t="s">
        <v>25</v>
      </c>
      <c r="E19" s="77">
        <f t="shared" si="6"/>
        <v>7062000</v>
      </c>
      <c r="F19" s="78">
        <f t="shared" si="6"/>
        <v>7987879</v>
      </c>
      <c r="G19" s="295">
        <f t="shared" si="6"/>
        <v>7926319</v>
      </c>
      <c r="H19" s="296">
        <f t="shared" si="0"/>
        <v>99.229332342164923</v>
      </c>
      <c r="I19" s="297">
        <f t="shared" si="6"/>
        <v>7902681</v>
      </c>
      <c r="J19" s="307">
        <v>1920000</v>
      </c>
      <c r="K19" s="295">
        <f>1770000+215000</f>
        <v>1985000</v>
      </c>
      <c r="L19" s="295">
        <f>2699752+1867-650358-277821+150000</f>
        <v>1923440</v>
      </c>
      <c r="M19" s="296">
        <f t="shared" si="2"/>
        <v>96.898740554156177</v>
      </c>
      <c r="N19" s="297">
        <v>2040186</v>
      </c>
      <c r="O19" s="306">
        <v>5142000</v>
      </c>
      <c r="P19" s="295">
        <v>6002879</v>
      </c>
      <c r="Q19" s="295">
        <f>5340902+11619+650358</f>
        <v>6002879</v>
      </c>
      <c r="R19" s="296">
        <f t="shared" si="3"/>
        <v>100</v>
      </c>
      <c r="S19" s="295">
        <v>5862495</v>
      </c>
      <c r="T19" s="308">
        <v>250000</v>
      </c>
      <c r="U19" s="309">
        <v>128000</v>
      </c>
      <c r="V19" s="309">
        <f>277821-150000</f>
        <v>127821</v>
      </c>
      <c r="W19" s="11">
        <f t="shared" si="4"/>
        <v>99.860156250000003</v>
      </c>
      <c r="X19" s="123"/>
    </row>
    <row r="20" spans="1:24" s="6" customFormat="1" ht="9.9499999999999993" customHeight="1" x14ac:dyDescent="0.2">
      <c r="A20" s="38" t="s">
        <v>17</v>
      </c>
      <c r="B20" s="815" t="s">
        <v>50</v>
      </c>
      <c r="C20" s="816"/>
      <c r="D20" s="56" t="s">
        <v>25</v>
      </c>
      <c r="E20" s="77">
        <f t="shared" si="6"/>
        <v>2247000</v>
      </c>
      <c r="F20" s="78">
        <f t="shared" si="6"/>
        <v>2305402</v>
      </c>
      <c r="G20" s="295">
        <f t="shared" si="6"/>
        <v>2314066</v>
      </c>
      <c r="H20" s="296">
        <f t="shared" si="0"/>
        <v>100.37581298185741</v>
      </c>
      <c r="I20" s="297">
        <f t="shared" si="6"/>
        <v>2311203</v>
      </c>
      <c r="J20" s="305">
        <v>473000</v>
      </c>
      <c r="K20" s="295">
        <f>419000+12000</f>
        <v>431000</v>
      </c>
      <c r="L20" s="295">
        <f>122528+349795+20407-62000</f>
        <v>430730</v>
      </c>
      <c r="M20" s="296">
        <f t="shared" si="2"/>
        <v>99.937354988399079</v>
      </c>
      <c r="N20" s="297">
        <v>542957</v>
      </c>
      <c r="O20" s="306">
        <v>1774000</v>
      </c>
      <c r="P20" s="295">
        <v>1874402</v>
      </c>
      <c r="Q20" s="295">
        <f>470557+57627+1186135+160083+8934</f>
        <v>1883336</v>
      </c>
      <c r="R20" s="296">
        <f t="shared" si="3"/>
        <v>100.47663201383695</v>
      </c>
      <c r="S20" s="295">
        <v>1768246</v>
      </c>
      <c r="T20" s="306">
        <v>54000</v>
      </c>
      <c r="U20" s="295">
        <v>62000</v>
      </c>
      <c r="V20" s="295">
        <v>62000</v>
      </c>
      <c r="W20" s="11">
        <f t="shared" si="4"/>
        <v>100</v>
      </c>
      <c r="X20" s="81"/>
    </row>
    <row r="21" spans="1:24" s="6" customFormat="1" ht="9.9499999999999993" customHeight="1" x14ac:dyDescent="0.2">
      <c r="A21" s="38" t="s">
        <v>18</v>
      </c>
      <c r="B21" s="815" t="s">
        <v>51</v>
      </c>
      <c r="C21" s="816"/>
      <c r="D21" s="56" t="s">
        <v>25</v>
      </c>
      <c r="E21" s="77">
        <f t="shared" si="6"/>
        <v>170500</v>
      </c>
      <c r="F21" s="78">
        <f t="shared" si="6"/>
        <v>159488</v>
      </c>
      <c r="G21" s="295">
        <f t="shared" si="6"/>
        <v>155224.95000000001</v>
      </c>
      <c r="H21" s="296">
        <f t="shared" si="0"/>
        <v>97.327040278892468</v>
      </c>
      <c r="I21" s="297">
        <f t="shared" si="6"/>
        <v>175756</v>
      </c>
      <c r="J21" s="305">
        <v>90000</v>
      </c>
      <c r="K21" s="295">
        <f>86000+20000</f>
        <v>106000</v>
      </c>
      <c r="L21" s="295">
        <f>19992.74+62410+5350+13961+23</f>
        <v>101736.74</v>
      </c>
      <c r="M21" s="296">
        <f t="shared" si="2"/>
        <v>95.978056603773581</v>
      </c>
      <c r="N21" s="297">
        <v>100047</v>
      </c>
      <c r="O21" s="306">
        <v>80500</v>
      </c>
      <c r="P21" s="295">
        <v>53488</v>
      </c>
      <c r="Q21" s="295">
        <f>47805.21+5683</f>
        <v>53488.21</v>
      </c>
      <c r="R21" s="296">
        <f t="shared" si="3"/>
        <v>100.00039261142686</v>
      </c>
      <c r="S21" s="295">
        <v>75709</v>
      </c>
      <c r="T21" s="306">
        <v>4000</v>
      </c>
      <c r="U21" s="295"/>
      <c r="V21" s="295"/>
      <c r="W21" s="11" t="e">
        <f t="shared" si="4"/>
        <v>#DIV/0!</v>
      </c>
      <c r="X21" s="81"/>
    </row>
    <row r="22" spans="1:24" s="6" customFormat="1" ht="9.9499999999999993" customHeight="1" x14ac:dyDescent="0.2">
      <c r="A22" s="38" t="s">
        <v>19</v>
      </c>
      <c r="B22" s="815" t="s">
        <v>69</v>
      </c>
      <c r="C22" s="816"/>
      <c r="D22" s="56" t="s">
        <v>25</v>
      </c>
      <c r="E22" s="77">
        <f t="shared" si="6"/>
        <v>5000</v>
      </c>
      <c r="F22" s="78">
        <f t="shared" si="6"/>
        <v>5000</v>
      </c>
      <c r="G22" s="295">
        <f>SUM(L22,Q22)</f>
        <v>4775</v>
      </c>
      <c r="H22" s="296">
        <f t="shared" si="0"/>
        <v>95.5</v>
      </c>
      <c r="I22" s="297">
        <f t="shared" si="6"/>
        <v>3875</v>
      </c>
      <c r="J22" s="305">
        <v>5000</v>
      </c>
      <c r="K22" s="295">
        <v>5000</v>
      </c>
      <c r="L22" s="295">
        <v>4775</v>
      </c>
      <c r="M22" s="296">
        <f t="shared" si="2"/>
        <v>95.5</v>
      </c>
      <c r="N22" s="297">
        <v>3875</v>
      </c>
      <c r="O22" s="306"/>
      <c r="P22" s="295"/>
      <c r="Q22" s="295"/>
      <c r="R22" s="296" t="e">
        <f t="shared" si="3"/>
        <v>#DIV/0!</v>
      </c>
      <c r="S22" s="295"/>
      <c r="T22" s="306"/>
      <c r="U22" s="295"/>
      <c r="V22" s="295"/>
      <c r="W22" s="11" t="e">
        <f t="shared" si="4"/>
        <v>#DIV/0!</v>
      </c>
      <c r="X22" s="81"/>
    </row>
    <row r="23" spans="1:24" s="6" customFormat="1" ht="9.9499999999999993" customHeight="1" x14ac:dyDescent="0.2">
      <c r="A23" s="38" t="s">
        <v>20</v>
      </c>
      <c r="B23" s="46" t="s">
        <v>70</v>
      </c>
      <c r="C23" s="47"/>
      <c r="D23" s="56" t="s">
        <v>25</v>
      </c>
      <c r="E23" s="77">
        <f t="shared" si="6"/>
        <v>0</v>
      </c>
      <c r="F23" s="78">
        <f t="shared" si="6"/>
        <v>0</v>
      </c>
      <c r="G23" s="295">
        <f t="shared" si="6"/>
        <v>0</v>
      </c>
      <c r="H23" s="296" t="e">
        <f t="shared" si="0"/>
        <v>#DIV/0!</v>
      </c>
      <c r="I23" s="297">
        <f t="shared" si="6"/>
        <v>1416</v>
      </c>
      <c r="J23" s="305"/>
      <c r="K23" s="295"/>
      <c r="L23" s="295"/>
      <c r="M23" s="296" t="e">
        <f t="shared" si="2"/>
        <v>#DIV/0!</v>
      </c>
      <c r="N23" s="297">
        <v>1416</v>
      </c>
      <c r="O23" s="306"/>
      <c r="P23" s="295"/>
      <c r="Q23" s="295"/>
      <c r="R23" s="296" t="e">
        <f t="shared" si="3"/>
        <v>#DIV/0!</v>
      </c>
      <c r="S23" s="295"/>
      <c r="T23" s="308"/>
      <c r="U23" s="309"/>
      <c r="V23" s="309"/>
      <c r="W23" s="321" t="e">
        <f t="shared" si="4"/>
        <v>#DIV/0!</v>
      </c>
      <c r="X23" s="123"/>
    </row>
    <row r="24" spans="1:24" s="6" customFormat="1" ht="9.9499999999999993" customHeight="1" x14ac:dyDescent="0.2">
      <c r="A24" s="38" t="s">
        <v>21</v>
      </c>
      <c r="B24" s="46" t="s">
        <v>52</v>
      </c>
      <c r="C24" s="47"/>
      <c r="D24" s="56" t="s">
        <v>25</v>
      </c>
      <c r="E24" s="77">
        <f t="shared" si="6"/>
        <v>0</v>
      </c>
      <c r="F24" s="78">
        <f t="shared" si="6"/>
        <v>0</v>
      </c>
      <c r="G24" s="295">
        <f t="shared" si="6"/>
        <v>0</v>
      </c>
      <c r="H24" s="296" t="e">
        <f t="shared" si="0"/>
        <v>#DIV/0!</v>
      </c>
      <c r="I24" s="297">
        <f t="shared" si="6"/>
        <v>0</v>
      </c>
      <c r="J24" s="305"/>
      <c r="K24" s="295"/>
      <c r="L24" s="295"/>
      <c r="M24" s="296" t="e">
        <f t="shared" si="2"/>
        <v>#DIV/0!</v>
      </c>
      <c r="N24" s="297"/>
      <c r="O24" s="306"/>
      <c r="P24" s="295"/>
      <c r="Q24" s="295"/>
      <c r="R24" s="296" t="e">
        <f t="shared" si="3"/>
        <v>#DIV/0!</v>
      </c>
      <c r="S24" s="295"/>
      <c r="T24" s="308"/>
      <c r="U24" s="309"/>
      <c r="V24" s="309"/>
      <c r="W24" s="321" t="e">
        <f t="shared" si="4"/>
        <v>#DIV/0!</v>
      </c>
      <c r="X24" s="123"/>
    </row>
    <row r="25" spans="1:24" s="6" customFormat="1" ht="9.9499999999999993" customHeight="1" x14ac:dyDescent="0.2">
      <c r="A25" s="39" t="s">
        <v>22</v>
      </c>
      <c r="B25" s="48" t="s">
        <v>71</v>
      </c>
      <c r="C25" s="49"/>
      <c r="D25" s="56" t="s">
        <v>25</v>
      </c>
      <c r="E25" s="77">
        <f t="shared" si="6"/>
        <v>0</v>
      </c>
      <c r="F25" s="78">
        <f t="shared" si="6"/>
        <v>0</v>
      </c>
      <c r="G25" s="295">
        <f t="shared" si="6"/>
        <v>0</v>
      </c>
      <c r="H25" s="296" t="e">
        <f t="shared" si="0"/>
        <v>#DIV/0!</v>
      </c>
      <c r="I25" s="297">
        <f t="shared" si="6"/>
        <v>0</v>
      </c>
      <c r="J25" s="305" t="s">
        <v>90</v>
      </c>
      <c r="K25" s="310"/>
      <c r="L25" s="310"/>
      <c r="M25" s="296" t="e">
        <f t="shared" si="2"/>
        <v>#DIV/0!</v>
      </c>
      <c r="N25" s="297"/>
      <c r="O25" s="311"/>
      <c r="P25" s="310"/>
      <c r="Q25" s="310"/>
      <c r="R25" s="296" t="e">
        <f t="shared" si="3"/>
        <v>#DIV/0!</v>
      </c>
      <c r="S25" s="310"/>
      <c r="T25" s="308"/>
      <c r="U25" s="309"/>
      <c r="V25" s="309"/>
      <c r="W25" s="321" t="e">
        <f t="shared" si="4"/>
        <v>#DIV/0!</v>
      </c>
      <c r="X25" s="322"/>
    </row>
    <row r="26" spans="1:24" s="14" customFormat="1" ht="9.9499999999999993" customHeight="1" x14ac:dyDescent="0.2">
      <c r="A26" s="38" t="s">
        <v>23</v>
      </c>
      <c r="B26" s="815" t="s">
        <v>72</v>
      </c>
      <c r="C26" s="816"/>
      <c r="D26" s="56" t="s">
        <v>25</v>
      </c>
      <c r="E26" s="77">
        <f t="shared" si="6"/>
        <v>77000</v>
      </c>
      <c r="F26" s="78">
        <f t="shared" si="6"/>
        <v>55400</v>
      </c>
      <c r="G26" s="295">
        <f>SUM(L26,Q26)</f>
        <v>55371</v>
      </c>
      <c r="H26" s="312">
        <f t="shared" si="0"/>
        <v>99.947653429602894</v>
      </c>
      <c r="I26" s="297">
        <f t="shared" si="6"/>
        <v>49573</v>
      </c>
      <c r="J26" s="305">
        <v>77000</v>
      </c>
      <c r="K26" s="295">
        <v>55400</v>
      </c>
      <c r="L26" s="295">
        <f>67971-12600</f>
        <v>55371</v>
      </c>
      <c r="M26" s="296">
        <f t="shared" si="2"/>
        <v>99.947653429602894</v>
      </c>
      <c r="N26" s="297">
        <v>49573</v>
      </c>
      <c r="O26" s="306"/>
      <c r="P26" s="295"/>
      <c r="Q26" s="295"/>
      <c r="R26" s="296" t="e">
        <f t="shared" si="3"/>
        <v>#DIV/0!</v>
      </c>
      <c r="S26" s="295"/>
      <c r="T26" s="308">
        <v>22500</v>
      </c>
      <c r="U26" s="309">
        <v>24500</v>
      </c>
      <c r="V26" s="309">
        <f>11589+12600</f>
        <v>24189</v>
      </c>
      <c r="W26" s="321">
        <f t="shared" si="4"/>
        <v>98.730612244897969</v>
      </c>
      <c r="X26" s="323"/>
    </row>
    <row r="27" spans="1:24" s="16" customFormat="1" ht="9.9499999999999993" customHeight="1" x14ac:dyDescent="0.2">
      <c r="A27" s="38" t="s">
        <v>45</v>
      </c>
      <c r="B27" s="46" t="s">
        <v>73</v>
      </c>
      <c r="C27" s="47"/>
      <c r="D27" s="56" t="s">
        <v>25</v>
      </c>
      <c r="E27" s="77">
        <f t="shared" si="6"/>
        <v>50000</v>
      </c>
      <c r="F27" s="78">
        <f t="shared" si="6"/>
        <v>234054</v>
      </c>
      <c r="G27" s="295">
        <f t="shared" si="6"/>
        <v>233432</v>
      </c>
      <c r="H27" s="312">
        <f t="shared" si="0"/>
        <v>99.734249361258506</v>
      </c>
      <c r="I27" s="297">
        <f t="shared" si="6"/>
        <v>171363</v>
      </c>
      <c r="J27" s="305">
        <v>50000</v>
      </c>
      <c r="K27" s="295">
        <f>76000+10000+54890+61000</f>
        <v>201890</v>
      </c>
      <c r="L27" s="295">
        <f>233432-32164</f>
        <v>201268</v>
      </c>
      <c r="M27" s="296">
        <f t="shared" si="2"/>
        <v>99.691911436921103</v>
      </c>
      <c r="N27" s="297">
        <v>115549</v>
      </c>
      <c r="O27" s="306"/>
      <c r="P27" s="295">
        <v>32164</v>
      </c>
      <c r="Q27" s="295">
        <v>32164</v>
      </c>
      <c r="R27" s="296">
        <f t="shared" si="3"/>
        <v>100</v>
      </c>
      <c r="S27" s="295">
        <v>55814</v>
      </c>
      <c r="T27" s="324"/>
      <c r="U27" s="325"/>
      <c r="V27" s="325"/>
      <c r="W27" s="321" t="e">
        <f t="shared" si="4"/>
        <v>#DIV/0!</v>
      </c>
      <c r="X27" s="323"/>
    </row>
    <row r="28" spans="1:24" s="14" customFormat="1" ht="9.9499999999999993" customHeight="1" x14ac:dyDescent="0.2">
      <c r="A28" s="38" t="s">
        <v>53</v>
      </c>
      <c r="B28" s="815" t="s">
        <v>74</v>
      </c>
      <c r="C28" s="816"/>
      <c r="D28" s="56" t="s">
        <v>25</v>
      </c>
      <c r="E28" s="77">
        <f t="shared" ref="E28:G30" si="7">SUM(J28,O28)</f>
        <v>6000</v>
      </c>
      <c r="F28" s="78">
        <f t="shared" si="7"/>
        <v>114700</v>
      </c>
      <c r="G28" s="295">
        <f t="shared" si="7"/>
        <v>114613</v>
      </c>
      <c r="H28" s="312">
        <f t="shared" si="0"/>
        <v>99.92414995640803</v>
      </c>
      <c r="I28" s="297">
        <f>SUM(N28,S28)</f>
        <v>74818</v>
      </c>
      <c r="J28" s="305">
        <v>6000</v>
      </c>
      <c r="K28" s="295">
        <f>114600+100</f>
        <v>114700</v>
      </c>
      <c r="L28" s="295">
        <f>114613</f>
        <v>114613</v>
      </c>
      <c r="M28" s="296">
        <f t="shared" si="2"/>
        <v>99.92414995640803</v>
      </c>
      <c r="N28" s="297">
        <v>74818</v>
      </c>
      <c r="O28" s="306"/>
      <c r="P28" s="295"/>
      <c r="Q28" s="295"/>
      <c r="R28" s="296" t="e">
        <f t="shared" si="3"/>
        <v>#DIV/0!</v>
      </c>
      <c r="S28" s="295"/>
      <c r="T28" s="324" t="s">
        <v>90</v>
      </c>
      <c r="U28" s="325"/>
      <c r="V28" s="325"/>
      <c r="W28" s="321" t="e">
        <f t="shared" si="4"/>
        <v>#DIV/0!</v>
      </c>
      <c r="X28" s="323"/>
    </row>
    <row r="29" spans="1:24" s="6" customFormat="1" ht="9.75" x14ac:dyDescent="0.2">
      <c r="A29" s="38" t="s">
        <v>54</v>
      </c>
      <c r="B29" s="46" t="s">
        <v>55</v>
      </c>
      <c r="C29" s="47"/>
      <c r="D29" s="56" t="s">
        <v>25</v>
      </c>
      <c r="E29" s="77">
        <f t="shared" si="7"/>
        <v>0</v>
      </c>
      <c r="F29" s="78">
        <f t="shared" si="7"/>
        <v>0</v>
      </c>
      <c r="G29" s="295">
        <f t="shared" si="7"/>
        <v>0</v>
      </c>
      <c r="H29" s="312" t="e">
        <f t="shared" si="0"/>
        <v>#DIV/0!</v>
      </c>
      <c r="I29" s="297">
        <f>SUM(N29,S29)</f>
        <v>0</v>
      </c>
      <c r="J29" s="305"/>
      <c r="K29" s="295"/>
      <c r="L29" s="295"/>
      <c r="M29" s="296" t="e">
        <f t="shared" si="2"/>
        <v>#DIV/0!</v>
      </c>
      <c r="N29" s="297"/>
      <c r="O29" s="306"/>
      <c r="P29" s="295"/>
      <c r="Q29" s="295"/>
      <c r="R29" s="296" t="e">
        <f t="shared" si="3"/>
        <v>#DIV/0!</v>
      </c>
      <c r="S29" s="295"/>
      <c r="T29" s="324"/>
      <c r="U29" s="325"/>
      <c r="V29" s="325"/>
      <c r="W29" s="321" t="e">
        <f t="shared" si="4"/>
        <v>#DIV/0!</v>
      </c>
      <c r="X29" s="323"/>
    </row>
    <row r="30" spans="1:24" s="27" customFormat="1" ht="9.75" x14ac:dyDescent="0.2">
      <c r="A30" s="40" t="s">
        <v>56</v>
      </c>
      <c r="B30" s="319" t="s">
        <v>75</v>
      </c>
      <c r="C30" s="320"/>
      <c r="D30" s="59" t="s">
        <v>25</v>
      </c>
      <c r="E30" s="82">
        <f t="shared" si="7"/>
        <v>0</v>
      </c>
      <c r="F30" s="83">
        <f t="shared" si="7"/>
        <v>0</v>
      </c>
      <c r="G30" s="299">
        <f t="shared" si="7"/>
        <v>0</v>
      </c>
      <c r="H30" s="313" t="e">
        <f t="shared" si="0"/>
        <v>#DIV/0!</v>
      </c>
      <c r="I30" s="301">
        <f>SUM(N30,S30)</f>
        <v>0</v>
      </c>
      <c r="J30" s="314"/>
      <c r="K30" s="315"/>
      <c r="L30" s="315"/>
      <c r="M30" s="300" t="e">
        <f t="shared" si="2"/>
        <v>#DIV/0!</v>
      </c>
      <c r="N30" s="316"/>
      <c r="O30" s="317"/>
      <c r="P30" s="315"/>
      <c r="Q30" s="315"/>
      <c r="R30" s="300" t="e">
        <f t="shared" si="3"/>
        <v>#DIV/0!</v>
      </c>
      <c r="S30" s="315"/>
      <c r="T30" s="326"/>
      <c r="U30" s="327"/>
      <c r="V30" s="327"/>
      <c r="W30" s="328" t="e">
        <f t="shared" si="4"/>
        <v>#DIV/0!</v>
      </c>
      <c r="X30" s="329"/>
    </row>
    <row r="31" spans="1:24" s="27" customFormat="1" ht="9.75" x14ac:dyDescent="0.2">
      <c r="A31" s="33" t="s">
        <v>57</v>
      </c>
      <c r="B31" s="817" t="s">
        <v>58</v>
      </c>
      <c r="C31" s="818"/>
      <c r="D31" s="22" t="s">
        <v>25</v>
      </c>
      <c r="E31" s="67">
        <f>SUM(E6-E11)</f>
        <v>0</v>
      </c>
      <c r="F31" s="67">
        <f>SUM(F6-F11)</f>
        <v>-58900</v>
      </c>
      <c r="G31" s="67">
        <f>SUM(G6-G11)</f>
        <v>326138.9299999997</v>
      </c>
      <c r="H31" s="29">
        <f t="shared" si="0"/>
        <v>-553.7163497453306</v>
      </c>
      <c r="I31" s="68">
        <f>SUM(I6-I11)</f>
        <v>459581</v>
      </c>
      <c r="J31" s="67">
        <f>SUM(J6-J11)</f>
        <v>0</v>
      </c>
      <c r="K31" s="67">
        <f>SUM(K6-K11)</f>
        <v>-58900</v>
      </c>
      <c r="L31" s="67">
        <f>SUM(L6-L11)</f>
        <v>326139.13999999873</v>
      </c>
      <c r="M31" s="21">
        <f t="shared" si="2"/>
        <v>-553.71670628183142</v>
      </c>
      <c r="N31" s="68">
        <f>SUM(N6-N11)</f>
        <v>459581</v>
      </c>
      <c r="O31" s="67">
        <f>SUM(O6-O11)</f>
        <v>0</v>
      </c>
      <c r="P31" s="67">
        <f>SUM(P6-P11)</f>
        <v>0</v>
      </c>
      <c r="Q31" s="67">
        <f>SUM(Q6-Q11)</f>
        <v>-0.2099999999627471</v>
      </c>
      <c r="R31" s="21" t="e">
        <f t="shared" si="3"/>
        <v>#DIV/0!</v>
      </c>
      <c r="S31" s="68">
        <f>SUM(S6-S11)</f>
        <v>0</v>
      </c>
      <c r="T31" s="330">
        <f>SUM(T6-T11)</f>
        <v>73500</v>
      </c>
      <c r="U31" s="330">
        <f>SUM(U6-U11)</f>
        <v>176500</v>
      </c>
      <c r="V31" s="330">
        <f>SUM(V6-V11)</f>
        <v>261488.39999999991</v>
      </c>
      <c r="W31" s="331">
        <f t="shared" si="4"/>
        <v>148.15206798866851</v>
      </c>
      <c r="X31" s="330">
        <f>SUM(X6-X11)</f>
        <v>0</v>
      </c>
    </row>
    <row r="32" spans="1:24" s="27" customFormat="1" ht="9.75" x14ac:dyDescent="0.2">
      <c r="A32" s="41" t="s">
        <v>59</v>
      </c>
      <c r="B32" s="60" t="s">
        <v>76</v>
      </c>
      <c r="C32" s="61"/>
      <c r="D32" s="22" t="s">
        <v>25</v>
      </c>
      <c r="E32" s="130">
        <f>SUM(J32,O32)</f>
        <v>0</v>
      </c>
      <c r="F32" s="131">
        <f>SUM(K32,P32)</f>
        <v>200</v>
      </c>
      <c r="G32" s="318">
        <f>SUM(L32,Q32)</f>
        <v>190</v>
      </c>
      <c r="H32" s="26">
        <f t="shared" si="0"/>
        <v>95</v>
      </c>
      <c r="I32" s="132">
        <f>SUM(N32,S32)</f>
        <v>0</v>
      </c>
      <c r="J32" s="112"/>
      <c r="K32" s="113">
        <v>200</v>
      </c>
      <c r="L32" s="113">
        <v>190</v>
      </c>
      <c r="M32" s="9">
        <f t="shared" si="2"/>
        <v>95</v>
      </c>
      <c r="N32" s="114"/>
      <c r="O32" s="115"/>
      <c r="P32" s="113"/>
      <c r="Q32" s="113"/>
      <c r="R32" s="9" t="e">
        <f t="shared" si="3"/>
        <v>#DIV/0!</v>
      </c>
      <c r="S32" s="114"/>
      <c r="T32" s="332"/>
      <c r="U32" s="333"/>
      <c r="V32" s="333"/>
      <c r="W32" s="334" t="e">
        <f t="shared" si="4"/>
        <v>#DIV/0!</v>
      </c>
      <c r="X32" s="335"/>
    </row>
    <row r="33" spans="1:24" s="27" customFormat="1" ht="9.75" x14ac:dyDescent="0.2">
      <c r="A33" s="33" t="s">
        <v>60</v>
      </c>
      <c r="B33" s="24" t="s">
        <v>61</v>
      </c>
      <c r="C33" s="25"/>
      <c r="D33" s="22" t="s">
        <v>25</v>
      </c>
      <c r="E33" s="67">
        <f>E31-E32</f>
        <v>0</v>
      </c>
      <c r="F33" s="67">
        <f>F31-F32</f>
        <v>-59100</v>
      </c>
      <c r="G33" s="67">
        <f>G31-G32</f>
        <v>325948.9299999997</v>
      </c>
      <c r="H33" s="29">
        <f t="shared" si="0"/>
        <v>-551.52103214889974</v>
      </c>
      <c r="I33" s="68">
        <f>I31-I32</f>
        <v>459581</v>
      </c>
      <c r="J33" s="67">
        <f>J31-J32</f>
        <v>0</v>
      </c>
      <c r="K33" s="67">
        <f>K31-K32</f>
        <v>-59100</v>
      </c>
      <c r="L33" s="67">
        <f>L31-L32</f>
        <v>325949.13999999873</v>
      </c>
      <c r="M33" s="21">
        <f t="shared" si="2"/>
        <v>-551.52138747884726</v>
      </c>
      <c r="N33" s="68">
        <f>N31-N32</f>
        <v>459581</v>
      </c>
      <c r="O33" s="67">
        <f>O31-O32</f>
        <v>0</v>
      </c>
      <c r="P33" s="67">
        <f>P31-P32</f>
        <v>0</v>
      </c>
      <c r="Q33" s="67">
        <f>Q31-Q32</f>
        <v>-0.2099999999627471</v>
      </c>
      <c r="R33" s="21" t="e">
        <f t="shared" si="3"/>
        <v>#DIV/0!</v>
      </c>
      <c r="S33" s="68">
        <f>S31-S32</f>
        <v>0</v>
      </c>
      <c r="T33" s="330">
        <f>T31-T32</f>
        <v>73500</v>
      </c>
      <c r="U33" s="330">
        <f>U31-U32</f>
        <v>176500</v>
      </c>
      <c r="V33" s="330">
        <f>V31-V32</f>
        <v>261488.39999999991</v>
      </c>
      <c r="W33" s="331">
        <f t="shared" si="4"/>
        <v>148.15206798866851</v>
      </c>
      <c r="X33" s="330">
        <f>X31-X32</f>
        <v>0</v>
      </c>
    </row>
    <row r="34" spans="1:24" s="4" customFormat="1" ht="9" x14ac:dyDescent="0.2">
      <c r="A34" s="42" t="s">
        <v>62</v>
      </c>
      <c r="B34" s="813" t="s">
        <v>24</v>
      </c>
      <c r="C34" s="814"/>
      <c r="D34" s="62" t="s">
        <v>25</v>
      </c>
      <c r="E34" s="253">
        <v>17956</v>
      </c>
      <c r="F34" s="253">
        <v>17956</v>
      </c>
      <c r="G34" s="253">
        <v>17956</v>
      </c>
      <c r="H34" s="13">
        <f t="shared" si="0"/>
        <v>100</v>
      </c>
      <c r="I34" s="254">
        <v>18259</v>
      </c>
      <c r="J34" s="804"/>
      <c r="K34" s="805"/>
      <c r="L34" s="805"/>
      <c r="M34" s="805"/>
      <c r="N34" s="805"/>
      <c r="O34" s="805"/>
      <c r="P34" s="805"/>
      <c r="Q34" s="805"/>
      <c r="R34" s="805"/>
      <c r="S34" s="805"/>
      <c r="T34" s="805"/>
      <c r="U34" s="805"/>
      <c r="V34" s="805"/>
      <c r="W34" s="805"/>
      <c r="X34" s="806"/>
    </row>
    <row r="35" spans="1:24" s="4" customFormat="1" ht="9" x14ac:dyDescent="0.2">
      <c r="A35" s="32" t="s">
        <v>63</v>
      </c>
      <c r="B35" s="797" t="s">
        <v>33</v>
      </c>
      <c r="C35" s="798"/>
      <c r="D35" s="63" t="s">
        <v>26</v>
      </c>
      <c r="E35" s="256">
        <v>28</v>
      </c>
      <c r="F35" s="256">
        <v>28</v>
      </c>
      <c r="G35" s="256">
        <v>28</v>
      </c>
      <c r="H35" s="15">
        <f t="shared" si="0"/>
        <v>100</v>
      </c>
      <c r="I35" s="257">
        <v>27</v>
      </c>
      <c r="J35" s="804"/>
      <c r="K35" s="805"/>
      <c r="L35" s="805"/>
      <c r="M35" s="805"/>
      <c r="N35" s="805"/>
      <c r="O35" s="805"/>
      <c r="P35" s="805"/>
      <c r="Q35" s="805"/>
      <c r="R35" s="805"/>
      <c r="S35" s="805"/>
      <c r="T35" s="805"/>
      <c r="U35" s="805"/>
      <c r="V35" s="805"/>
      <c r="W35" s="805"/>
      <c r="X35" s="806"/>
    </row>
    <row r="36" spans="1:24" s="4" customFormat="1" ht="9" x14ac:dyDescent="0.2">
      <c r="A36" s="43" t="s">
        <v>64</v>
      </c>
      <c r="B36" s="799" t="s">
        <v>27</v>
      </c>
      <c r="C36" s="800"/>
      <c r="D36" s="64" t="s">
        <v>26</v>
      </c>
      <c r="E36" s="259">
        <v>31</v>
      </c>
      <c r="F36" s="259">
        <v>31</v>
      </c>
      <c r="G36" s="259">
        <v>31</v>
      </c>
      <c r="H36" s="17">
        <f t="shared" si="0"/>
        <v>100</v>
      </c>
      <c r="I36" s="260">
        <v>31</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117"/>
      <c r="K37" s="118"/>
      <c r="L37" s="118"/>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7"/>
  <sheetViews>
    <sheetView tabSelected="1" zoomScaleNormal="100" workbookViewId="0"/>
  </sheetViews>
  <sheetFormatPr defaultRowHeight="12.75" x14ac:dyDescent="0.2"/>
  <cols>
    <col min="1" max="1" width="58" style="128" customWidth="1"/>
    <col min="2" max="2" width="44.5" style="128" customWidth="1"/>
    <col min="3" max="3" width="27.5" style="128" customWidth="1"/>
    <col min="4" max="5" width="25.75" style="128" customWidth="1"/>
    <col min="6" max="6" width="22.75" style="128" customWidth="1"/>
    <col min="7" max="9" width="10" style="128"/>
  </cols>
  <sheetData>
    <row r="1" spans="1:9" ht="18.75" x14ac:dyDescent="0.3">
      <c r="A1" s="127" t="s">
        <v>104</v>
      </c>
      <c r="B1" s="127"/>
      <c r="C1" s="127"/>
      <c r="D1" s="127"/>
      <c r="E1" s="127"/>
      <c r="F1" s="127"/>
      <c r="G1" s="127"/>
      <c r="H1" s="127"/>
      <c r="I1" s="127"/>
    </row>
    <row r="3" spans="1:9" s="217" customFormat="1" ht="10.5" x14ac:dyDescent="0.15">
      <c r="A3" s="852" t="s">
        <v>133</v>
      </c>
      <c r="B3" s="852"/>
      <c r="C3" s="852"/>
      <c r="D3" s="852"/>
      <c r="E3" s="852"/>
      <c r="F3" s="852"/>
      <c r="G3" s="852"/>
      <c r="H3" s="852"/>
      <c r="I3" s="852"/>
    </row>
    <row r="4" spans="1:9" s="218" customFormat="1" ht="11.25" x14ac:dyDescent="0.2"/>
    <row r="5" spans="1:9" s="219" customFormat="1" ht="9.75" x14ac:dyDescent="0.2">
      <c r="A5" s="870" t="s">
        <v>77</v>
      </c>
      <c r="B5" s="871"/>
      <c r="C5" s="544" t="s">
        <v>25</v>
      </c>
      <c r="D5" s="847" t="s">
        <v>112</v>
      </c>
      <c r="E5" s="847"/>
      <c r="F5" s="847"/>
      <c r="G5" s="847"/>
      <c r="H5" s="847"/>
      <c r="I5" s="847"/>
    </row>
    <row r="6" spans="1:9" s="218" customFormat="1" ht="15" customHeight="1" x14ac:dyDescent="0.2">
      <c r="A6" s="872" t="s">
        <v>134</v>
      </c>
      <c r="B6" s="872"/>
      <c r="C6" s="226">
        <f>SUM(C7:C9)</f>
        <v>150049.75</v>
      </c>
      <c r="D6" s="876"/>
      <c r="E6" s="877"/>
      <c r="F6" s="877"/>
      <c r="G6" s="877"/>
      <c r="H6" s="877"/>
      <c r="I6" s="877"/>
    </row>
    <row r="7" spans="1:9" s="218" customFormat="1" ht="45" customHeight="1" x14ac:dyDescent="0.2">
      <c r="A7" s="873" t="s">
        <v>78</v>
      </c>
      <c r="B7" s="874"/>
      <c r="C7" s="245">
        <v>143297.75</v>
      </c>
      <c r="D7" s="747" t="s">
        <v>825</v>
      </c>
      <c r="E7" s="795"/>
      <c r="F7" s="795"/>
      <c r="G7" s="795"/>
      <c r="H7" s="795"/>
      <c r="I7" s="796"/>
    </row>
    <row r="8" spans="1:9" s="217" customFormat="1" ht="14.25" customHeight="1" x14ac:dyDescent="0.15">
      <c r="A8" s="863" t="s">
        <v>113</v>
      </c>
      <c r="B8" s="864"/>
      <c r="C8" s="261">
        <v>6752</v>
      </c>
      <c r="D8" s="747" t="s">
        <v>341</v>
      </c>
      <c r="E8" s="795"/>
      <c r="F8" s="795"/>
      <c r="G8" s="795"/>
      <c r="H8" s="795"/>
      <c r="I8" s="796"/>
    </row>
    <row r="9" spans="1:9" s="217" customFormat="1" ht="15" customHeight="1" x14ac:dyDescent="0.15">
      <c r="A9" s="863" t="s">
        <v>114</v>
      </c>
      <c r="B9" s="864"/>
      <c r="C9" s="261">
        <v>0</v>
      </c>
      <c r="D9" s="921"/>
      <c r="E9" s="922"/>
      <c r="F9" s="922"/>
      <c r="G9" s="922"/>
      <c r="H9" s="922"/>
      <c r="I9" s="923"/>
    </row>
    <row r="10" spans="1:9" s="218" customFormat="1" ht="11.25" x14ac:dyDescent="0.2">
      <c r="C10" s="220"/>
    </row>
    <row r="11" spans="1:9" s="218" customFormat="1" ht="11.25" x14ac:dyDescent="0.2">
      <c r="A11" s="852" t="s">
        <v>135</v>
      </c>
      <c r="B11" s="852"/>
      <c r="C11" s="852"/>
      <c r="D11" s="852"/>
      <c r="E11" s="852"/>
      <c r="F11" s="852"/>
      <c r="G11" s="852"/>
      <c r="H11" s="852"/>
      <c r="I11" s="852"/>
    </row>
    <row r="12" spans="1:9" s="218" customFormat="1" ht="11.25" x14ac:dyDescent="0.2">
      <c r="C12" s="220"/>
      <c r="D12" s="231"/>
      <c r="E12" s="231"/>
      <c r="F12" s="231"/>
      <c r="G12" s="231"/>
      <c r="H12" s="231"/>
      <c r="I12" s="231"/>
    </row>
    <row r="13" spans="1:9" s="221" customFormat="1" ht="9.75" x14ac:dyDescent="0.2">
      <c r="A13" s="544" t="s">
        <v>77</v>
      </c>
      <c r="B13" s="544" t="s">
        <v>79</v>
      </c>
      <c r="C13" s="544" t="s">
        <v>25</v>
      </c>
      <c r="D13" s="470"/>
      <c r="E13" s="436"/>
      <c r="F13" s="436"/>
      <c r="G13" s="436"/>
      <c r="H13" s="436"/>
      <c r="I13" s="436"/>
    </row>
    <row r="14" spans="1:9" s="218" customFormat="1" ht="15" customHeight="1" x14ac:dyDescent="0.2">
      <c r="A14" s="222" t="s">
        <v>136</v>
      </c>
      <c r="B14" s="437"/>
      <c r="C14" s="223">
        <v>12221</v>
      </c>
      <c r="D14" s="559"/>
      <c r="E14" s="560"/>
      <c r="F14" s="560"/>
      <c r="G14" s="560"/>
      <c r="H14" s="560"/>
      <c r="I14" s="560"/>
    </row>
    <row r="15" spans="1:9" s="218" customFormat="1" ht="15" customHeight="1" x14ac:dyDescent="0.2">
      <c r="A15" s="868" t="s">
        <v>137</v>
      </c>
      <c r="B15" s="263" t="s">
        <v>80</v>
      </c>
      <c r="C15" s="264">
        <v>137828.75</v>
      </c>
      <c r="D15" s="472"/>
      <c r="E15" s="441"/>
      <c r="F15" s="441"/>
      <c r="G15" s="441"/>
      <c r="H15" s="441"/>
      <c r="I15" s="441"/>
    </row>
    <row r="16" spans="1:9" s="218" customFormat="1" ht="15" customHeight="1" x14ac:dyDescent="0.2">
      <c r="A16" s="869"/>
      <c r="B16" s="262" t="s">
        <v>81</v>
      </c>
      <c r="C16" s="473">
        <v>0</v>
      </c>
      <c r="D16" s="554"/>
      <c r="E16" s="443"/>
      <c r="F16" s="443"/>
      <c r="G16" s="443"/>
      <c r="H16" s="443"/>
      <c r="I16" s="443"/>
    </row>
    <row r="17" spans="1:9" s="218" customFormat="1" ht="15" customHeight="1" x14ac:dyDescent="0.2">
      <c r="A17" s="545" t="s">
        <v>134</v>
      </c>
      <c r="B17" s="445"/>
      <c r="C17" s="555">
        <f>SUM(C14:C16)</f>
        <v>150049.75</v>
      </c>
      <c r="D17" s="447"/>
      <c r="E17" s="447"/>
      <c r="F17" s="447"/>
      <c r="G17" s="447"/>
      <c r="H17" s="447"/>
      <c r="I17" s="447"/>
    </row>
    <row r="18" spans="1:9" s="449" customFormat="1" ht="11.25" x14ac:dyDescent="0.2">
      <c r="A18" s="448"/>
      <c r="C18" s="476"/>
      <c r="D18" s="452"/>
      <c r="E18" s="452"/>
      <c r="F18" s="452"/>
      <c r="G18" s="452"/>
      <c r="H18" s="452"/>
      <c r="I18" s="452"/>
    </row>
    <row r="19" spans="1:9" s="218" customFormat="1" ht="11.25" x14ac:dyDescent="0.2">
      <c r="A19" s="852" t="s">
        <v>138</v>
      </c>
      <c r="B19" s="852"/>
      <c r="C19" s="852"/>
      <c r="D19" s="852"/>
      <c r="E19" s="852"/>
      <c r="F19" s="852"/>
      <c r="G19" s="852"/>
      <c r="H19" s="852"/>
      <c r="I19" s="852"/>
    </row>
    <row r="20" spans="1:9" s="218" customFormat="1" ht="11.25" x14ac:dyDescent="0.2">
      <c r="C20" s="220"/>
    </row>
    <row r="21" spans="1:9" s="224" customFormat="1" ht="9.75" x14ac:dyDescent="0.2">
      <c r="A21" s="544" t="s">
        <v>79</v>
      </c>
      <c r="B21" s="544" t="s">
        <v>139</v>
      </c>
      <c r="C21" s="546" t="s">
        <v>140</v>
      </c>
      <c r="D21" s="544" t="s">
        <v>141</v>
      </c>
      <c r="E21" s="544" t="s">
        <v>142</v>
      </c>
      <c r="F21" s="847" t="s">
        <v>115</v>
      </c>
      <c r="G21" s="847"/>
      <c r="H21" s="847"/>
      <c r="I21" s="847"/>
    </row>
    <row r="22" spans="1:9" s="218" customFormat="1" ht="15" customHeight="1" x14ac:dyDescent="0.2">
      <c r="A22" s="265" t="s">
        <v>116</v>
      </c>
      <c r="B22" s="266">
        <v>128617.86</v>
      </c>
      <c r="C22" s="266">
        <v>235582.23</v>
      </c>
      <c r="D22" s="266">
        <v>148243</v>
      </c>
      <c r="E22" s="266">
        <f>B22+C22-D22</f>
        <v>215957.09000000003</v>
      </c>
      <c r="F22" s="785" t="s">
        <v>335</v>
      </c>
      <c r="G22" s="786"/>
      <c r="H22" s="786"/>
      <c r="I22" s="787"/>
    </row>
    <row r="23" spans="1:9" s="218" customFormat="1" ht="24.75" customHeight="1" x14ac:dyDescent="0.2">
      <c r="A23" s="263" t="s">
        <v>143</v>
      </c>
      <c r="B23" s="267">
        <v>648304.91</v>
      </c>
      <c r="C23" s="267">
        <v>384621.25</v>
      </c>
      <c r="D23" s="267">
        <v>858826</v>
      </c>
      <c r="E23" s="267">
        <f t="shared" ref="E23:E25" si="0">B23+C23-D23</f>
        <v>174100.16000000003</v>
      </c>
      <c r="F23" s="747" t="s">
        <v>336</v>
      </c>
      <c r="G23" s="795"/>
      <c r="H23" s="795"/>
      <c r="I23" s="796"/>
    </row>
    <row r="24" spans="1:9" s="218" customFormat="1" ht="15" customHeight="1" x14ac:dyDescent="0.2">
      <c r="A24" s="263" t="s">
        <v>81</v>
      </c>
      <c r="B24" s="267">
        <v>91480.77</v>
      </c>
      <c r="C24" s="267">
        <v>10000</v>
      </c>
      <c r="D24" s="267">
        <v>40000</v>
      </c>
      <c r="E24" s="267">
        <f t="shared" si="0"/>
        <v>61480.770000000004</v>
      </c>
      <c r="F24" s="747" t="s">
        <v>337</v>
      </c>
      <c r="G24" s="795"/>
      <c r="H24" s="795"/>
      <c r="I24" s="796"/>
    </row>
    <row r="25" spans="1:9" s="218" customFormat="1" ht="24" customHeight="1" x14ac:dyDescent="0.2">
      <c r="A25" s="262" t="s">
        <v>82</v>
      </c>
      <c r="B25" s="268">
        <v>268581.77</v>
      </c>
      <c r="C25" s="268">
        <v>172627</v>
      </c>
      <c r="D25" s="268">
        <v>229623.98</v>
      </c>
      <c r="E25" s="268">
        <f t="shared" si="0"/>
        <v>211584.79</v>
      </c>
      <c r="F25" s="759" t="s">
        <v>338</v>
      </c>
      <c r="G25" s="848"/>
      <c r="H25" s="848"/>
      <c r="I25" s="849"/>
    </row>
    <row r="26" spans="1:9" s="217" customFormat="1" ht="10.5" x14ac:dyDescent="0.15">
      <c r="A26" s="225" t="s">
        <v>34</v>
      </c>
      <c r="B26" s="226">
        <f>SUM(B22:B25)</f>
        <v>1136985.31</v>
      </c>
      <c r="C26" s="226">
        <f t="shared" ref="C26:E26" si="1">SUM(C22:C25)</f>
        <v>802830.48</v>
      </c>
      <c r="D26" s="226">
        <f t="shared" si="1"/>
        <v>1276692.98</v>
      </c>
      <c r="E26" s="226">
        <f t="shared" si="1"/>
        <v>663122.81000000006</v>
      </c>
      <c r="F26" s="850"/>
      <c r="G26" s="850"/>
      <c r="H26" s="850"/>
      <c r="I26" s="851"/>
    </row>
    <row r="27" spans="1:9" s="218" customFormat="1" ht="11.25" x14ac:dyDescent="0.2">
      <c r="C27" s="220"/>
    </row>
    <row r="28" spans="1:9" s="218" customFormat="1" ht="11.25" x14ac:dyDescent="0.2">
      <c r="A28" s="852" t="s">
        <v>144</v>
      </c>
      <c r="B28" s="852"/>
      <c r="C28" s="852"/>
      <c r="D28" s="852"/>
      <c r="E28" s="852"/>
      <c r="F28" s="852"/>
      <c r="G28" s="852"/>
      <c r="H28" s="852"/>
      <c r="I28" s="852"/>
    </row>
    <row r="29" spans="1:9" s="218" customFormat="1" ht="11.25" x14ac:dyDescent="0.2">
      <c r="C29" s="220"/>
    </row>
    <row r="30" spans="1:9" s="218" customFormat="1" ht="11.25" x14ac:dyDescent="0.2">
      <c r="A30" s="544" t="s">
        <v>83</v>
      </c>
      <c r="B30" s="544" t="s">
        <v>25</v>
      </c>
      <c r="C30" s="546" t="s">
        <v>84</v>
      </c>
      <c r="D30" s="847" t="s">
        <v>117</v>
      </c>
      <c r="E30" s="847"/>
      <c r="F30" s="847"/>
      <c r="G30" s="847"/>
      <c r="H30" s="847"/>
      <c r="I30" s="847"/>
    </row>
    <row r="31" spans="1:9" s="218" customFormat="1" ht="15" customHeight="1" x14ac:dyDescent="0.2">
      <c r="A31" s="239"/>
      <c r="B31" s="266">
        <v>0</v>
      </c>
      <c r="C31" s="227"/>
      <c r="D31" s="853"/>
      <c r="E31" s="854"/>
      <c r="F31" s="854"/>
      <c r="G31" s="854"/>
      <c r="H31" s="854"/>
      <c r="I31" s="855"/>
    </row>
    <row r="32" spans="1:9" s="217" customFormat="1" ht="11.25" x14ac:dyDescent="0.2">
      <c r="A32" s="225" t="s">
        <v>34</v>
      </c>
      <c r="B32" s="226">
        <f>SUM(B31:B31)</f>
        <v>0</v>
      </c>
      <c r="C32" s="879"/>
      <c r="D32" s="879"/>
      <c r="E32" s="879"/>
      <c r="F32" s="879"/>
      <c r="G32" s="879"/>
      <c r="H32" s="879"/>
      <c r="I32" s="880"/>
    </row>
    <row r="33" spans="1:9" s="218" customFormat="1" ht="11.25" x14ac:dyDescent="0.2">
      <c r="C33" s="220"/>
    </row>
    <row r="34" spans="1:9" s="218" customFormat="1" ht="11.25" x14ac:dyDescent="0.2">
      <c r="A34" s="852" t="s">
        <v>145</v>
      </c>
      <c r="B34" s="852"/>
      <c r="C34" s="852"/>
      <c r="D34" s="852"/>
      <c r="E34" s="852"/>
      <c r="F34" s="852"/>
      <c r="G34" s="852"/>
      <c r="H34" s="852"/>
      <c r="I34" s="852"/>
    </row>
    <row r="35" spans="1:9" s="218" customFormat="1" ht="11.25" x14ac:dyDescent="0.2">
      <c r="C35" s="220"/>
    </row>
    <row r="36" spans="1:9" s="218" customFormat="1" ht="11.25" x14ac:dyDescent="0.2">
      <c r="A36" s="544" t="s">
        <v>83</v>
      </c>
      <c r="B36" s="544" t="s">
        <v>25</v>
      </c>
      <c r="C36" s="546" t="s">
        <v>84</v>
      </c>
      <c r="D36" s="847" t="s">
        <v>117</v>
      </c>
      <c r="E36" s="847"/>
      <c r="F36" s="847"/>
      <c r="G36" s="847"/>
      <c r="H36" s="847"/>
      <c r="I36" s="881"/>
    </row>
    <row r="37" spans="1:9" s="218" customFormat="1" ht="15" customHeight="1" x14ac:dyDescent="0.2">
      <c r="A37" s="239"/>
      <c r="B37" s="266">
        <v>0</v>
      </c>
      <c r="C37" s="227"/>
      <c r="D37" s="853"/>
      <c r="E37" s="854"/>
      <c r="F37" s="854"/>
      <c r="G37" s="854"/>
      <c r="H37" s="854"/>
      <c r="I37" s="855"/>
    </row>
    <row r="38" spans="1:9" s="217" customFormat="1" ht="10.5" x14ac:dyDescent="0.15">
      <c r="A38" s="225" t="s">
        <v>34</v>
      </c>
      <c r="B38" s="226">
        <f>SUM(B37:B37)</f>
        <v>0</v>
      </c>
      <c r="C38" s="882"/>
      <c r="D38" s="882"/>
      <c r="E38" s="882"/>
      <c r="F38" s="882"/>
      <c r="G38" s="882"/>
      <c r="H38" s="882"/>
      <c r="I38" s="882"/>
    </row>
    <row r="39" spans="1:9" s="218" customFormat="1" ht="11.25" x14ac:dyDescent="0.2">
      <c r="C39" s="220"/>
    </row>
    <row r="40" spans="1:9" s="218" customFormat="1" ht="11.25" x14ac:dyDescent="0.2">
      <c r="A40" s="852" t="s">
        <v>146</v>
      </c>
      <c r="B40" s="852"/>
      <c r="C40" s="852"/>
      <c r="D40" s="852"/>
      <c r="E40" s="852"/>
      <c r="F40" s="852"/>
      <c r="G40" s="852"/>
      <c r="H40" s="852"/>
      <c r="I40" s="852"/>
    </row>
    <row r="41" spans="1:9" s="218" customFormat="1" ht="11.25" x14ac:dyDescent="0.2">
      <c r="C41" s="220"/>
    </row>
    <row r="42" spans="1:9" s="218" customFormat="1" ht="11.25" x14ac:dyDescent="0.2">
      <c r="A42" s="544" t="s">
        <v>25</v>
      </c>
      <c r="B42" s="546" t="s">
        <v>147</v>
      </c>
      <c r="C42" s="861" t="s">
        <v>85</v>
      </c>
      <c r="D42" s="861"/>
      <c r="E42" s="861"/>
      <c r="F42" s="861"/>
      <c r="G42" s="861"/>
      <c r="H42" s="861"/>
      <c r="I42" s="862"/>
    </row>
    <row r="43" spans="1:9" s="218" customFormat="1" ht="11.25" x14ac:dyDescent="0.2">
      <c r="A43" s="228">
        <v>0</v>
      </c>
      <c r="B43" s="228">
        <v>0</v>
      </c>
      <c r="C43" s="1228"/>
      <c r="D43" s="1229"/>
      <c r="E43" s="1229"/>
      <c r="F43" s="1229"/>
      <c r="G43" s="1229"/>
      <c r="H43" s="1229"/>
      <c r="I43" s="1230"/>
    </row>
    <row r="44" spans="1:9" s="217" customFormat="1" ht="10.5" x14ac:dyDescent="0.15">
      <c r="A44" s="226">
        <f>SUM(A43)</f>
        <v>0</v>
      </c>
      <c r="B44" s="226">
        <f>SUM(B43)</f>
        <v>0</v>
      </c>
      <c r="C44" s="859" t="s">
        <v>34</v>
      </c>
      <c r="D44" s="859"/>
      <c r="E44" s="859"/>
      <c r="F44" s="859"/>
      <c r="G44" s="859"/>
      <c r="H44" s="859"/>
      <c r="I44" s="860"/>
    </row>
    <row r="45" spans="1:9" s="218" customFormat="1" ht="11.25" x14ac:dyDescent="0.2">
      <c r="C45" s="220"/>
    </row>
    <row r="46" spans="1:9" s="218" customFormat="1" ht="11.25" x14ac:dyDescent="0.2">
      <c r="A46" s="852" t="s">
        <v>148</v>
      </c>
      <c r="B46" s="852"/>
      <c r="C46" s="852"/>
      <c r="D46" s="852"/>
      <c r="E46" s="852"/>
      <c r="F46" s="852"/>
      <c r="G46" s="852"/>
      <c r="H46" s="852"/>
      <c r="I46" s="852"/>
    </row>
    <row r="47" spans="1:9" s="218" customFormat="1" ht="11.25" x14ac:dyDescent="0.2">
      <c r="C47" s="220"/>
    </row>
    <row r="48" spans="1:9" s="229" customFormat="1" ht="11.25" x14ac:dyDescent="0.2">
      <c r="A48" s="847" t="s">
        <v>86</v>
      </c>
      <c r="B48" s="847"/>
      <c r="C48" s="546" t="s">
        <v>87</v>
      </c>
      <c r="D48" s="544" t="s">
        <v>88</v>
      </c>
      <c r="E48" s="544" t="s">
        <v>25</v>
      </c>
    </row>
    <row r="49" spans="1:9" s="218" customFormat="1" ht="11.25" x14ac:dyDescent="0.2">
      <c r="A49" s="1233" t="s">
        <v>339</v>
      </c>
      <c r="B49" s="1233"/>
      <c r="C49" s="558">
        <v>41758</v>
      </c>
      <c r="D49" s="241">
        <v>41758</v>
      </c>
      <c r="E49" s="462">
        <v>154000</v>
      </c>
    </row>
    <row r="50" spans="1:9" s="218" customFormat="1" ht="11.25" x14ac:dyDescent="0.2">
      <c r="A50" s="919" t="s">
        <v>340</v>
      </c>
      <c r="B50" s="1227"/>
      <c r="C50" s="558">
        <v>41786</v>
      </c>
      <c r="D50" s="558">
        <v>41786</v>
      </c>
      <c r="E50" s="462">
        <v>100000</v>
      </c>
    </row>
    <row r="51" spans="1:9" s="218" customFormat="1" ht="11.25" x14ac:dyDescent="0.2">
      <c r="A51" s="919" t="s">
        <v>349</v>
      </c>
      <c r="B51" s="1227"/>
      <c r="C51" s="558">
        <v>41786</v>
      </c>
      <c r="D51" s="558">
        <v>41786</v>
      </c>
      <c r="E51" s="462">
        <v>14000</v>
      </c>
    </row>
    <row r="52" spans="1:9" s="218" customFormat="1" ht="11.25" x14ac:dyDescent="0.2">
      <c r="A52" s="919" t="s">
        <v>342</v>
      </c>
      <c r="B52" s="1227"/>
      <c r="C52" s="558">
        <v>41911</v>
      </c>
      <c r="D52" s="558">
        <v>41911</v>
      </c>
      <c r="E52" s="462">
        <v>120000</v>
      </c>
    </row>
    <row r="53" spans="1:9" s="218" customFormat="1" ht="11.25" x14ac:dyDescent="0.2">
      <c r="A53" s="919" t="s">
        <v>342</v>
      </c>
      <c r="B53" s="1227"/>
      <c r="C53" s="558">
        <v>41963</v>
      </c>
      <c r="D53" s="558">
        <v>41963</v>
      </c>
      <c r="E53" s="462">
        <v>142000</v>
      </c>
    </row>
    <row r="54" spans="1:9" s="218" customFormat="1" ht="11.25" x14ac:dyDescent="0.2">
      <c r="A54" s="919" t="s">
        <v>342</v>
      </c>
      <c r="B54" s="1227"/>
      <c r="C54" s="558">
        <v>41977</v>
      </c>
      <c r="D54" s="558">
        <v>41977</v>
      </c>
      <c r="E54" s="462">
        <v>448000</v>
      </c>
    </row>
    <row r="55" spans="1:9" s="218" customFormat="1" ht="11.25" x14ac:dyDescent="0.2">
      <c r="A55" s="1231" t="s">
        <v>343</v>
      </c>
      <c r="B55" s="1227"/>
      <c r="C55" s="558">
        <v>41992</v>
      </c>
      <c r="D55" s="558">
        <v>41992</v>
      </c>
      <c r="E55" s="462">
        <v>7000</v>
      </c>
    </row>
    <row r="56" spans="1:9" s="218" customFormat="1" ht="11.25" x14ac:dyDescent="0.2">
      <c r="A56" s="1232" t="s">
        <v>344</v>
      </c>
      <c r="B56" s="1227"/>
      <c r="C56" s="558">
        <v>41992</v>
      </c>
      <c r="D56" s="558">
        <v>41992</v>
      </c>
      <c r="E56" s="462">
        <v>4200</v>
      </c>
    </row>
    <row r="57" spans="1:9" s="218" customFormat="1" ht="11.25" x14ac:dyDescent="0.2">
      <c r="C57" s="220"/>
    </row>
    <row r="58" spans="1:9" s="218" customFormat="1" ht="11.25" x14ac:dyDescent="0.2">
      <c r="A58" s="794" t="s">
        <v>152</v>
      </c>
      <c r="B58" s="794"/>
      <c r="C58" s="794"/>
      <c r="D58" s="794"/>
      <c r="E58" s="794"/>
      <c r="F58" s="794"/>
      <c r="G58" s="794"/>
      <c r="H58" s="794"/>
      <c r="I58" s="794"/>
    </row>
    <row r="59" spans="1:9" s="218" customFormat="1" ht="11.25" x14ac:dyDescent="0.2"/>
    <row r="60" spans="1:9" s="218" customFormat="1" ht="11.25" x14ac:dyDescent="0.2">
      <c r="A60" s="884" t="s">
        <v>345</v>
      </c>
      <c r="B60" s="890"/>
      <c r="C60" s="890"/>
      <c r="D60" s="890"/>
      <c r="E60" s="890"/>
      <c r="F60" s="890"/>
      <c r="G60" s="890"/>
      <c r="H60" s="890"/>
      <c r="I60" s="885"/>
    </row>
    <row r="61" spans="1:9" s="218" customFormat="1" ht="11.25" x14ac:dyDescent="0.2"/>
    <row r="62" spans="1:9" s="217" customFormat="1" ht="10.5" x14ac:dyDescent="0.15">
      <c r="A62" s="852" t="s">
        <v>153</v>
      </c>
      <c r="B62" s="852"/>
      <c r="C62" s="852"/>
      <c r="D62" s="852"/>
      <c r="E62" s="852"/>
      <c r="F62" s="852"/>
      <c r="G62" s="852"/>
      <c r="H62" s="852"/>
      <c r="I62" s="852"/>
    </row>
    <row r="63" spans="1:9" s="218" customFormat="1" ht="11.25" x14ac:dyDescent="0.2"/>
    <row r="64" spans="1:9" s="218" customFormat="1" ht="45.75" customHeight="1" x14ac:dyDescent="0.2">
      <c r="A64" s="789" t="s">
        <v>346</v>
      </c>
      <c r="B64" s="790"/>
      <c r="C64" s="790"/>
      <c r="D64" s="790"/>
      <c r="E64" s="790"/>
      <c r="F64" s="790"/>
      <c r="G64" s="790"/>
      <c r="H64" s="790"/>
      <c r="I64" s="791"/>
    </row>
    <row r="65" spans="1:9" s="218" customFormat="1" ht="11.25" customHeight="1" x14ac:dyDescent="0.2">
      <c r="A65" s="887" t="s">
        <v>347</v>
      </c>
      <c r="B65" s="888"/>
      <c r="C65" s="888"/>
      <c r="D65" s="888"/>
      <c r="E65" s="888"/>
      <c r="F65" s="888"/>
      <c r="G65" s="888"/>
      <c r="H65" s="888"/>
      <c r="I65" s="889"/>
    </row>
    <row r="66" spans="1:9" s="218" customFormat="1" ht="11.25" x14ac:dyDescent="0.2">
      <c r="A66" s="789" t="s">
        <v>348</v>
      </c>
      <c r="B66" s="790"/>
      <c r="C66" s="790"/>
      <c r="D66" s="790"/>
      <c r="E66" s="790"/>
      <c r="F66" s="790"/>
      <c r="G66" s="790"/>
      <c r="H66" s="790"/>
      <c r="I66" s="791"/>
    </row>
    <row r="67" spans="1:9" s="66" customFormat="1" x14ac:dyDescent="0.2"/>
  </sheetData>
  <mergeCells count="48">
    <mergeCell ref="A62:I62"/>
    <mergeCell ref="A64:I64"/>
    <mergeCell ref="A65:I65"/>
    <mergeCell ref="A66:I66"/>
    <mergeCell ref="C43:I43"/>
    <mergeCell ref="C44:I44"/>
    <mergeCell ref="A55:B55"/>
    <mergeCell ref="A56:B56"/>
    <mergeCell ref="A49:B49"/>
    <mergeCell ref="A50:B50"/>
    <mergeCell ref="A52:B52"/>
    <mergeCell ref="A53:B53"/>
    <mergeCell ref="A51:B51"/>
    <mergeCell ref="A58:I58"/>
    <mergeCell ref="A60:I60"/>
    <mergeCell ref="A46:I46"/>
    <mergeCell ref="A40:I40"/>
    <mergeCell ref="A9:B9"/>
    <mergeCell ref="D9:I9"/>
    <mergeCell ref="A11:I11"/>
    <mergeCell ref="A15:A16"/>
    <mergeCell ref="A19:I19"/>
    <mergeCell ref="F21:I21"/>
    <mergeCell ref="A48:B48"/>
    <mergeCell ref="A54:B54"/>
    <mergeCell ref="D31:I31"/>
    <mergeCell ref="F22:I22"/>
    <mergeCell ref="F23:I23"/>
    <mergeCell ref="F24:I24"/>
    <mergeCell ref="F25:I25"/>
    <mergeCell ref="F26:I26"/>
    <mergeCell ref="A28:I28"/>
    <mergeCell ref="D30:I30"/>
    <mergeCell ref="D36:I36"/>
    <mergeCell ref="C42:I42"/>
    <mergeCell ref="C32:I32"/>
    <mergeCell ref="A34:I34"/>
    <mergeCell ref="D37:I37"/>
    <mergeCell ref="C38:I38"/>
    <mergeCell ref="D7:I7"/>
    <mergeCell ref="A7:B7"/>
    <mergeCell ref="A8:B8"/>
    <mergeCell ref="D8:I8"/>
    <mergeCell ref="A3:I3"/>
    <mergeCell ref="A5:B5"/>
    <mergeCell ref="D5:I5"/>
    <mergeCell ref="A6:B6"/>
    <mergeCell ref="D6:I6"/>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9"/>
  <sheetViews>
    <sheetView tabSelected="1" zoomScaleNormal="100" workbookViewId="0"/>
  </sheetViews>
  <sheetFormatPr defaultRowHeight="12.75" x14ac:dyDescent="0.2"/>
  <cols>
    <col min="1" max="1" width="71" style="128" customWidth="1"/>
    <col min="2" max="2" width="33.5" style="128" customWidth="1"/>
    <col min="3" max="5" width="25.75" style="128" customWidth="1"/>
    <col min="6" max="6" width="21.5" style="128" customWidth="1"/>
    <col min="7" max="9" width="10.25" style="128" customWidth="1"/>
    <col min="12" max="12" width="15.5" bestFit="1" customWidth="1"/>
  </cols>
  <sheetData>
    <row r="1" spans="1:9" s="202" customFormat="1" ht="18.75" x14ac:dyDescent="0.3">
      <c r="A1" s="129" t="s">
        <v>91</v>
      </c>
      <c r="B1" s="129"/>
      <c r="C1" s="129"/>
      <c r="D1" s="129"/>
      <c r="E1" s="129"/>
      <c r="F1" s="129"/>
      <c r="G1" s="129"/>
      <c r="H1" s="129"/>
      <c r="I1" s="129"/>
    </row>
    <row r="2" spans="1:9" s="203" customFormat="1" x14ac:dyDescent="0.2">
      <c r="A2" s="174"/>
      <c r="B2" s="174"/>
      <c r="C2" s="174"/>
      <c r="D2" s="174"/>
      <c r="E2" s="174"/>
      <c r="F2" s="174"/>
      <c r="G2" s="174"/>
      <c r="H2" s="174"/>
      <c r="I2" s="174"/>
    </row>
    <row r="3" spans="1:9" s="217" customFormat="1" ht="10.5" x14ac:dyDescent="0.15">
      <c r="A3" s="852" t="s">
        <v>133</v>
      </c>
      <c r="B3" s="852"/>
      <c r="C3" s="852"/>
      <c r="D3" s="852"/>
      <c r="E3" s="852"/>
      <c r="F3" s="852"/>
      <c r="G3" s="852"/>
      <c r="H3" s="852"/>
      <c r="I3" s="852"/>
    </row>
    <row r="4" spans="1:9" s="218" customFormat="1" ht="11.25" x14ac:dyDescent="0.2">
      <c r="C4" s="432"/>
      <c r="D4" s="432"/>
    </row>
    <row r="5" spans="1:9" s="219" customFormat="1" ht="9.75" x14ac:dyDescent="0.2">
      <c r="A5" s="870" t="s">
        <v>77</v>
      </c>
      <c r="B5" s="871"/>
      <c r="C5" s="433" t="s">
        <v>25</v>
      </c>
      <c r="D5" s="847" t="s">
        <v>112</v>
      </c>
      <c r="E5" s="847"/>
      <c r="F5" s="847"/>
      <c r="G5" s="847"/>
      <c r="H5" s="847"/>
      <c r="I5" s="847"/>
    </row>
    <row r="6" spans="1:9" s="218" customFormat="1" ht="15" customHeight="1" x14ac:dyDescent="0.2">
      <c r="A6" s="872" t="s">
        <v>134</v>
      </c>
      <c r="B6" s="872"/>
      <c r="C6" s="455">
        <f>SUM(C7:C9)</f>
        <v>103705.13</v>
      </c>
      <c r="D6" s="876"/>
      <c r="E6" s="877"/>
      <c r="F6" s="877"/>
      <c r="G6" s="877"/>
      <c r="H6" s="877"/>
      <c r="I6" s="877"/>
    </row>
    <row r="7" spans="1:9" s="218" customFormat="1" ht="47.25" customHeight="1" x14ac:dyDescent="0.2">
      <c r="A7" s="873" t="s">
        <v>78</v>
      </c>
      <c r="B7" s="874"/>
      <c r="C7" s="456">
        <v>103705.13</v>
      </c>
      <c r="D7" s="875" t="s">
        <v>191</v>
      </c>
      <c r="E7" s="875"/>
      <c r="F7" s="875"/>
      <c r="G7" s="875"/>
      <c r="H7" s="875"/>
      <c r="I7" s="875"/>
    </row>
    <row r="8" spans="1:9" s="217" customFormat="1" ht="15" customHeight="1" x14ac:dyDescent="0.15">
      <c r="A8" s="863" t="s">
        <v>113</v>
      </c>
      <c r="B8" s="864"/>
      <c r="C8" s="457">
        <v>0</v>
      </c>
      <c r="D8" s="875"/>
      <c r="E8" s="875"/>
      <c r="F8" s="875"/>
      <c r="G8" s="875"/>
      <c r="H8" s="875"/>
      <c r="I8" s="875"/>
    </row>
    <row r="9" spans="1:9" s="217" customFormat="1" ht="15" customHeight="1" x14ac:dyDescent="0.15">
      <c r="A9" s="863" t="s">
        <v>114</v>
      </c>
      <c r="B9" s="864"/>
      <c r="C9" s="457">
        <v>0</v>
      </c>
      <c r="D9" s="865"/>
      <c r="E9" s="866"/>
      <c r="F9" s="866"/>
      <c r="G9" s="866"/>
      <c r="H9" s="866"/>
      <c r="I9" s="867"/>
    </row>
    <row r="10" spans="1:9" s="218" customFormat="1" ht="11.25" x14ac:dyDescent="0.2">
      <c r="C10" s="432"/>
      <c r="D10" s="432"/>
    </row>
    <row r="11" spans="1:9" s="218" customFormat="1" ht="11.25" x14ac:dyDescent="0.2">
      <c r="A11" s="852" t="s">
        <v>135</v>
      </c>
      <c r="B11" s="852"/>
      <c r="C11" s="852"/>
      <c r="D11" s="852"/>
      <c r="E11" s="852"/>
      <c r="F11" s="852"/>
      <c r="G11" s="852"/>
      <c r="H11" s="852"/>
      <c r="I11" s="852"/>
    </row>
    <row r="12" spans="1:9" s="218" customFormat="1" ht="11.25" x14ac:dyDescent="0.2">
      <c r="C12" s="432"/>
      <c r="D12" s="434"/>
      <c r="E12" s="231"/>
      <c r="F12" s="231"/>
      <c r="G12" s="231"/>
      <c r="H12" s="231"/>
      <c r="I12" s="231"/>
    </row>
    <row r="13" spans="1:9" s="221" customFormat="1" ht="9.75" x14ac:dyDescent="0.2">
      <c r="A13" s="344" t="s">
        <v>77</v>
      </c>
      <c r="B13" s="344" t="s">
        <v>79</v>
      </c>
      <c r="C13" s="433" t="s">
        <v>25</v>
      </c>
      <c r="D13" s="435"/>
      <c r="E13" s="436"/>
      <c r="F13" s="436"/>
      <c r="G13" s="436"/>
      <c r="H13" s="436"/>
      <c r="I13" s="436"/>
    </row>
    <row r="14" spans="1:9" s="218" customFormat="1" ht="15" customHeight="1" x14ac:dyDescent="0.2">
      <c r="A14" s="222" t="s">
        <v>136</v>
      </c>
      <c r="B14" s="437"/>
      <c r="C14" s="458">
        <v>30000</v>
      </c>
      <c r="D14" s="438"/>
      <c r="E14" s="439"/>
      <c r="F14" s="439"/>
      <c r="G14" s="439"/>
      <c r="H14" s="439"/>
      <c r="I14" s="439"/>
    </row>
    <row r="15" spans="1:9" s="218" customFormat="1" ht="15" customHeight="1" x14ac:dyDescent="0.2">
      <c r="A15" s="868" t="s">
        <v>137</v>
      </c>
      <c r="B15" s="263" t="s">
        <v>80</v>
      </c>
      <c r="C15" s="459">
        <v>73705.13</v>
      </c>
      <c r="D15" s="440"/>
      <c r="E15" s="441"/>
      <c r="F15" s="441"/>
      <c r="G15" s="441"/>
      <c r="H15" s="441"/>
      <c r="I15" s="441"/>
    </row>
    <row r="16" spans="1:9" s="218" customFormat="1" ht="15" customHeight="1" x14ac:dyDescent="0.2">
      <c r="A16" s="869"/>
      <c r="B16" s="262" t="s">
        <v>81</v>
      </c>
      <c r="C16" s="460">
        <v>0</v>
      </c>
      <c r="D16" s="442"/>
      <c r="E16" s="443"/>
      <c r="F16" s="443"/>
      <c r="G16" s="443"/>
      <c r="H16" s="443"/>
      <c r="I16" s="443"/>
    </row>
    <row r="17" spans="1:9" s="218" customFormat="1" ht="15" customHeight="1" x14ac:dyDescent="0.2">
      <c r="A17" s="444" t="s">
        <v>134</v>
      </c>
      <c r="B17" s="445"/>
      <c r="C17" s="455">
        <f>SUM(C14:C16)</f>
        <v>103705.13</v>
      </c>
      <c r="D17" s="446"/>
      <c r="E17" s="447"/>
      <c r="F17" s="447"/>
      <c r="G17" s="447"/>
      <c r="H17" s="447"/>
      <c r="I17" s="447"/>
    </row>
    <row r="18" spans="1:9" s="449" customFormat="1" ht="11.25" x14ac:dyDescent="0.2">
      <c r="A18" s="448"/>
      <c r="C18" s="450"/>
      <c r="D18" s="451"/>
      <c r="E18" s="452"/>
      <c r="F18" s="452"/>
      <c r="G18" s="452"/>
      <c r="H18" s="452"/>
      <c r="I18" s="452"/>
    </row>
    <row r="19" spans="1:9" s="218" customFormat="1" ht="11.25" x14ac:dyDescent="0.2">
      <c r="A19" s="852" t="s">
        <v>138</v>
      </c>
      <c r="B19" s="852"/>
      <c r="C19" s="852"/>
      <c r="D19" s="852"/>
      <c r="E19" s="852"/>
      <c r="F19" s="852"/>
      <c r="G19" s="852"/>
      <c r="H19" s="852"/>
      <c r="I19" s="852"/>
    </row>
    <row r="20" spans="1:9" s="218" customFormat="1" ht="11.25" x14ac:dyDescent="0.2">
      <c r="C20" s="432"/>
      <c r="D20" s="432"/>
    </row>
    <row r="21" spans="1:9" s="224" customFormat="1" ht="9.75" x14ac:dyDescent="0.2">
      <c r="A21" s="344" t="s">
        <v>79</v>
      </c>
      <c r="B21" s="344" t="s">
        <v>139</v>
      </c>
      <c r="C21" s="433" t="s">
        <v>140</v>
      </c>
      <c r="D21" s="433" t="s">
        <v>141</v>
      </c>
      <c r="E21" s="344" t="s">
        <v>142</v>
      </c>
      <c r="F21" s="847" t="s">
        <v>115</v>
      </c>
      <c r="G21" s="847"/>
      <c r="H21" s="847"/>
      <c r="I21" s="847"/>
    </row>
    <row r="22" spans="1:9" s="218" customFormat="1" ht="59.25" customHeight="1" x14ac:dyDescent="0.2">
      <c r="A22" s="265" t="s">
        <v>116</v>
      </c>
      <c r="B22" s="243">
        <v>44371.02</v>
      </c>
      <c r="C22" s="243">
        <v>128302.09</v>
      </c>
      <c r="D22" s="243">
        <v>55312.5</v>
      </c>
      <c r="E22" s="243">
        <v>55360.61</v>
      </c>
      <c r="F22" s="785" t="s">
        <v>192</v>
      </c>
      <c r="G22" s="786"/>
      <c r="H22" s="786"/>
      <c r="I22" s="787"/>
    </row>
    <row r="23" spans="1:9" s="218" customFormat="1" ht="25.5" customHeight="1" x14ac:dyDescent="0.2">
      <c r="A23" s="263" t="s">
        <v>187</v>
      </c>
      <c r="B23" s="270">
        <v>252649.16</v>
      </c>
      <c r="C23" s="270">
        <v>46894.09</v>
      </c>
      <c r="D23" s="270">
        <v>141315</v>
      </c>
      <c r="E23" s="270">
        <v>96228.25</v>
      </c>
      <c r="F23" s="747" t="s">
        <v>188</v>
      </c>
      <c r="G23" s="795"/>
      <c r="H23" s="795"/>
      <c r="I23" s="796"/>
    </row>
    <row r="24" spans="1:9" s="218" customFormat="1" ht="13.5" customHeight="1" x14ac:dyDescent="0.2">
      <c r="A24" s="263" t="s">
        <v>81</v>
      </c>
      <c r="B24" s="270">
        <v>62245.49</v>
      </c>
      <c r="C24" s="270">
        <v>10000</v>
      </c>
      <c r="D24" s="270">
        <v>30000</v>
      </c>
      <c r="E24" s="270">
        <v>42245.49</v>
      </c>
      <c r="F24" s="747" t="s">
        <v>189</v>
      </c>
      <c r="G24" s="795"/>
      <c r="H24" s="795"/>
      <c r="I24" s="796"/>
    </row>
    <row r="25" spans="1:9" s="218" customFormat="1" ht="36" customHeight="1" x14ac:dyDescent="0.2">
      <c r="A25" s="262" t="s">
        <v>82</v>
      </c>
      <c r="B25" s="461">
        <v>32837.71</v>
      </c>
      <c r="C25" s="461">
        <v>62285</v>
      </c>
      <c r="D25" s="461">
        <v>57800</v>
      </c>
      <c r="E25" s="461">
        <v>37323.26</v>
      </c>
      <c r="F25" s="759" t="s">
        <v>203</v>
      </c>
      <c r="G25" s="848"/>
      <c r="H25" s="848"/>
      <c r="I25" s="849"/>
    </row>
    <row r="26" spans="1:9" s="217" customFormat="1" ht="10.5" x14ac:dyDescent="0.15">
      <c r="A26" s="225" t="s">
        <v>34</v>
      </c>
      <c r="B26" s="226">
        <f>SUM(B22:B25)</f>
        <v>392103.38</v>
      </c>
      <c r="C26" s="463">
        <f>SUM(C22:C25)</f>
        <v>247481.18</v>
      </c>
      <c r="D26" s="463">
        <f>SUM(D22:D25)</f>
        <v>284427.5</v>
      </c>
      <c r="E26" s="226">
        <f>SUM(E22:E25)</f>
        <v>231157.61</v>
      </c>
      <c r="F26" s="850"/>
      <c r="G26" s="850"/>
      <c r="H26" s="850"/>
      <c r="I26" s="851"/>
    </row>
    <row r="27" spans="1:9" s="218" customFormat="1" ht="11.25" x14ac:dyDescent="0.2">
      <c r="C27" s="432"/>
      <c r="D27" s="432"/>
    </row>
    <row r="28" spans="1:9" s="218" customFormat="1" ht="11.25" x14ac:dyDescent="0.2">
      <c r="A28" s="852" t="s">
        <v>144</v>
      </c>
      <c r="B28" s="852"/>
      <c r="C28" s="852"/>
      <c r="D28" s="852"/>
      <c r="E28" s="852"/>
      <c r="F28" s="852"/>
      <c r="G28" s="852"/>
      <c r="H28" s="852"/>
      <c r="I28" s="852"/>
    </row>
    <row r="29" spans="1:9" s="218" customFormat="1" ht="11.25" x14ac:dyDescent="0.2">
      <c r="C29" s="432"/>
      <c r="D29" s="432"/>
    </row>
    <row r="30" spans="1:9" s="218" customFormat="1" ht="11.25" x14ac:dyDescent="0.2">
      <c r="A30" s="344" t="s">
        <v>83</v>
      </c>
      <c r="B30" s="344" t="s">
        <v>25</v>
      </c>
      <c r="C30" s="433" t="s">
        <v>84</v>
      </c>
      <c r="D30" s="847" t="s">
        <v>117</v>
      </c>
      <c r="E30" s="847"/>
      <c r="F30" s="847"/>
      <c r="G30" s="847"/>
      <c r="H30" s="847"/>
      <c r="I30" s="847"/>
    </row>
    <row r="31" spans="1:9" s="218" customFormat="1" ht="15" customHeight="1" x14ac:dyDescent="0.2">
      <c r="A31" s="238"/>
      <c r="B31" s="266">
        <v>0</v>
      </c>
      <c r="C31" s="453"/>
      <c r="D31" s="853"/>
      <c r="E31" s="854"/>
      <c r="F31" s="854"/>
      <c r="G31" s="854"/>
      <c r="H31" s="854"/>
      <c r="I31" s="855"/>
    </row>
    <row r="32" spans="1:9" s="217" customFormat="1" ht="11.25" x14ac:dyDescent="0.2">
      <c r="A32" s="225" t="s">
        <v>34</v>
      </c>
      <c r="B32" s="226">
        <f>SUM(B31:B31)</f>
        <v>0</v>
      </c>
      <c r="C32" s="879"/>
      <c r="D32" s="879"/>
      <c r="E32" s="879"/>
      <c r="F32" s="879"/>
      <c r="G32" s="879"/>
      <c r="H32" s="879"/>
      <c r="I32" s="880"/>
    </row>
    <row r="33" spans="1:9" s="218" customFormat="1" ht="11.25" x14ac:dyDescent="0.2">
      <c r="C33" s="432"/>
      <c r="D33" s="432"/>
    </row>
    <row r="34" spans="1:9" s="218" customFormat="1" ht="11.25" x14ac:dyDescent="0.2">
      <c r="A34" s="852" t="s">
        <v>145</v>
      </c>
      <c r="B34" s="852"/>
      <c r="C34" s="852"/>
      <c r="D34" s="852"/>
      <c r="E34" s="852"/>
      <c r="F34" s="852"/>
      <c r="G34" s="852"/>
      <c r="H34" s="852"/>
      <c r="I34" s="852"/>
    </row>
    <row r="35" spans="1:9" s="218" customFormat="1" ht="11.25" x14ac:dyDescent="0.2">
      <c r="C35" s="432"/>
      <c r="D35" s="432"/>
    </row>
    <row r="36" spans="1:9" s="218" customFormat="1" ht="11.25" x14ac:dyDescent="0.2">
      <c r="A36" s="344" t="s">
        <v>83</v>
      </c>
      <c r="B36" s="344" t="s">
        <v>25</v>
      </c>
      <c r="C36" s="433" t="s">
        <v>84</v>
      </c>
      <c r="D36" s="847" t="s">
        <v>117</v>
      </c>
      <c r="E36" s="847"/>
      <c r="F36" s="847"/>
      <c r="G36" s="847"/>
      <c r="H36" s="847"/>
      <c r="I36" s="881"/>
    </row>
    <row r="37" spans="1:9" s="218" customFormat="1" ht="15" customHeight="1" x14ac:dyDescent="0.2">
      <c r="A37" s="238"/>
      <c r="B37" s="266">
        <v>0</v>
      </c>
      <c r="C37" s="453"/>
      <c r="D37" s="853"/>
      <c r="E37" s="854"/>
      <c r="F37" s="854"/>
      <c r="G37" s="854"/>
      <c r="H37" s="854"/>
      <c r="I37" s="855"/>
    </row>
    <row r="38" spans="1:9" s="217" customFormat="1" ht="10.5" x14ac:dyDescent="0.15">
      <c r="A38" s="225" t="s">
        <v>34</v>
      </c>
      <c r="B38" s="226">
        <f>SUM(B37:B37)</f>
        <v>0</v>
      </c>
      <c r="C38" s="882"/>
      <c r="D38" s="882"/>
      <c r="E38" s="882"/>
      <c r="F38" s="882"/>
      <c r="G38" s="882"/>
      <c r="H38" s="882"/>
      <c r="I38" s="882"/>
    </row>
    <row r="39" spans="1:9" s="218" customFormat="1" ht="11.25" x14ac:dyDescent="0.2">
      <c r="C39" s="432"/>
      <c r="D39" s="432"/>
    </row>
    <row r="40" spans="1:9" s="218" customFormat="1" ht="11.25" x14ac:dyDescent="0.2">
      <c r="A40" s="852" t="s">
        <v>146</v>
      </c>
      <c r="B40" s="852"/>
      <c r="C40" s="852"/>
      <c r="D40" s="852"/>
      <c r="E40" s="852"/>
      <c r="F40" s="852"/>
      <c r="G40" s="852"/>
      <c r="H40" s="852"/>
      <c r="I40" s="852"/>
    </row>
    <row r="41" spans="1:9" s="218" customFormat="1" ht="11.25" x14ac:dyDescent="0.2">
      <c r="C41" s="432"/>
      <c r="D41" s="432"/>
    </row>
    <row r="42" spans="1:9" s="218" customFormat="1" ht="11.25" x14ac:dyDescent="0.2">
      <c r="A42" s="344" t="s">
        <v>25</v>
      </c>
      <c r="B42" s="343" t="s">
        <v>147</v>
      </c>
      <c r="C42" s="861" t="s">
        <v>85</v>
      </c>
      <c r="D42" s="861"/>
      <c r="E42" s="861"/>
      <c r="F42" s="861"/>
      <c r="G42" s="861"/>
      <c r="H42" s="861"/>
      <c r="I42" s="862"/>
    </row>
    <row r="43" spans="1:9" s="218" customFormat="1" ht="11.25" x14ac:dyDescent="0.2">
      <c r="A43" s="228">
        <v>20990</v>
      </c>
      <c r="B43" s="228">
        <v>20990</v>
      </c>
      <c r="C43" s="856" t="s">
        <v>193</v>
      </c>
      <c r="D43" s="857"/>
      <c r="E43" s="857"/>
      <c r="F43" s="857"/>
      <c r="G43" s="857"/>
      <c r="H43" s="857"/>
      <c r="I43" s="858"/>
    </row>
    <row r="44" spans="1:9" s="217" customFormat="1" ht="10.5" x14ac:dyDescent="0.15">
      <c r="A44" s="226">
        <f>SUM(A43)</f>
        <v>20990</v>
      </c>
      <c r="B44" s="226">
        <f>SUM(B43)</f>
        <v>20990</v>
      </c>
      <c r="C44" s="859" t="s">
        <v>34</v>
      </c>
      <c r="D44" s="859"/>
      <c r="E44" s="859"/>
      <c r="F44" s="859"/>
      <c r="G44" s="859"/>
      <c r="H44" s="859"/>
      <c r="I44" s="860"/>
    </row>
    <row r="45" spans="1:9" s="218" customFormat="1" ht="11.25" x14ac:dyDescent="0.2">
      <c r="C45" s="432"/>
      <c r="D45" s="432"/>
    </row>
    <row r="46" spans="1:9" s="218" customFormat="1" ht="11.25" x14ac:dyDescent="0.2">
      <c r="A46" s="852" t="s">
        <v>148</v>
      </c>
      <c r="B46" s="852"/>
      <c r="C46" s="852"/>
      <c r="D46" s="852"/>
      <c r="E46" s="852"/>
      <c r="F46" s="852"/>
      <c r="G46" s="852"/>
      <c r="H46" s="852"/>
      <c r="I46" s="852"/>
    </row>
    <row r="47" spans="1:9" s="218" customFormat="1" ht="11.25" x14ac:dyDescent="0.2">
      <c r="C47" s="432"/>
      <c r="D47" s="432"/>
    </row>
    <row r="48" spans="1:9" s="229" customFormat="1" ht="11.25" x14ac:dyDescent="0.2">
      <c r="A48" s="847" t="s">
        <v>86</v>
      </c>
      <c r="B48" s="847"/>
      <c r="C48" s="433" t="s">
        <v>87</v>
      </c>
      <c r="D48" s="433" t="s">
        <v>88</v>
      </c>
      <c r="E48" s="344" t="s">
        <v>25</v>
      </c>
    </row>
    <row r="49" spans="1:9" s="218" customFormat="1" ht="11.25" x14ac:dyDescent="0.2">
      <c r="A49" s="883" t="s">
        <v>194</v>
      </c>
      <c r="B49" s="883"/>
      <c r="C49" s="454">
        <v>41786</v>
      </c>
      <c r="D49" s="454">
        <v>41789</v>
      </c>
      <c r="E49" s="243">
        <v>14774</v>
      </c>
    </row>
    <row r="50" spans="1:9" s="218" customFormat="1" ht="11.25" x14ac:dyDescent="0.2">
      <c r="A50" s="878" t="s">
        <v>195</v>
      </c>
      <c r="B50" s="878"/>
      <c r="C50" s="454">
        <v>41786</v>
      </c>
      <c r="D50" s="454">
        <v>41789</v>
      </c>
      <c r="E50" s="270">
        <v>-14774</v>
      </c>
    </row>
    <row r="51" spans="1:9" s="218" customFormat="1" ht="11.25" x14ac:dyDescent="0.2">
      <c r="A51" s="884"/>
      <c r="B51" s="885"/>
      <c r="C51" s="454"/>
      <c r="D51" s="454"/>
      <c r="E51" s="270"/>
    </row>
    <row r="52" spans="1:9" s="218" customFormat="1" ht="11.25" x14ac:dyDescent="0.2">
      <c r="A52" s="878" t="s">
        <v>196</v>
      </c>
      <c r="B52" s="878"/>
      <c r="C52" s="454">
        <v>41855</v>
      </c>
      <c r="D52" s="454">
        <v>41942</v>
      </c>
      <c r="E52" s="270">
        <v>130000</v>
      </c>
    </row>
    <row r="53" spans="1:9" s="218" customFormat="1" ht="11.25" x14ac:dyDescent="0.2">
      <c r="A53" s="878" t="s">
        <v>197</v>
      </c>
      <c r="B53" s="878"/>
      <c r="C53" s="454">
        <v>41855</v>
      </c>
      <c r="D53" s="454">
        <v>41942</v>
      </c>
      <c r="E53" s="243">
        <v>130000</v>
      </c>
    </row>
    <row r="54" spans="1:9" s="218" customFormat="1" ht="11.25" x14ac:dyDescent="0.2">
      <c r="A54" s="884"/>
      <c r="B54" s="885"/>
      <c r="C54" s="454"/>
      <c r="D54" s="454"/>
      <c r="E54" s="243"/>
    </row>
    <row r="55" spans="1:9" s="218" customFormat="1" ht="11.25" x14ac:dyDescent="0.2">
      <c r="A55" s="878" t="s">
        <v>190</v>
      </c>
      <c r="B55" s="878"/>
      <c r="C55" s="454">
        <v>41967</v>
      </c>
      <c r="D55" s="454">
        <v>41973</v>
      </c>
      <c r="E55" s="270">
        <v>30000</v>
      </c>
    </row>
    <row r="56" spans="1:9" s="218" customFormat="1" ht="11.25" x14ac:dyDescent="0.2">
      <c r="A56" s="878" t="s">
        <v>198</v>
      </c>
      <c r="B56" s="878"/>
      <c r="C56" s="454">
        <v>41967</v>
      </c>
      <c r="D56" s="454">
        <v>41973</v>
      </c>
      <c r="E56" s="270">
        <v>30000</v>
      </c>
    </row>
    <row r="57" spans="1:9" s="218" customFormat="1" ht="11.25" x14ac:dyDescent="0.2">
      <c r="A57" s="884"/>
      <c r="B57" s="885"/>
      <c r="C57" s="454"/>
      <c r="D57" s="454"/>
      <c r="E57" s="270"/>
    </row>
    <row r="58" spans="1:9" s="218" customFormat="1" ht="11.25" x14ac:dyDescent="0.2">
      <c r="A58" s="878" t="s">
        <v>199</v>
      </c>
      <c r="B58" s="878"/>
      <c r="C58" s="454">
        <v>41967</v>
      </c>
      <c r="D58" s="454">
        <v>41973</v>
      </c>
      <c r="E58" s="270">
        <v>-10513</v>
      </c>
    </row>
    <row r="59" spans="1:9" s="218" customFormat="1" ht="11.25" x14ac:dyDescent="0.2">
      <c r="A59" s="878" t="s">
        <v>200</v>
      </c>
      <c r="B59" s="878"/>
      <c r="C59" s="465">
        <v>41967</v>
      </c>
      <c r="D59" s="465">
        <v>41973</v>
      </c>
      <c r="E59" s="270">
        <v>10513</v>
      </c>
    </row>
    <row r="60" spans="1:9" s="231" customFormat="1" ht="11.25" x14ac:dyDescent="0.2">
      <c r="A60" s="886"/>
      <c r="B60" s="886"/>
      <c r="C60" s="464"/>
      <c r="D60" s="464"/>
      <c r="E60" s="244"/>
    </row>
    <row r="61" spans="1:9" s="218" customFormat="1" ht="11.25" x14ac:dyDescent="0.2">
      <c r="A61" s="794" t="s">
        <v>152</v>
      </c>
      <c r="B61" s="794"/>
      <c r="C61" s="794"/>
      <c r="D61" s="794"/>
      <c r="E61" s="794"/>
      <c r="F61" s="794"/>
      <c r="G61" s="794"/>
      <c r="H61" s="794"/>
      <c r="I61" s="794"/>
    </row>
    <row r="62" spans="1:9" s="218" customFormat="1" ht="11.25" x14ac:dyDescent="0.2">
      <c r="C62" s="432"/>
      <c r="D62" s="432"/>
    </row>
    <row r="63" spans="1:9" s="218" customFormat="1" ht="11.25" x14ac:dyDescent="0.2">
      <c r="A63" s="884" t="s">
        <v>201</v>
      </c>
      <c r="B63" s="890"/>
      <c r="C63" s="890"/>
      <c r="D63" s="890"/>
      <c r="E63" s="890"/>
      <c r="F63" s="890"/>
      <c r="G63" s="890"/>
      <c r="H63" s="890"/>
      <c r="I63" s="885"/>
    </row>
    <row r="64" spans="1:9" s="218" customFormat="1" ht="11.25" x14ac:dyDescent="0.2">
      <c r="C64" s="432"/>
      <c r="D64" s="432"/>
    </row>
    <row r="65" spans="1:9" s="217" customFormat="1" ht="10.5" x14ac:dyDescent="0.15">
      <c r="A65" s="852" t="s">
        <v>153</v>
      </c>
      <c r="B65" s="852"/>
      <c r="C65" s="852"/>
      <c r="D65" s="852"/>
      <c r="E65" s="852"/>
      <c r="F65" s="852"/>
      <c r="G65" s="852"/>
      <c r="H65" s="852"/>
      <c r="I65" s="852"/>
    </row>
    <row r="66" spans="1:9" s="218" customFormat="1" ht="11.25" x14ac:dyDescent="0.2">
      <c r="C66" s="432"/>
      <c r="D66" s="432"/>
    </row>
    <row r="67" spans="1:9" s="218" customFormat="1" ht="46.5" customHeight="1" x14ac:dyDescent="0.2">
      <c r="A67" s="789" t="s">
        <v>280</v>
      </c>
      <c r="B67" s="790"/>
      <c r="C67" s="790"/>
      <c r="D67" s="790"/>
      <c r="E67" s="790"/>
      <c r="F67" s="790"/>
      <c r="G67" s="790"/>
      <c r="H67" s="790"/>
      <c r="I67" s="791"/>
    </row>
    <row r="68" spans="1:9" s="218" customFormat="1" ht="14.25" customHeight="1" x14ac:dyDescent="0.2">
      <c r="A68" s="887" t="s">
        <v>202</v>
      </c>
      <c r="B68" s="888"/>
      <c r="C68" s="888"/>
      <c r="D68" s="888"/>
      <c r="E68" s="888"/>
      <c r="F68" s="888"/>
      <c r="G68" s="888"/>
      <c r="H68" s="888"/>
      <c r="I68" s="889"/>
    </row>
    <row r="69" spans="1:9" s="218" customFormat="1" ht="11.25" customHeight="1" x14ac:dyDescent="0.2">
      <c r="A69" s="789" t="s">
        <v>249</v>
      </c>
      <c r="B69" s="790"/>
      <c r="C69" s="790"/>
      <c r="D69" s="790"/>
      <c r="E69" s="790"/>
      <c r="F69" s="790"/>
      <c r="G69" s="790"/>
      <c r="H69" s="790"/>
      <c r="I69" s="791"/>
    </row>
  </sheetData>
  <mergeCells count="52">
    <mergeCell ref="A69:I69"/>
    <mergeCell ref="A51:B51"/>
    <mergeCell ref="A54:B54"/>
    <mergeCell ref="A57:B57"/>
    <mergeCell ref="A58:B58"/>
    <mergeCell ref="A59:B59"/>
    <mergeCell ref="A60:B60"/>
    <mergeCell ref="A61:I61"/>
    <mergeCell ref="A67:I67"/>
    <mergeCell ref="A68:I68"/>
    <mergeCell ref="A65:I65"/>
    <mergeCell ref="A63:I63"/>
    <mergeCell ref="A50:B50"/>
    <mergeCell ref="A52:B52"/>
    <mergeCell ref="A55:B55"/>
    <mergeCell ref="A56:B56"/>
    <mergeCell ref="A19:I19"/>
    <mergeCell ref="F21:I21"/>
    <mergeCell ref="F22:I22"/>
    <mergeCell ref="F23:I23"/>
    <mergeCell ref="C32:I32"/>
    <mergeCell ref="A34:I34"/>
    <mergeCell ref="D36:I36"/>
    <mergeCell ref="D37:I37"/>
    <mergeCell ref="C38:I38"/>
    <mergeCell ref="A40:I40"/>
    <mergeCell ref="A53:B53"/>
    <mergeCell ref="A49:B49"/>
    <mergeCell ref="A9:B9"/>
    <mergeCell ref="D9:I9"/>
    <mergeCell ref="A11:I11"/>
    <mergeCell ref="A15:A16"/>
    <mergeCell ref="A3:I3"/>
    <mergeCell ref="D5:I5"/>
    <mergeCell ref="A5:B5"/>
    <mergeCell ref="A6:B6"/>
    <mergeCell ref="A7:B7"/>
    <mergeCell ref="A8:B8"/>
    <mergeCell ref="D8:I8"/>
    <mergeCell ref="D6:I6"/>
    <mergeCell ref="D7:I7"/>
    <mergeCell ref="A48:B48"/>
    <mergeCell ref="F24:I24"/>
    <mergeCell ref="F25:I25"/>
    <mergeCell ref="F26:I26"/>
    <mergeCell ref="A28:I28"/>
    <mergeCell ref="D30:I30"/>
    <mergeCell ref="D31:I31"/>
    <mergeCell ref="C43:I43"/>
    <mergeCell ref="C44:I44"/>
    <mergeCell ref="C42:I42"/>
    <mergeCell ref="A46:I46"/>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833" t="s">
        <v>104</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91"/>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99"/>
      <c r="B4" s="892"/>
      <c r="C4" s="893"/>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900"/>
      <c r="B5" s="894"/>
      <c r="C5" s="895"/>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28061127</v>
      </c>
      <c r="F6" s="67">
        <f>SUM(F7:F9)</f>
        <v>28874536</v>
      </c>
      <c r="G6" s="67">
        <f>SUM(G7:G9)</f>
        <v>28931982</v>
      </c>
      <c r="H6" s="28">
        <f t="shared" ref="H6:H36" si="0">G6/F6*100</f>
        <v>100.19895038313342</v>
      </c>
      <c r="I6" s="67">
        <f>SUM(I7:I9)</f>
        <v>27514517</v>
      </c>
      <c r="J6" s="67">
        <f>SUM(J7:J9)</f>
        <v>4726327</v>
      </c>
      <c r="K6" s="67">
        <f t="shared" ref="K6:Q6" si="1">SUM(K7:K9)</f>
        <v>5434030</v>
      </c>
      <c r="L6" s="67">
        <f t="shared" si="1"/>
        <v>5491476</v>
      </c>
      <c r="M6" s="28">
        <f t="shared" ref="M6:M33" si="2">L6/K6*100</f>
        <v>101.05715279451898</v>
      </c>
      <c r="N6" s="67">
        <f>SUM(N7:N9)</f>
        <v>5133917</v>
      </c>
      <c r="O6" s="67">
        <f t="shared" si="1"/>
        <v>23334800</v>
      </c>
      <c r="P6" s="67">
        <f t="shared" si="1"/>
        <v>23440506</v>
      </c>
      <c r="Q6" s="67">
        <f t="shared" si="1"/>
        <v>23440506</v>
      </c>
      <c r="R6" s="28">
        <f t="shared" ref="R6:R33" si="3">Q6/P6*100</f>
        <v>100</v>
      </c>
      <c r="S6" s="67">
        <f>SUM(S7:S9)</f>
        <v>22380600</v>
      </c>
      <c r="T6" s="67">
        <f>SUM(T7:T9)</f>
        <v>0</v>
      </c>
      <c r="U6" s="67">
        <f>SUM(U7:U9)</f>
        <v>74915</v>
      </c>
      <c r="V6" s="67">
        <f>SUM(V7:V9)</f>
        <v>74676</v>
      </c>
      <c r="W6" s="28">
        <f t="shared" ref="W6:W33" si="4">V6/U6*100</f>
        <v>99.680971768003729</v>
      </c>
      <c r="X6" s="67">
        <f>SUM(X7:X9)</f>
        <v>0</v>
      </c>
    </row>
    <row r="7" spans="1:24" s="6" customFormat="1" ht="9.9499999999999993" customHeight="1" x14ac:dyDescent="0.2">
      <c r="A7" s="34" t="s">
        <v>2</v>
      </c>
      <c r="B7" s="827" t="s">
        <v>47</v>
      </c>
      <c r="C7" s="828"/>
      <c r="D7" s="55" t="s">
        <v>25</v>
      </c>
      <c r="E7" s="70">
        <f t="shared" ref="E7:G10" si="5">SUM(J7,O7)</f>
        <v>3306397</v>
      </c>
      <c r="F7" s="71">
        <f t="shared" si="5"/>
        <v>4182500</v>
      </c>
      <c r="G7" s="71">
        <f t="shared" si="5"/>
        <v>4240280</v>
      </c>
      <c r="H7" s="10">
        <f t="shared" si="0"/>
        <v>101.38147041243275</v>
      </c>
      <c r="I7" s="72">
        <f>SUM(N7,S7)</f>
        <v>3765718</v>
      </c>
      <c r="J7" s="73">
        <v>3306397</v>
      </c>
      <c r="K7" s="74">
        <v>4182500</v>
      </c>
      <c r="L7" s="74">
        <v>4240280</v>
      </c>
      <c r="M7" s="10">
        <f t="shared" si="2"/>
        <v>101.38147041243275</v>
      </c>
      <c r="N7" s="74">
        <v>3765718</v>
      </c>
      <c r="O7" s="76"/>
      <c r="P7" s="74"/>
      <c r="Q7" s="74"/>
      <c r="R7" s="10" t="e">
        <f t="shared" si="3"/>
        <v>#DIV/0!</v>
      </c>
      <c r="S7" s="74"/>
      <c r="T7" s="76"/>
      <c r="U7" s="74">
        <v>74915</v>
      </c>
      <c r="V7" s="74">
        <v>74676</v>
      </c>
      <c r="W7" s="10">
        <f t="shared" si="4"/>
        <v>99.680971768003729</v>
      </c>
      <c r="X7" s="122"/>
    </row>
    <row r="8" spans="1:24" s="6" customFormat="1" ht="9.9499999999999993" customHeight="1" x14ac:dyDescent="0.2">
      <c r="A8" s="35" t="s">
        <v>3</v>
      </c>
      <c r="B8" s="829" t="s">
        <v>48</v>
      </c>
      <c r="C8" s="830"/>
      <c r="D8" s="56" t="s">
        <v>25</v>
      </c>
      <c r="E8" s="77">
        <f t="shared" si="5"/>
        <v>25000</v>
      </c>
      <c r="F8" s="78">
        <f t="shared" si="5"/>
        <v>10600</v>
      </c>
      <c r="G8" s="78">
        <f t="shared" si="5"/>
        <v>10266</v>
      </c>
      <c r="H8" s="11">
        <f t="shared" si="0"/>
        <v>96.84905660377359</v>
      </c>
      <c r="I8" s="79">
        <f>SUM(N8,S8)</f>
        <v>20269</v>
      </c>
      <c r="J8" s="80">
        <v>25000</v>
      </c>
      <c r="K8" s="78">
        <v>10600</v>
      </c>
      <c r="L8" s="78">
        <v>10266</v>
      </c>
      <c r="M8" s="11">
        <f t="shared" si="2"/>
        <v>96.84905660377359</v>
      </c>
      <c r="N8" s="78">
        <v>20269</v>
      </c>
      <c r="O8" s="77"/>
      <c r="P8" s="78"/>
      <c r="Q8" s="78"/>
      <c r="R8" s="11" t="e">
        <f t="shared" si="3"/>
        <v>#DIV/0!</v>
      </c>
      <c r="S8" s="78"/>
      <c r="T8" s="77"/>
      <c r="U8" s="78"/>
      <c r="V8" s="78"/>
      <c r="W8" s="11" t="e">
        <f t="shared" si="4"/>
        <v>#DIV/0!</v>
      </c>
      <c r="X8" s="81"/>
    </row>
    <row r="9" spans="1:24" s="6" customFormat="1" ht="9.9499999999999993" customHeight="1" x14ac:dyDescent="0.2">
      <c r="A9" s="36" t="s">
        <v>4</v>
      </c>
      <c r="B9" s="44" t="s">
        <v>66</v>
      </c>
      <c r="C9" s="45"/>
      <c r="D9" s="57" t="s">
        <v>25</v>
      </c>
      <c r="E9" s="82">
        <f t="shared" si="5"/>
        <v>24729730</v>
      </c>
      <c r="F9" s="83">
        <f t="shared" si="5"/>
        <v>24681436</v>
      </c>
      <c r="G9" s="83">
        <f t="shared" si="5"/>
        <v>24681436</v>
      </c>
      <c r="H9" s="31">
        <f t="shared" si="0"/>
        <v>100</v>
      </c>
      <c r="I9" s="79">
        <f>SUM(N9,S9)</f>
        <v>23728530</v>
      </c>
      <c r="J9" s="85">
        <v>1394930</v>
      </c>
      <c r="K9" s="83">
        <v>1240930</v>
      </c>
      <c r="L9" s="83">
        <v>1240930</v>
      </c>
      <c r="M9" s="31">
        <f t="shared" si="2"/>
        <v>100</v>
      </c>
      <c r="N9" s="83">
        <v>1347930</v>
      </c>
      <c r="O9" s="82">
        <v>23334800</v>
      </c>
      <c r="P9" s="83">
        <v>23440506</v>
      </c>
      <c r="Q9" s="83">
        <v>23440506</v>
      </c>
      <c r="R9" s="31">
        <f t="shared" si="3"/>
        <v>100</v>
      </c>
      <c r="S9" s="83">
        <v>22380600</v>
      </c>
      <c r="T9" s="82"/>
      <c r="U9" s="83"/>
      <c r="V9" s="83"/>
      <c r="W9" s="31"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c r="K10" s="87"/>
      <c r="L10" s="87"/>
      <c r="M10" s="28" t="e">
        <f t="shared" si="2"/>
        <v>#DIV/0!</v>
      </c>
      <c r="N10" s="87"/>
      <c r="O10" s="87"/>
      <c r="P10" s="87"/>
      <c r="Q10" s="87"/>
      <c r="R10" s="28" t="e">
        <f t="shared" si="3"/>
        <v>#DIV/0!</v>
      </c>
      <c r="S10" s="87"/>
      <c r="T10" s="87"/>
      <c r="U10" s="87"/>
      <c r="V10" s="87"/>
      <c r="W10" s="28" t="e">
        <f t="shared" si="4"/>
        <v>#DIV/0!</v>
      </c>
      <c r="X10" s="87"/>
    </row>
    <row r="11" spans="1:24" s="6" customFormat="1" ht="9.9499999999999993" customHeight="1" x14ac:dyDescent="0.2">
      <c r="A11" s="33" t="s">
        <v>6</v>
      </c>
      <c r="B11" s="826" t="s">
        <v>9</v>
      </c>
      <c r="C11" s="826"/>
      <c r="D11" s="23" t="s">
        <v>25</v>
      </c>
      <c r="E11" s="67">
        <f>SUM(E12:E30)</f>
        <v>28061127</v>
      </c>
      <c r="F11" s="67">
        <f>SUM(F12:F30)</f>
        <v>28880536</v>
      </c>
      <c r="G11" s="67">
        <f>SUM(G12:G30)</f>
        <v>28788684</v>
      </c>
      <c r="H11" s="28">
        <f t="shared" si="0"/>
        <v>99.681958811290755</v>
      </c>
      <c r="I11" s="68">
        <f>SUM(I12:I30)</f>
        <v>27268935</v>
      </c>
      <c r="J11" s="67">
        <f>SUM(J12:J30)</f>
        <v>4726327</v>
      </c>
      <c r="K11" s="67">
        <f>SUM(K12:K30)</f>
        <v>5440030</v>
      </c>
      <c r="L11" s="67">
        <f>SUM(L12:L30)</f>
        <v>5348178</v>
      </c>
      <c r="M11" s="28">
        <f t="shared" si="2"/>
        <v>98.311553428933294</v>
      </c>
      <c r="N11" s="67">
        <f>SUM(N12:N30)</f>
        <v>4888335</v>
      </c>
      <c r="O11" s="67">
        <f>SUM(O12:O30)</f>
        <v>23334800</v>
      </c>
      <c r="P11" s="67">
        <f>SUM(P12:P30)</f>
        <v>23440506</v>
      </c>
      <c r="Q11" s="67">
        <f>SUM(Q12:Q30)</f>
        <v>23440506</v>
      </c>
      <c r="R11" s="28">
        <f t="shared" si="3"/>
        <v>100</v>
      </c>
      <c r="S11" s="67">
        <f>SUM(S12:S30)</f>
        <v>22380600</v>
      </c>
      <c r="T11" s="67">
        <f>SUM(T12:T30)</f>
        <v>0</v>
      </c>
      <c r="U11" s="67">
        <f>SUM(U12:U30)</f>
        <v>68915</v>
      </c>
      <c r="V11" s="67">
        <f>SUM(V12:V30)</f>
        <v>67924</v>
      </c>
      <c r="W11" s="28">
        <f t="shared" si="4"/>
        <v>98.561996662555316</v>
      </c>
      <c r="X11" s="67">
        <f>SUM(X12:X30)</f>
        <v>0</v>
      </c>
    </row>
    <row r="12" spans="1:24" s="6" customFormat="1" ht="9.9499999999999993" customHeight="1" x14ac:dyDescent="0.2">
      <c r="A12" s="37" t="s">
        <v>8</v>
      </c>
      <c r="B12" s="831" t="s">
        <v>28</v>
      </c>
      <c r="C12" s="832"/>
      <c r="D12" s="58" t="s">
        <v>25</v>
      </c>
      <c r="E12" s="70">
        <f t="shared" ref="E12:I27" si="6">SUM(J12,O12)</f>
        <v>861193</v>
      </c>
      <c r="F12" s="71">
        <f t="shared" si="6"/>
        <v>935635</v>
      </c>
      <c r="G12" s="71">
        <f t="shared" si="6"/>
        <v>935433</v>
      </c>
      <c r="H12" s="10">
        <f t="shared" si="0"/>
        <v>99.978410384391353</v>
      </c>
      <c r="I12" s="72">
        <f t="shared" si="6"/>
        <v>981273</v>
      </c>
      <c r="J12" s="89">
        <v>861193</v>
      </c>
      <c r="K12" s="90">
        <v>848000</v>
      </c>
      <c r="L12" s="90">
        <v>847805</v>
      </c>
      <c r="M12" s="10">
        <f t="shared" si="2"/>
        <v>99.977004716981128</v>
      </c>
      <c r="N12" s="90">
        <v>898474</v>
      </c>
      <c r="O12" s="92"/>
      <c r="P12" s="90">
        <v>87635</v>
      </c>
      <c r="Q12" s="90">
        <v>87628</v>
      </c>
      <c r="R12" s="10">
        <f t="shared" si="3"/>
        <v>99.992012323843213</v>
      </c>
      <c r="S12" s="90">
        <v>82799</v>
      </c>
      <c r="T12" s="92"/>
      <c r="U12" s="90">
        <v>3658</v>
      </c>
      <c r="V12" s="90">
        <v>3658</v>
      </c>
      <c r="W12" s="10">
        <f t="shared" si="4"/>
        <v>100</v>
      </c>
      <c r="X12" s="94"/>
    </row>
    <row r="13" spans="1:24" s="6" customFormat="1" ht="9.9499999999999993" customHeight="1" x14ac:dyDescent="0.2">
      <c r="A13" s="38" t="s">
        <v>10</v>
      </c>
      <c r="B13" s="815" t="s">
        <v>29</v>
      </c>
      <c r="C13" s="816"/>
      <c r="D13" s="56" t="s">
        <v>25</v>
      </c>
      <c r="E13" s="77">
        <f t="shared" si="6"/>
        <v>1350000</v>
      </c>
      <c r="F13" s="78">
        <f t="shared" si="6"/>
        <v>474400</v>
      </c>
      <c r="G13" s="78">
        <f t="shared" si="6"/>
        <v>406441</v>
      </c>
      <c r="H13" s="11">
        <f t="shared" si="0"/>
        <v>85.674747048903882</v>
      </c>
      <c r="I13" s="79">
        <f t="shared" si="6"/>
        <v>1264138</v>
      </c>
      <c r="J13" s="95">
        <v>1350000</v>
      </c>
      <c r="K13" s="78">
        <v>474400</v>
      </c>
      <c r="L13" s="78">
        <v>406441</v>
      </c>
      <c r="M13" s="11">
        <f t="shared" si="2"/>
        <v>85.674747048903882</v>
      </c>
      <c r="N13" s="78">
        <v>1264138</v>
      </c>
      <c r="O13" s="77"/>
      <c r="P13" s="78"/>
      <c r="Q13" s="78"/>
      <c r="R13" s="11" t="e">
        <f t="shared" si="3"/>
        <v>#DIV/0!</v>
      </c>
      <c r="S13" s="78"/>
      <c r="T13" s="77"/>
      <c r="U13" s="78">
        <v>11600</v>
      </c>
      <c r="V13" s="78">
        <v>10812</v>
      </c>
      <c r="W13" s="11">
        <f t="shared" si="4"/>
        <v>93.206896551724142</v>
      </c>
      <c r="X13" s="81"/>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c r="K14" s="78"/>
      <c r="L14" s="78"/>
      <c r="M14" s="11" t="e">
        <f t="shared" si="2"/>
        <v>#DIV/0!</v>
      </c>
      <c r="N14" s="78"/>
      <c r="O14" s="77"/>
      <c r="P14" s="78"/>
      <c r="Q14" s="78"/>
      <c r="R14" s="11" t="e">
        <f t="shared" si="3"/>
        <v>#DIV/0!</v>
      </c>
      <c r="S14" s="78"/>
      <c r="T14" s="77"/>
      <c r="U14" s="78"/>
      <c r="V14" s="78"/>
      <c r="W14" s="11" t="e">
        <f t="shared" si="4"/>
        <v>#DIV/0!</v>
      </c>
      <c r="X14" s="81"/>
    </row>
    <row r="15" spans="1:24" s="6" customFormat="1" ht="9.9499999999999993" customHeight="1" x14ac:dyDescent="0.2">
      <c r="A15" s="38" t="s">
        <v>12</v>
      </c>
      <c r="B15" s="815" t="s">
        <v>68</v>
      </c>
      <c r="C15" s="816"/>
      <c r="D15" s="56" t="s">
        <v>25</v>
      </c>
      <c r="E15" s="77">
        <f t="shared" si="6"/>
        <v>417000</v>
      </c>
      <c r="F15" s="78">
        <f t="shared" si="6"/>
        <v>790742</v>
      </c>
      <c r="G15" s="78">
        <f t="shared" si="6"/>
        <v>786091</v>
      </c>
      <c r="H15" s="11">
        <f t="shared" si="0"/>
        <v>99.411818266893619</v>
      </c>
      <c r="I15" s="79">
        <f t="shared" si="6"/>
        <v>586432</v>
      </c>
      <c r="J15" s="95">
        <v>417000</v>
      </c>
      <c r="K15" s="78">
        <v>790742</v>
      </c>
      <c r="L15" s="78">
        <v>786091</v>
      </c>
      <c r="M15" s="11">
        <f t="shared" si="2"/>
        <v>99.411818266893619</v>
      </c>
      <c r="N15" s="78">
        <v>586432</v>
      </c>
      <c r="O15" s="77"/>
      <c r="P15" s="78"/>
      <c r="Q15" s="78"/>
      <c r="R15" s="11" t="e">
        <f t="shared" si="3"/>
        <v>#DIV/0!</v>
      </c>
      <c r="S15" s="78"/>
      <c r="T15" s="77"/>
      <c r="U15" s="78">
        <v>51157</v>
      </c>
      <c r="V15" s="78">
        <v>51102</v>
      </c>
      <c r="W15" s="11">
        <f t="shared" si="4"/>
        <v>99.892487831577299</v>
      </c>
      <c r="X15" s="81"/>
    </row>
    <row r="16" spans="1:24" s="6" customFormat="1" ht="9.9499999999999993" customHeight="1" x14ac:dyDescent="0.2">
      <c r="A16" s="38" t="s">
        <v>13</v>
      </c>
      <c r="B16" s="815" t="s">
        <v>30</v>
      </c>
      <c r="C16" s="816"/>
      <c r="D16" s="56" t="s">
        <v>25</v>
      </c>
      <c r="E16" s="77">
        <f t="shared" si="6"/>
        <v>25000</v>
      </c>
      <c r="F16" s="78">
        <f t="shared" si="6"/>
        <v>39000</v>
      </c>
      <c r="G16" s="78">
        <f t="shared" si="6"/>
        <v>38433</v>
      </c>
      <c r="H16" s="11">
        <f t="shared" si="0"/>
        <v>98.546153846153857</v>
      </c>
      <c r="I16" s="79">
        <f t="shared" si="6"/>
        <v>25824</v>
      </c>
      <c r="J16" s="95">
        <v>25000</v>
      </c>
      <c r="K16" s="78">
        <v>39000</v>
      </c>
      <c r="L16" s="78">
        <v>38433</v>
      </c>
      <c r="M16" s="11">
        <f t="shared" si="2"/>
        <v>98.546153846153857</v>
      </c>
      <c r="N16" s="78">
        <v>25824</v>
      </c>
      <c r="O16" s="77"/>
      <c r="P16" s="78"/>
      <c r="Q16" s="78"/>
      <c r="R16" s="11" t="e">
        <f t="shared" si="3"/>
        <v>#DIV/0!</v>
      </c>
      <c r="S16" s="78"/>
      <c r="T16" s="77"/>
      <c r="U16" s="78"/>
      <c r="V16" s="78"/>
      <c r="W16" s="11" t="e">
        <f t="shared" si="4"/>
        <v>#DIV/0!</v>
      </c>
      <c r="X16" s="81"/>
    </row>
    <row r="17" spans="1:24" s="6" customFormat="1" ht="9.9499999999999993" customHeight="1" x14ac:dyDescent="0.2">
      <c r="A17" s="38" t="s">
        <v>14</v>
      </c>
      <c r="B17" s="46" t="s">
        <v>49</v>
      </c>
      <c r="C17" s="47"/>
      <c r="D17" s="56" t="s">
        <v>25</v>
      </c>
      <c r="E17" s="77">
        <f t="shared" si="6"/>
        <v>25000</v>
      </c>
      <c r="F17" s="78">
        <f t="shared" si="6"/>
        <v>26000</v>
      </c>
      <c r="G17" s="78">
        <f t="shared" si="6"/>
        <v>25174</v>
      </c>
      <c r="H17" s="11">
        <f t="shared" si="0"/>
        <v>96.823076923076925</v>
      </c>
      <c r="I17" s="79">
        <f t="shared" si="6"/>
        <v>23899</v>
      </c>
      <c r="J17" s="95">
        <v>25000</v>
      </c>
      <c r="K17" s="78">
        <v>26000</v>
      </c>
      <c r="L17" s="78">
        <v>25174</v>
      </c>
      <c r="M17" s="11">
        <f t="shared" si="2"/>
        <v>96.823076923076925</v>
      </c>
      <c r="N17" s="78">
        <v>23899</v>
      </c>
      <c r="O17" s="77"/>
      <c r="P17" s="78"/>
      <c r="Q17" s="78"/>
      <c r="R17" s="11" t="e">
        <f t="shared" si="3"/>
        <v>#DIV/0!</v>
      </c>
      <c r="S17" s="78"/>
      <c r="T17" s="77"/>
      <c r="U17" s="78"/>
      <c r="V17" s="78"/>
      <c r="W17" s="11" t="e">
        <f t="shared" si="4"/>
        <v>#DIV/0!</v>
      </c>
      <c r="X17" s="81"/>
    </row>
    <row r="18" spans="1:24" s="6" customFormat="1" ht="9.9499999999999993" customHeight="1" x14ac:dyDescent="0.2">
      <c r="A18" s="38" t="s">
        <v>15</v>
      </c>
      <c r="B18" s="815" t="s">
        <v>31</v>
      </c>
      <c r="C18" s="816"/>
      <c r="D18" s="56" t="s">
        <v>25</v>
      </c>
      <c r="E18" s="77">
        <f t="shared" si="6"/>
        <v>950000</v>
      </c>
      <c r="F18" s="78">
        <f t="shared" si="6"/>
        <v>1120000</v>
      </c>
      <c r="G18" s="78">
        <f t="shared" si="6"/>
        <v>1116833</v>
      </c>
      <c r="H18" s="11">
        <f t="shared" si="0"/>
        <v>99.717232142857142</v>
      </c>
      <c r="I18" s="79">
        <f t="shared" si="6"/>
        <v>686723</v>
      </c>
      <c r="J18" s="95">
        <v>950000</v>
      </c>
      <c r="K18" s="78">
        <v>1120000</v>
      </c>
      <c r="L18" s="78">
        <v>1116833</v>
      </c>
      <c r="M18" s="11">
        <f t="shared" si="2"/>
        <v>99.717232142857142</v>
      </c>
      <c r="N18" s="78">
        <v>686723</v>
      </c>
      <c r="O18" s="77"/>
      <c r="P18" s="78"/>
      <c r="Q18" s="78"/>
      <c r="R18" s="11" t="e">
        <f t="shared" si="3"/>
        <v>#DIV/0!</v>
      </c>
      <c r="S18" s="78"/>
      <c r="T18" s="77"/>
      <c r="U18" s="78">
        <v>2500</v>
      </c>
      <c r="V18" s="78">
        <v>2352</v>
      </c>
      <c r="W18" s="11">
        <f t="shared" si="4"/>
        <v>94.08</v>
      </c>
      <c r="X18" s="81"/>
    </row>
    <row r="19" spans="1:24" s="12" customFormat="1" ht="9.9499999999999993" customHeight="1" x14ac:dyDescent="0.2">
      <c r="A19" s="38" t="s">
        <v>16</v>
      </c>
      <c r="B19" s="815" t="s">
        <v>32</v>
      </c>
      <c r="C19" s="816"/>
      <c r="D19" s="56" t="s">
        <v>25</v>
      </c>
      <c r="E19" s="77">
        <f t="shared" si="6"/>
        <v>17207000</v>
      </c>
      <c r="F19" s="78">
        <f t="shared" si="6"/>
        <v>17323567</v>
      </c>
      <c r="G19" s="78">
        <f t="shared" si="6"/>
        <v>17323567</v>
      </c>
      <c r="H19" s="11">
        <f t="shared" si="0"/>
        <v>100</v>
      </c>
      <c r="I19" s="79">
        <f t="shared" si="6"/>
        <v>16540992</v>
      </c>
      <c r="J19" s="96"/>
      <c r="K19" s="78">
        <v>40000</v>
      </c>
      <c r="L19" s="78">
        <v>40000</v>
      </c>
      <c r="M19" s="11">
        <f t="shared" si="2"/>
        <v>100</v>
      </c>
      <c r="N19" s="78"/>
      <c r="O19" s="77">
        <v>17207000</v>
      </c>
      <c r="P19" s="78">
        <v>17283567</v>
      </c>
      <c r="Q19" s="78">
        <v>17283567</v>
      </c>
      <c r="R19" s="11">
        <f t="shared" si="3"/>
        <v>100</v>
      </c>
      <c r="S19" s="78">
        <v>16540992</v>
      </c>
      <c r="T19" s="119"/>
      <c r="U19" s="97"/>
      <c r="V19" s="97"/>
      <c r="W19" s="11" t="e">
        <f t="shared" si="4"/>
        <v>#DIV/0!</v>
      </c>
      <c r="X19" s="123"/>
    </row>
    <row r="20" spans="1:24" s="6" customFormat="1" ht="9.9499999999999993" customHeight="1" x14ac:dyDescent="0.2">
      <c r="A20" s="38" t="s">
        <v>17</v>
      </c>
      <c r="B20" s="815" t="s">
        <v>50</v>
      </c>
      <c r="C20" s="816"/>
      <c r="D20" s="56" t="s">
        <v>25</v>
      </c>
      <c r="E20" s="77">
        <f t="shared" si="6"/>
        <v>5956930</v>
      </c>
      <c r="F20" s="78">
        <f t="shared" si="6"/>
        <v>5910677</v>
      </c>
      <c r="G20" s="78">
        <f t="shared" si="6"/>
        <v>5910684</v>
      </c>
      <c r="H20" s="11">
        <f t="shared" si="0"/>
        <v>100.0001184297501</v>
      </c>
      <c r="I20" s="79">
        <f t="shared" si="6"/>
        <v>5592434</v>
      </c>
      <c r="J20" s="95"/>
      <c r="K20" s="78">
        <v>13600</v>
      </c>
      <c r="L20" s="78">
        <v>13600</v>
      </c>
      <c r="M20" s="11">
        <f t="shared" si="2"/>
        <v>100</v>
      </c>
      <c r="N20" s="78"/>
      <c r="O20" s="77">
        <v>5956930</v>
      </c>
      <c r="P20" s="78">
        <v>5897077</v>
      </c>
      <c r="Q20" s="78">
        <v>5897084</v>
      </c>
      <c r="R20" s="11">
        <f t="shared" si="3"/>
        <v>100.00011870287602</v>
      </c>
      <c r="S20" s="78">
        <v>5592434</v>
      </c>
      <c r="T20" s="77"/>
      <c r="U20" s="78"/>
      <c r="V20" s="78"/>
      <c r="W20" s="11" t="e">
        <f t="shared" si="4"/>
        <v>#DIV/0!</v>
      </c>
      <c r="X20" s="81"/>
    </row>
    <row r="21" spans="1:24" s="6" customFormat="1" ht="9.75" customHeight="1" x14ac:dyDescent="0.2">
      <c r="A21" s="38" t="s">
        <v>18</v>
      </c>
      <c r="B21" s="815" t="s">
        <v>51</v>
      </c>
      <c r="C21" s="816"/>
      <c r="D21" s="56" t="s">
        <v>25</v>
      </c>
      <c r="E21" s="77">
        <f t="shared" si="6"/>
        <v>185870</v>
      </c>
      <c r="F21" s="78">
        <f t="shared" si="6"/>
        <v>194227</v>
      </c>
      <c r="G21" s="78">
        <f t="shared" si="6"/>
        <v>193371</v>
      </c>
      <c r="H21" s="11">
        <f t="shared" si="0"/>
        <v>99.559278576099103</v>
      </c>
      <c r="I21" s="79">
        <f t="shared" si="6"/>
        <v>175463</v>
      </c>
      <c r="J21" s="95">
        <v>15000</v>
      </c>
      <c r="K21" s="78">
        <v>22000</v>
      </c>
      <c r="L21" s="78">
        <v>21144</v>
      </c>
      <c r="M21" s="11">
        <f t="shared" si="2"/>
        <v>96.109090909090909</v>
      </c>
      <c r="N21" s="78">
        <v>11088</v>
      </c>
      <c r="O21" s="77">
        <v>170870</v>
      </c>
      <c r="P21" s="78">
        <v>172227</v>
      </c>
      <c r="Q21" s="78">
        <v>172227</v>
      </c>
      <c r="R21" s="11">
        <f t="shared" si="3"/>
        <v>100</v>
      </c>
      <c r="S21" s="78">
        <v>164375</v>
      </c>
      <c r="T21" s="77"/>
      <c r="U21" s="78"/>
      <c r="V21" s="78"/>
      <c r="W21" s="11" t="e">
        <f t="shared" si="4"/>
        <v>#DIV/0!</v>
      </c>
      <c r="X21" s="81"/>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c r="K22" s="78"/>
      <c r="L22" s="78"/>
      <c r="M22" s="11" t="e">
        <f t="shared" si="2"/>
        <v>#DIV/0!</v>
      </c>
      <c r="N22" s="78"/>
      <c r="O22" s="77"/>
      <c r="P22" s="78"/>
      <c r="Q22" s="78"/>
      <c r="R22" s="11" t="e">
        <f t="shared" si="3"/>
        <v>#DIV/0!</v>
      </c>
      <c r="S22" s="78"/>
      <c r="T22" s="77"/>
      <c r="U22" s="78"/>
      <c r="V22" s="78"/>
      <c r="W22" s="11" t="e">
        <f t="shared" si="4"/>
        <v>#DIV/0!</v>
      </c>
      <c r="X22" s="81"/>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0</v>
      </c>
      <c r="J23" s="95"/>
      <c r="K23" s="78"/>
      <c r="L23" s="78"/>
      <c r="M23" s="11" t="e">
        <f t="shared" si="2"/>
        <v>#DIV/0!</v>
      </c>
      <c r="N23" s="78"/>
      <c r="O23" s="77"/>
      <c r="P23" s="78"/>
      <c r="Q23" s="78"/>
      <c r="R23" s="11" t="e">
        <f t="shared" si="3"/>
        <v>#DIV/0!</v>
      </c>
      <c r="S23" s="78"/>
      <c r="T23" s="77"/>
      <c r="U23" s="78"/>
      <c r="V23" s="78"/>
      <c r="W23" s="11"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8"/>
      <c r="O24" s="77"/>
      <c r="P24" s="78"/>
      <c r="Q24" s="78"/>
      <c r="R24" s="11" t="e">
        <f t="shared" si="3"/>
        <v>#DIV/0!</v>
      </c>
      <c r="S24" s="78"/>
      <c r="T24" s="77"/>
      <c r="U24" s="78"/>
      <c r="V24" s="78"/>
      <c r="W24" s="11" t="e">
        <f t="shared" si="4"/>
        <v>#DIV/0!</v>
      </c>
      <c r="X24" s="81"/>
    </row>
    <row r="25" spans="1:24" s="6" customFormat="1" ht="9.9499999999999993" customHeight="1" x14ac:dyDescent="0.2">
      <c r="A25" s="39" t="s">
        <v>22</v>
      </c>
      <c r="B25" s="48" t="s">
        <v>71</v>
      </c>
      <c r="C25" s="49"/>
      <c r="D25" s="56" t="s">
        <v>25</v>
      </c>
      <c r="E25" s="77">
        <f t="shared" si="6"/>
        <v>0</v>
      </c>
      <c r="F25" s="78">
        <f t="shared" si="6"/>
        <v>0</v>
      </c>
      <c r="G25" s="78">
        <f t="shared" si="6"/>
        <v>0</v>
      </c>
      <c r="H25" s="11" t="e">
        <f t="shared" si="0"/>
        <v>#DIV/0!</v>
      </c>
      <c r="I25" s="79">
        <f t="shared" si="6"/>
        <v>0</v>
      </c>
      <c r="J25" s="95"/>
      <c r="K25" s="98"/>
      <c r="L25" s="98"/>
      <c r="M25" s="11" t="e">
        <f t="shared" si="2"/>
        <v>#DIV/0!</v>
      </c>
      <c r="N25" s="98"/>
      <c r="O25" s="100"/>
      <c r="P25" s="98"/>
      <c r="Q25" s="98"/>
      <c r="R25" s="11" t="e">
        <f t="shared" si="3"/>
        <v>#DIV/0!</v>
      </c>
      <c r="S25" s="98"/>
      <c r="T25" s="100"/>
      <c r="U25" s="98"/>
      <c r="V25" s="98"/>
      <c r="W25" s="11" t="e">
        <f t="shared" si="4"/>
        <v>#DIV/0!</v>
      </c>
      <c r="X25" s="124"/>
    </row>
    <row r="26" spans="1:24" s="14" customFormat="1" ht="9.9499999999999993" customHeight="1" x14ac:dyDescent="0.2">
      <c r="A26" s="38" t="s">
        <v>23</v>
      </c>
      <c r="B26" s="815" t="s">
        <v>72</v>
      </c>
      <c r="C26" s="816"/>
      <c r="D26" s="56" t="s">
        <v>25</v>
      </c>
      <c r="E26" s="77">
        <f t="shared" si="6"/>
        <v>344288</v>
      </c>
      <c r="F26" s="78">
        <f t="shared" si="6"/>
        <v>344288</v>
      </c>
      <c r="G26" s="78">
        <f t="shared" si="6"/>
        <v>332067</v>
      </c>
      <c r="H26" s="11">
        <f t="shared" si="0"/>
        <v>96.45035551631193</v>
      </c>
      <c r="I26" s="79">
        <f t="shared" si="6"/>
        <v>375619</v>
      </c>
      <c r="J26" s="95">
        <v>344288</v>
      </c>
      <c r="K26" s="103">
        <v>344288</v>
      </c>
      <c r="L26" s="103">
        <v>332067</v>
      </c>
      <c r="M26" s="11">
        <f t="shared" si="2"/>
        <v>96.45035551631193</v>
      </c>
      <c r="N26" s="103">
        <v>375619</v>
      </c>
      <c r="O26" s="102"/>
      <c r="P26" s="103"/>
      <c r="Q26" s="103"/>
      <c r="R26" s="11" t="e">
        <f t="shared" si="3"/>
        <v>#DIV/0!</v>
      </c>
      <c r="S26" s="103"/>
      <c r="T26" s="120"/>
      <c r="U26" s="105"/>
      <c r="V26" s="105"/>
      <c r="W26" s="11" t="e">
        <f t="shared" si="4"/>
        <v>#DIV/0!</v>
      </c>
      <c r="X26" s="125"/>
    </row>
    <row r="27" spans="1:24" s="16" customFormat="1" ht="9.9499999999999993" customHeight="1" x14ac:dyDescent="0.2">
      <c r="A27" s="38" t="s">
        <v>45</v>
      </c>
      <c r="B27" s="46" t="s">
        <v>73</v>
      </c>
      <c r="C27" s="47"/>
      <c r="D27" s="56" t="s">
        <v>25</v>
      </c>
      <c r="E27" s="77">
        <f t="shared" si="6"/>
        <v>552000</v>
      </c>
      <c r="F27" s="78">
        <f t="shared" si="6"/>
        <v>1565000</v>
      </c>
      <c r="G27" s="78">
        <f t="shared" si="6"/>
        <v>1564203</v>
      </c>
      <c r="H27" s="11">
        <f t="shared" si="0"/>
        <v>99.949073482428119</v>
      </c>
      <c r="I27" s="79">
        <f t="shared" si="6"/>
        <v>784367</v>
      </c>
      <c r="J27" s="95">
        <v>552000</v>
      </c>
      <c r="K27" s="103">
        <v>1565000</v>
      </c>
      <c r="L27" s="103">
        <v>1564203</v>
      </c>
      <c r="M27" s="11">
        <f t="shared" si="2"/>
        <v>99.949073482428119</v>
      </c>
      <c r="N27" s="103">
        <v>784367</v>
      </c>
      <c r="O27" s="102"/>
      <c r="P27" s="103"/>
      <c r="Q27" s="103"/>
      <c r="R27" s="11" t="e">
        <f t="shared" si="3"/>
        <v>#DIV/0!</v>
      </c>
      <c r="S27" s="103"/>
      <c r="T27" s="120"/>
      <c r="U27" s="105"/>
      <c r="V27" s="105"/>
      <c r="W27" s="11" t="e">
        <f t="shared" si="4"/>
        <v>#DIV/0!</v>
      </c>
      <c r="X27" s="125"/>
    </row>
    <row r="28" spans="1:24" s="14" customFormat="1" ht="9.9499999999999993" customHeight="1" x14ac:dyDescent="0.2">
      <c r="A28" s="38" t="s">
        <v>53</v>
      </c>
      <c r="B28" s="815" t="s">
        <v>74</v>
      </c>
      <c r="C28" s="816"/>
      <c r="D28" s="56" t="s">
        <v>25</v>
      </c>
      <c r="E28" s="77">
        <f t="shared" ref="E28:G30" si="7">SUM(J28,O28)</f>
        <v>186846</v>
      </c>
      <c r="F28" s="78">
        <f t="shared" si="7"/>
        <v>157000</v>
      </c>
      <c r="G28" s="78">
        <f t="shared" si="7"/>
        <v>156387</v>
      </c>
      <c r="H28" s="11">
        <f t="shared" si="0"/>
        <v>99.609554140127386</v>
      </c>
      <c r="I28" s="79">
        <f>SUM(N28,S28)</f>
        <v>231771</v>
      </c>
      <c r="J28" s="95">
        <v>186846</v>
      </c>
      <c r="K28" s="103">
        <v>157000</v>
      </c>
      <c r="L28" s="103">
        <v>156387</v>
      </c>
      <c r="M28" s="11">
        <f t="shared" si="2"/>
        <v>99.609554140127386</v>
      </c>
      <c r="N28" s="103">
        <v>231771</v>
      </c>
      <c r="O28" s="102"/>
      <c r="P28" s="103"/>
      <c r="Q28" s="103"/>
      <c r="R28" s="11" t="e">
        <f t="shared" si="3"/>
        <v>#DIV/0!</v>
      </c>
      <c r="S28" s="103"/>
      <c r="T28" s="120"/>
      <c r="U28" s="105"/>
      <c r="V28" s="105"/>
      <c r="W28" s="11" t="e">
        <f t="shared" si="4"/>
        <v>#DIV/0!</v>
      </c>
      <c r="X28" s="125"/>
    </row>
    <row r="29" spans="1:24" s="6" customFormat="1" ht="9.75" x14ac:dyDescent="0.2">
      <c r="A29" s="38" t="s">
        <v>54</v>
      </c>
      <c r="B29" s="46" t="s">
        <v>55</v>
      </c>
      <c r="C29" s="47"/>
      <c r="D29" s="56" t="s">
        <v>25</v>
      </c>
      <c r="E29" s="77">
        <f t="shared" si="7"/>
        <v>0</v>
      </c>
      <c r="F29" s="78">
        <f t="shared" si="7"/>
        <v>0</v>
      </c>
      <c r="G29" s="78">
        <f t="shared" si="7"/>
        <v>0</v>
      </c>
      <c r="H29" s="11" t="e">
        <f t="shared" si="0"/>
        <v>#DIV/0!</v>
      </c>
      <c r="I29" s="79">
        <f>SUM(N29,S29)</f>
        <v>0</v>
      </c>
      <c r="J29" s="95"/>
      <c r="K29" s="103"/>
      <c r="L29" s="103"/>
      <c r="M29" s="11" t="e">
        <f t="shared" si="2"/>
        <v>#DIV/0!</v>
      </c>
      <c r="N29" s="103"/>
      <c r="O29" s="102"/>
      <c r="P29" s="103"/>
      <c r="Q29" s="103"/>
      <c r="R29" s="11" t="e">
        <f t="shared" si="3"/>
        <v>#DIV/0!</v>
      </c>
      <c r="S29" s="103"/>
      <c r="T29" s="120"/>
      <c r="U29" s="105"/>
      <c r="V29" s="105"/>
      <c r="W29" s="11" t="e">
        <f t="shared" si="4"/>
        <v>#DIV/0!</v>
      </c>
      <c r="X29" s="125"/>
    </row>
    <row r="30" spans="1:24" s="27" customFormat="1" ht="9.75" x14ac:dyDescent="0.2">
      <c r="A30" s="40" t="s">
        <v>56</v>
      </c>
      <c r="B30" s="44" t="s">
        <v>75</v>
      </c>
      <c r="C30" s="50"/>
      <c r="D30" s="59" t="s">
        <v>25</v>
      </c>
      <c r="E30" s="82">
        <f t="shared" si="7"/>
        <v>0</v>
      </c>
      <c r="F30" s="83">
        <f t="shared" si="7"/>
        <v>0</v>
      </c>
      <c r="G30" s="83">
        <f t="shared" si="7"/>
        <v>0</v>
      </c>
      <c r="H30" s="31" t="e">
        <f t="shared" si="0"/>
        <v>#DIV/0!</v>
      </c>
      <c r="I30" s="84">
        <f>SUM(N30,S30)</f>
        <v>0</v>
      </c>
      <c r="J30" s="106"/>
      <c r="K30" s="107"/>
      <c r="L30" s="107"/>
      <c r="M30" s="31" t="e">
        <f t="shared" si="2"/>
        <v>#DIV/0!</v>
      </c>
      <c r="N30" s="107"/>
      <c r="O30" s="109"/>
      <c r="P30" s="107"/>
      <c r="Q30" s="107"/>
      <c r="R30" s="31" t="e">
        <f t="shared" si="3"/>
        <v>#DIV/0!</v>
      </c>
      <c r="S30" s="107"/>
      <c r="T30" s="121"/>
      <c r="U30" s="110"/>
      <c r="V30" s="110"/>
      <c r="W30" s="31" t="e">
        <f t="shared" si="4"/>
        <v>#DIV/0!</v>
      </c>
      <c r="X30" s="126"/>
    </row>
    <row r="31" spans="1:24" s="27" customFormat="1" ht="9.75" x14ac:dyDescent="0.2">
      <c r="A31" s="33" t="s">
        <v>57</v>
      </c>
      <c r="B31" s="817" t="s">
        <v>58</v>
      </c>
      <c r="C31" s="818"/>
      <c r="D31" s="22" t="s">
        <v>25</v>
      </c>
      <c r="E31" s="67">
        <f>SUM(E6-E11)</f>
        <v>0</v>
      </c>
      <c r="F31" s="67">
        <f>SUM(F6-F11)</f>
        <v>-6000</v>
      </c>
      <c r="G31" s="67">
        <f>SUM(G6-G11)</f>
        <v>143298</v>
      </c>
      <c r="H31" s="21">
        <f t="shared" si="0"/>
        <v>-2388.2999999999997</v>
      </c>
      <c r="I31" s="68">
        <f>SUM(I6-I11)</f>
        <v>245582</v>
      </c>
      <c r="J31" s="67">
        <f>SUM(J6-J11)</f>
        <v>0</v>
      </c>
      <c r="K31" s="67">
        <f>SUM(K6-K11)</f>
        <v>-6000</v>
      </c>
      <c r="L31" s="67">
        <f>SUM(L6-L11)</f>
        <v>143298</v>
      </c>
      <c r="M31" s="21">
        <f t="shared" si="2"/>
        <v>-2388.2999999999997</v>
      </c>
      <c r="N31" s="67">
        <f>SUM(N6-N11)</f>
        <v>245582</v>
      </c>
      <c r="O31" s="67">
        <f>SUM(O6-O11)</f>
        <v>0</v>
      </c>
      <c r="P31" s="67">
        <f>SUM(P6-P11)</f>
        <v>0</v>
      </c>
      <c r="Q31" s="67">
        <f>SUM(Q6-Q11)</f>
        <v>0</v>
      </c>
      <c r="R31" s="21" t="e">
        <f t="shared" si="3"/>
        <v>#DIV/0!</v>
      </c>
      <c r="S31" s="67">
        <f>SUM(S6-S11)</f>
        <v>0</v>
      </c>
      <c r="T31" s="67">
        <f>SUM(T6-T11)</f>
        <v>0</v>
      </c>
      <c r="U31" s="67">
        <f>SUM(U6-U11)</f>
        <v>6000</v>
      </c>
      <c r="V31" s="67">
        <f>SUM(V6-V11)</f>
        <v>6752</v>
      </c>
      <c r="W31" s="21">
        <f t="shared" si="4"/>
        <v>112.53333333333333</v>
      </c>
      <c r="X31" s="67">
        <f>SUM(X6-X11)</f>
        <v>0</v>
      </c>
    </row>
    <row r="32" spans="1:24" s="27" customFormat="1" ht="9.75" x14ac:dyDescent="0.2">
      <c r="A32" s="41" t="s">
        <v>59</v>
      </c>
      <c r="B32" s="60" t="s">
        <v>76</v>
      </c>
      <c r="C32" s="61"/>
      <c r="D32" s="22" t="s">
        <v>25</v>
      </c>
      <c r="E32" s="130">
        <f>SUM(J32,O32)</f>
        <v>0</v>
      </c>
      <c r="F32" s="131">
        <f>SUM(K32,P32)</f>
        <v>0</v>
      </c>
      <c r="G32" s="131">
        <f>SUM(L32,Q32)</f>
        <v>0</v>
      </c>
      <c r="H32" s="26" t="e">
        <f t="shared" si="0"/>
        <v>#DIV/0!</v>
      </c>
      <c r="I32" s="132">
        <f>SUM(N32,S32)</f>
        <v>0</v>
      </c>
      <c r="J32" s="112"/>
      <c r="K32" s="113"/>
      <c r="L32" s="113"/>
      <c r="M32" s="9" t="e">
        <f t="shared" si="2"/>
        <v>#DIV/0!</v>
      </c>
      <c r="N32" s="113"/>
      <c r="O32" s="115"/>
      <c r="P32" s="113"/>
      <c r="Q32" s="113"/>
      <c r="R32" s="9" t="e">
        <f t="shared" si="3"/>
        <v>#DIV/0!</v>
      </c>
      <c r="S32" s="113"/>
      <c r="T32" s="115"/>
      <c r="U32" s="113"/>
      <c r="V32" s="113"/>
      <c r="W32" s="9" t="e">
        <f t="shared" si="4"/>
        <v>#DIV/0!</v>
      </c>
      <c r="X32" s="116"/>
    </row>
    <row r="33" spans="1:24" s="27" customFormat="1" ht="9.75" x14ac:dyDescent="0.2">
      <c r="A33" s="33" t="s">
        <v>60</v>
      </c>
      <c r="B33" s="24" t="s">
        <v>61</v>
      </c>
      <c r="C33" s="25"/>
      <c r="D33" s="22" t="s">
        <v>25</v>
      </c>
      <c r="E33" s="67">
        <f>E31-E32</f>
        <v>0</v>
      </c>
      <c r="F33" s="67">
        <f>F31-F32</f>
        <v>-6000</v>
      </c>
      <c r="G33" s="67">
        <f>G31-G32</f>
        <v>143298</v>
      </c>
      <c r="H33" s="29">
        <f t="shared" si="0"/>
        <v>-2388.2999999999997</v>
      </c>
      <c r="I33" s="68">
        <f>I31-I32</f>
        <v>245582</v>
      </c>
      <c r="J33" s="67">
        <f>J31-J32</f>
        <v>0</v>
      </c>
      <c r="K33" s="67">
        <f>K31-K32</f>
        <v>-6000</v>
      </c>
      <c r="L33" s="67">
        <f>L31-L32</f>
        <v>143298</v>
      </c>
      <c r="M33" s="21">
        <f t="shared" si="2"/>
        <v>-2388.2999999999997</v>
      </c>
      <c r="N33" s="67">
        <f>N31-N32</f>
        <v>245582</v>
      </c>
      <c r="O33" s="67">
        <f>O31-O32</f>
        <v>0</v>
      </c>
      <c r="P33" s="67">
        <f>P31-P32</f>
        <v>0</v>
      </c>
      <c r="Q33" s="67">
        <f>Q31-Q32</f>
        <v>0</v>
      </c>
      <c r="R33" s="21" t="e">
        <f t="shared" si="3"/>
        <v>#DIV/0!</v>
      </c>
      <c r="S33" s="67">
        <f>S31-S32</f>
        <v>0</v>
      </c>
      <c r="T33" s="67">
        <f>T31-T32</f>
        <v>0</v>
      </c>
      <c r="U33" s="67">
        <f>U31-U32</f>
        <v>6000</v>
      </c>
      <c r="V33" s="67">
        <f>V31-V32</f>
        <v>6752</v>
      </c>
      <c r="W33" s="21">
        <f t="shared" si="4"/>
        <v>112.53333333333333</v>
      </c>
      <c r="X33" s="67">
        <f>X31-X32</f>
        <v>0</v>
      </c>
    </row>
    <row r="34" spans="1:24" s="136" customFormat="1" ht="9" x14ac:dyDescent="0.2">
      <c r="A34" s="42" t="s">
        <v>62</v>
      </c>
      <c r="B34" s="813" t="s">
        <v>24</v>
      </c>
      <c r="C34" s="814"/>
      <c r="D34" s="62" t="s">
        <v>25</v>
      </c>
      <c r="E34" s="144">
        <v>28000</v>
      </c>
      <c r="F34" s="145">
        <v>28840</v>
      </c>
      <c r="G34" s="145">
        <v>28840</v>
      </c>
      <c r="H34" s="13">
        <f t="shared" si="0"/>
        <v>100</v>
      </c>
      <c r="I34" s="145">
        <v>28459</v>
      </c>
      <c r="J34" s="804"/>
      <c r="K34" s="805"/>
      <c r="L34" s="805"/>
      <c r="M34" s="805"/>
      <c r="N34" s="805"/>
      <c r="O34" s="805"/>
      <c r="P34" s="805"/>
      <c r="Q34" s="805"/>
      <c r="R34" s="805"/>
      <c r="S34" s="805"/>
      <c r="T34" s="805"/>
      <c r="U34" s="805"/>
      <c r="V34" s="805"/>
      <c r="W34" s="805"/>
      <c r="X34" s="806"/>
    </row>
    <row r="35" spans="1:24" s="136" customFormat="1" ht="9" x14ac:dyDescent="0.2">
      <c r="A35" s="32" t="s">
        <v>63</v>
      </c>
      <c r="B35" s="797" t="s">
        <v>33</v>
      </c>
      <c r="C35" s="798"/>
      <c r="D35" s="63" t="s">
        <v>26</v>
      </c>
      <c r="E35" s="147">
        <v>46</v>
      </c>
      <c r="F35" s="148">
        <v>47</v>
      </c>
      <c r="G35" s="148">
        <v>47</v>
      </c>
      <c r="H35" s="15">
        <f t="shared" si="0"/>
        <v>100</v>
      </c>
      <c r="I35" s="148">
        <v>45</v>
      </c>
      <c r="J35" s="804"/>
      <c r="K35" s="805"/>
      <c r="L35" s="805"/>
      <c r="M35" s="805"/>
      <c r="N35" s="805"/>
      <c r="O35" s="805"/>
      <c r="P35" s="805"/>
      <c r="Q35" s="805"/>
      <c r="R35" s="805"/>
      <c r="S35" s="805"/>
      <c r="T35" s="805"/>
      <c r="U35" s="805"/>
      <c r="V35" s="805"/>
      <c r="W35" s="805"/>
      <c r="X35" s="806"/>
    </row>
    <row r="36" spans="1:24" s="136" customFormat="1" ht="9" x14ac:dyDescent="0.2">
      <c r="A36" s="43" t="s">
        <v>64</v>
      </c>
      <c r="B36" s="799" t="s">
        <v>27</v>
      </c>
      <c r="C36" s="800"/>
      <c r="D36" s="64" t="s">
        <v>26</v>
      </c>
      <c r="E36" s="140">
        <v>49</v>
      </c>
      <c r="F36" s="141">
        <v>50</v>
      </c>
      <c r="G36" s="141">
        <v>50</v>
      </c>
      <c r="H36" s="17">
        <f t="shared" si="0"/>
        <v>100</v>
      </c>
      <c r="I36" s="141">
        <v>47</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117"/>
      <c r="K37" s="118"/>
      <c r="L37" s="118"/>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0"/>
  <sheetViews>
    <sheetView tabSelected="1" zoomScaleNormal="100" workbookViewId="0"/>
  </sheetViews>
  <sheetFormatPr defaultRowHeight="12.75" x14ac:dyDescent="0.2"/>
  <cols>
    <col min="1" max="1" width="58" style="66" customWidth="1"/>
    <col min="2" max="2" width="33.5" style="66" customWidth="1"/>
    <col min="3" max="5" width="25.75" style="66" customWidth="1"/>
    <col min="6" max="6" width="22.75" style="66" customWidth="1"/>
    <col min="7" max="9" width="10" style="66"/>
  </cols>
  <sheetData>
    <row r="1" spans="1:9" ht="18.75" x14ac:dyDescent="0.3">
      <c r="A1" s="65" t="s">
        <v>105</v>
      </c>
      <c r="B1" s="65"/>
      <c r="C1" s="65"/>
      <c r="D1" s="65"/>
      <c r="E1" s="65"/>
      <c r="F1" s="65"/>
      <c r="G1" s="65"/>
      <c r="H1" s="65"/>
      <c r="I1" s="65"/>
    </row>
    <row r="2" spans="1:9" ht="11.25" customHeight="1" x14ac:dyDescent="0.3">
      <c r="A2" s="65"/>
      <c r="B2" s="65"/>
      <c r="C2" s="65"/>
      <c r="D2" s="65"/>
      <c r="E2" s="65"/>
      <c r="F2" s="65"/>
      <c r="G2" s="65"/>
      <c r="H2" s="65"/>
      <c r="I2" s="65"/>
    </row>
    <row r="3" spans="1:9" s="217" customFormat="1" ht="10.5" x14ac:dyDescent="0.15">
      <c r="A3" s="852" t="s">
        <v>133</v>
      </c>
      <c r="B3" s="852"/>
      <c r="C3" s="852"/>
      <c r="D3" s="852"/>
      <c r="E3" s="852"/>
      <c r="F3" s="852"/>
      <c r="G3" s="852"/>
      <c r="H3" s="852"/>
      <c r="I3" s="852"/>
    </row>
    <row r="4" spans="1:9" s="218" customFormat="1" ht="11.25" x14ac:dyDescent="0.2"/>
    <row r="5" spans="1:9" s="219" customFormat="1" ht="9.75" x14ac:dyDescent="0.2">
      <c r="A5" s="870" t="s">
        <v>77</v>
      </c>
      <c r="B5" s="871"/>
      <c r="C5" s="685" t="s">
        <v>25</v>
      </c>
      <c r="D5" s="847" t="s">
        <v>112</v>
      </c>
      <c r="E5" s="847"/>
      <c r="F5" s="847"/>
      <c r="G5" s="847"/>
      <c r="H5" s="847"/>
      <c r="I5" s="847"/>
    </row>
    <row r="6" spans="1:9" s="218" customFormat="1" ht="15" customHeight="1" x14ac:dyDescent="0.2">
      <c r="A6" s="872" t="s">
        <v>134</v>
      </c>
      <c r="B6" s="872"/>
      <c r="C6" s="226">
        <f>SUM(C7:C9)</f>
        <v>73062.37</v>
      </c>
      <c r="D6" s="876"/>
      <c r="E6" s="877"/>
      <c r="F6" s="877"/>
      <c r="G6" s="877"/>
      <c r="H6" s="877"/>
      <c r="I6" s="877"/>
    </row>
    <row r="7" spans="1:9" s="218" customFormat="1" ht="60.75" customHeight="1" x14ac:dyDescent="0.2">
      <c r="A7" s="873" t="s">
        <v>78</v>
      </c>
      <c r="B7" s="874"/>
      <c r="C7" s="245">
        <v>0</v>
      </c>
      <c r="D7" s="875" t="s">
        <v>773</v>
      </c>
      <c r="E7" s="875"/>
      <c r="F7" s="875"/>
      <c r="G7" s="875"/>
      <c r="H7" s="875"/>
      <c r="I7" s="875"/>
    </row>
    <row r="8" spans="1:9" s="217" customFormat="1" ht="14.25" customHeight="1" x14ac:dyDescent="0.15">
      <c r="A8" s="863" t="s">
        <v>113</v>
      </c>
      <c r="B8" s="864"/>
      <c r="C8" s="261">
        <v>73062.37</v>
      </c>
      <c r="D8" s="875" t="s">
        <v>755</v>
      </c>
      <c r="E8" s="875"/>
      <c r="F8" s="875"/>
      <c r="G8" s="875"/>
      <c r="H8" s="875"/>
      <c r="I8" s="875"/>
    </row>
    <row r="9" spans="1:9" s="217" customFormat="1" ht="15" customHeight="1" x14ac:dyDescent="0.15">
      <c r="A9" s="863" t="s">
        <v>114</v>
      </c>
      <c r="B9" s="864"/>
      <c r="C9" s="261">
        <v>0</v>
      </c>
      <c r="D9" s="921"/>
      <c r="E9" s="922"/>
      <c r="F9" s="922"/>
      <c r="G9" s="922"/>
      <c r="H9" s="922"/>
      <c r="I9" s="923"/>
    </row>
    <row r="10" spans="1:9" s="218" customFormat="1" ht="11.25" x14ac:dyDescent="0.2">
      <c r="C10" s="220"/>
    </row>
    <row r="11" spans="1:9" s="218" customFormat="1" ht="11.25" x14ac:dyDescent="0.2">
      <c r="A11" s="852" t="s">
        <v>135</v>
      </c>
      <c r="B11" s="852"/>
      <c r="C11" s="852"/>
      <c r="D11" s="852"/>
      <c r="E11" s="852"/>
      <c r="F11" s="852"/>
      <c r="G11" s="852"/>
      <c r="H11" s="852"/>
      <c r="I11" s="852"/>
    </row>
    <row r="12" spans="1:9" s="218" customFormat="1" ht="11.25" x14ac:dyDescent="0.2">
      <c r="C12" s="220"/>
      <c r="D12" s="231"/>
      <c r="E12" s="231"/>
      <c r="F12" s="231"/>
      <c r="G12" s="231"/>
      <c r="H12" s="231"/>
      <c r="I12" s="231"/>
    </row>
    <row r="13" spans="1:9" s="221" customFormat="1" ht="9.75" x14ac:dyDescent="0.2">
      <c r="A13" s="685" t="s">
        <v>77</v>
      </c>
      <c r="B13" s="685" t="s">
        <v>79</v>
      </c>
      <c r="C13" s="685" t="s">
        <v>25</v>
      </c>
      <c r="D13" s="470"/>
      <c r="E13" s="436"/>
      <c r="F13" s="436"/>
      <c r="G13" s="436"/>
      <c r="H13" s="436"/>
      <c r="I13" s="436"/>
    </row>
    <row r="14" spans="1:9" s="218" customFormat="1" ht="15" customHeight="1" x14ac:dyDescent="0.2">
      <c r="A14" s="222" t="s">
        <v>136</v>
      </c>
      <c r="B14" s="437"/>
      <c r="C14" s="223">
        <v>0</v>
      </c>
      <c r="D14" s="471"/>
      <c r="E14" s="439"/>
      <c r="F14" s="439"/>
      <c r="G14" s="439"/>
      <c r="H14" s="439"/>
      <c r="I14" s="439"/>
    </row>
    <row r="15" spans="1:9" s="218" customFormat="1" ht="15" customHeight="1" x14ac:dyDescent="0.2">
      <c r="A15" s="868" t="s">
        <v>137</v>
      </c>
      <c r="B15" s="263" t="s">
        <v>80</v>
      </c>
      <c r="C15" s="264">
        <v>73062.37</v>
      </c>
      <c r="D15" s="472"/>
      <c r="E15" s="441"/>
      <c r="F15" s="441"/>
      <c r="G15" s="441"/>
      <c r="H15" s="441"/>
      <c r="I15" s="441"/>
    </row>
    <row r="16" spans="1:9" s="218" customFormat="1" ht="15" customHeight="1" x14ac:dyDescent="0.2">
      <c r="A16" s="869"/>
      <c r="B16" s="262" t="s">
        <v>81</v>
      </c>
      <c r="C16" s="473">
        <v>0</v>
      </c>
      <c r="D16" s="554"/>
      <c r="E16" s="443"/>
      <c r="F16" s="443"/>
      <c r="G16" s="443"/>
      <c r="H16" s="443"/>
      <c r="I16" s="443"/>
    </row>
    <row r="17" spans="1:9" s="218" customFormat="1" ht="15" customHeight="1" x14ac:dyDescent="0.2">
      <c r="A17" s="686" t="s">
        <v>134</v>
      </c>
      <c r="B17" s="445"/>
      <c r="C17" s="226">
        <f>SUM(C14:C16)</f>
        <v>73062.37</v>
      </c>
      <c r="D17" s="447"/>
      <c r="E17" s="447"/>
      <c r="F17" s="447"/>
      <c r="G17" s="447"/>
      <c r="H17" s="447"/>
      <c r="I17" s="447"/>
    </row>
    <row r="18" spans="1:9" s="449" customFormat="1" ht="11.25" x14ac:dyDescent="0.2">
      <c r="A18" s="448"/>
      <c r="C18" s="476"/>
      <c r="D18" s="452"/>
      <c r="E18" s="452"/>
      <c r="F18" s="452"/>
      <c r="G18" s="452"/>
      <c r="H18" s="452"/>
      <c r="I18" s="452"/>
    </row>
    <row r="19" spans="1:9" s="218" customFormat="1" ht="11.25" x14ac:dyDescent="0.2">
      <c r="A19" s="852" t="s">
        <v>138</v>
      </c>
      <c r="B19" s="852"/>
      <c r="C19" s="852"/>
      <c r="D19" s="852"/>
      <c r="E19" s="852"/>
      <c r="F19" s="852"/>
      <c r="G19" s="852"/>
      <c r="H19" s="852"/>
      <c r="I19" s="852"/>
    </row>
    <row r="20" spans="1:9" s="218" customFormat="1" ht="11.25" x14ac:dyDescent="0.2">
      <c r="C20" s="220"/>
    </row>
    <row r="21" spans="1:9" s="224" customFormat="1" ht="9.75" x14ac:dyDescent="0.2">
      <c r="A21" s="685" t="s">
        <v>79</v>
      </c>
      <c r="B21" s="685" t="s">
        <v>139</v>
      </c>
      <c r="C21" s="688" t="s">
        <v>140</v>
      </c>
      <c r="D21" s="685" t="s">
        <v>141</v>
      </c>
      <c r="E21" s="685" t="s">
        <v>142</v>
      </c>
      <c r="F21" s="847" t="s">
        <v>115</v>
      </c>
      <c r="G21" s="847"/>
      <c r="H21" s="847"/>
      <c r="I21" s="847"/>
    </row>
    <row r="22" spans="1:9" s="218" customFormat="1" ht="21.75" customHeight="1" x14ac:dyDescent="0.2">
      <c r="A22" s="265" t="s">
        <v>116</v>
      </c>
      <c r="B22" s="266">
        <v>594627.6</v>
      </c>
      <c r="C22" s="266">
        <v>5744</v>
      </c>
      <c r="D22" s="266">
        <v>289373.21000000002</v>
      </c>
      <c r="E22" s="266">
        <f>B22+C22-D22</f>
        <v>310998.38999999996</v>
      </c>
      <c r="F22" s="1177" t="s">
        <v>774</v>
      </c>
      <c r="G22" s="1178"/>
      <c r="H22" s="1178"/>
      <c r="I22" s="1179"/>
    </row>
    <row r="23" spans="1:9" s="218" customFormat="1" ht="21.75" customHeight="1" x14ac:dyDescent="0.2">
      <c r="A23" s="263" t="s">
        <v>143</v>
      </c>
      <c r="B23" s="267">
        <v>170487.06</v>
      </c>
      <c r="C23" s="267">
        <v>325025.09999999998</v>
      </c>
      <c r="D23" s="267">
        <v>0</v>
      </c>
      <c r="E23" s="267">
        <f t="shared" ref="E23:E25" si="0">B23+C23-D23</f>
        <v>495512.16</v>
      </c>
      <c r="F23" s="788" t="s">
        <v>775</v>
      </c>
      <c r="G23" s="757"/>
      <c r="H23" s="757"/>
      <c r="I23" s="758"/>
    </row>
    <row r="24" spans="1:9" s="218" customFormat="1" ht="11.25" customHeight="1" x14ac:dyDescent="0.2">
      <c r="A24" s="263" t="s">
        <v>81</v>
      </c>
      <c r="B24" s="267">
        <v>104934.27</v>
      </c>
      <c r="C24" s="267">
        <v>0</v>
      </c>
      <c r="D24" s="267">
        <v>0</v>
      </c>
      <c r="E24" s="267">
        <f t="shared" si="0"/>
        <v>104934.27</v>
      </c>
      <c r="F24" s="788" t="s">
        <v>756</v>
      </c>
      <c r="G24" s="757"/>
      <c r="H24" s="757"/>
      <c r="I24" s="758"/>
    </row>
    <row r="25" spans="1:9" s="218" customFormat="1" ht="11.25" customHeight="1" x14ac:dyDescent="0.2">
      <c r="A25" s="262" t="s">
        <v>82</v>
      </c>
      <c r="B25" s="268">
        <v>6369.33</v>
      </c>
      <c r="C25" s="268">
        <v>23687</v>
      </c>
      <c r="D25" s="268">
        <v>19566</v>
      </c>
      <c r="E25" s="268">
        <f t="shared" si="0"/>
        <v>10490.330000000002</v>
      </c>
      <c r="F25" s="1176" t="s">
        <v>757</v>
      </c>
      <c r="G25" s="760"/>
      <c r="H25" s="760"/>
      <c r="I25" s="761"/>
    </row>
    <row r="26" spans="1:9" s="217" customFormat="1" ht="11.25" customHeight="1" x14ac:dyDescent="0.15">
      <c r="A26" s="225" t="s">
        <v>34</v>
      </c>
      <c r="B26" s="226">
        <f>SUM(B22:B25)</f>
        <v>876418.25999999989</v>
      </c>
      <c r="C26" s="226">
        <f t="shared" ref="C26:E26" si="1">SUM(C22:C25)</f>
        <v>354456.1</v>
      </c>
      <c r="D26" s="226">
        <f t="shared" si="1"/>
        <v>308939.21000000002</v>
      </c>
      <c r="E26" s="226">
        <f t="shared" si="1"/>
        <v>921935.14999999991</v>
      </c>
      <c r="F26" s="850"/>
      <c r="G26" s="850"/>
      <c r="H26" s="850"/>
      <c r="I26" s="851"/>
    </row>
    <row r="27" spans="1:9" s="218" customFormat="1" ht="11.25" x14ac:dyDescent="0.2">
      <c r="C27" s="220"/>
    </row>
    <row r="28" spans="1:9" s="218" customFormat="1" ht="11.25" x14ac:dyDescent="0.2">
      <c r="A28" s="852" t="s">
        <v>144</v>
      </c>
      <c r="B28" s="852"/>
      <c r="C28" s="852"/>
      <c r="D28" s="852"/>
      <c r="E28" s="852"/>
      <c r="F28" s="852"/>
      <c r="G28" s="852"/>
      <c r="H28" s="852"/>
      <c r="I28" s="852"/>
    </row>
    <row r="29" spans="1:9" s="218" customFormat="1" ht="11.25" x14ac:dyDescent="0.2">
      <c r="C29" s="220"/>
    </row>
    <row r="30" spans="1:9" s="218" customFormat="1" ht="11.25" x14ac:dyDescent="0.2">
      <c r="A30" s="685" t="s">
        <v>83</v>
      </c>
      <c r="B30" s="685" t="s">
        <v>25</v>
      </c>
      <c r="C30" s="688" t="s">
        <v>84</v>
      </c>
      <c r="D30" s="847" t="s">
        <v>117</v>
      </c>
      <c r="E30" s="847"/>
      <c r="F30" s="847"/>
      <c r="G30" s="847"/>
      <c r="H30" s="847"/>
      <c r="I30" s="847"/>
    </row>
    <row r="31" spans="1:9" s="218" customFormat="1" ht="15" customHeight="1" x14ac:dyDescent="0.2">
      <c r="A31" s="239"/>
      <c r="B31" s="266">
        <v>0</v>
      </c>
      <c r="C31" s="227"/>
      <c r="D31" s="853"/>
      <c r="E31" s="854"/>
      <c r="F31" s="854"/>
      <c r="G31" s="854"/>
      <c r="H31" s="854"/>
      <c r="I31" s="855"/>
    </row>
    <row r="32" spans="1:9" s="217" customFormat="1" ht="11.25" x14ac:dyDescent="0.2">
      <c r="A32" s="225" t="s">
        <v>34</v>
      </c>
      <c r="B32" s="226">
        <f>SUM(B31:B31)</f>
        <v>0</v>
      </c>
      <c r="C32" s="879"/>
      <c r="D32" s="879"/>
      <c r="E32" s="879"/>
      <c r="F32" s="879"/>
      <c r="G32" s="879"/>
      <c r="H32" s="879"/>
      <c r="I32" s="880"/>
    </row>
    <row r="33" spans="1:9" s="218" customFormat="1" ht="11.25" x14ac:dyDescent="0.2">
      <c r="C33" s="220"/>
    </row>
    <row r="34" spans="1:9" s="218" customFormat="1" ht="11.25" x14ac:dyDescent="0.2">
      <c r="A34" s="852" t="s">
        <v>145</v>
      </c>
      <c r="B34" s="852"/>
      <c r="C34" s="852"/>
      <c r="D34" s="852"/>
      <c r="E34" s="852"/>
      <c r="F34" s="852"/>
      <c r="G34" s="852"/>
      <c r="H34" s="852"/>
      <c r="I34" s="852"/>
    </row>
    <row r="35" spans="1:9" s="218" customFormat="1" ht="11.25" x14ac:dyDescent="0.2">
      <c r="C35" s="220"/>
    </row>
    <row r="36" spans="1:9" s="218" customFormat="1" ht="11.25" x14ac:dyDescent="0.2">
      <c r="A36" s="685" t="s">
        <v>83</v>
      </c>
      <c r="B36" s="685" t="s">
        <v>25</v>
      </c>
      <c r="C36" s="688" t="s">
        <v>84</v>
      </c>
      <c r="D36" s="847" t="s">
        <v>117</v>
      </c>
      <c r="E36" s="847"/>
      <c r="F36" s="847"/>
      <c r="G36" s="847"/>
      <c r="H36" s="847"/>
      <c r="I36" s="881"/>
    </row>
    <row r="37" spans="1:9" s="218" customFormat="1" ht="15" customHeight="1" x14ac:dyDescent="0.2">
      <c r="A37" s="239"/>
      <c r="B37" s="266">
        <v>0</v>
      </c>
      <c r="C37" s="227"/>
      <c r="D37" s="853"/>
      <c r="E37" s="854"/>
      <c r="F37" s="854"/>
      <c r="G37" s="854"/>
      <c r="H37" s="854"/>
      <c r="I37" s="855"/>
    </row>
    <row r="38" spans="1:9" s="217" customFormat="1" ht="10.5" x14ac:dyDescent="0.15">
      <c r="A38" s="225" t="s">
        <v>34</v>
      </c>
      <c r="B38" s="226">
        <f>SUM(B37:B37)</f>
        <v>0</v>
      </c>
      <c r="C38" s="882"/>
      <c r="D38" s="882"/>
      <c r="E38" s="882"/>
      <c r="F38" s="882"/>
      <c r="G38" s="882"/>
      <c r="H38" s="882"/>
      <c r="I38" s="882"/>
    </row>
    <row r="39" spans="1:9" s="218" customFormat="1" ht="11.25" x14ac:dyDescent="0.2">
      <c r="C39" s="220"/>
    </row>
    <row r="40" spans="1:9" s="218" customFormat="1" ht="11.25" x14ac:dyDescent="0.2">
      <c r="A40" s="852" t="s">
        <v>146</v>
      </c>
      <c r="B40" s="852"/>
      <c r="C40" s="852"/>
      <c r="D40" s="852"/>
      <c r="E40" s="852"/>
      <c r="F40" s="852"/>
      <c r="G40" s="852"/>
      <c r="H40" s="852"/>
      <c r="I40" s="852"/>
    </row>
    <row r="41" spans="1:9" s="218" customFormat="1" ht="11.25" x14ac:dyDescent="0.2">
      <c r="C41" s="220"/>
    </row>
    <row r="42" spans="1:9" s="218" customFormat="1" ht="11.25" x14ac:dyDescent="0.2">
      <c r="A42" s="685" t="s">
        <v>25</v>
      </c>
      <c r="B42" s="688" t="s">
        <v>147</v>
      </c>
      <c r="C42" s="861" t="s">
        <v>85</v>
      </c>
      <c r="D42" s="861"/>
      <c r="E42" s="861"/>
      <c r="F42" s="861"/>
      <c r="G42" s="861"/>
      <c r="H42" s="861"/>
      <c r="I42" s="862"/>
    </row>
    <row r="43" spans="1:9" s="218" customFormat="1" ht="11.25" x14ac:dyDescent="0.2">
      <c r="A43" s="228">
        <v>0</v>
      </c>
      <c r="B43" s="228">
        <v>0</v>
      </c>
      <c r="C43" s="1228"/>
      <c r="D43" s="1229"/>
      <c r="E43" s="1229"/>
      <c r="F43" s="1229"/>
      <c r="G43" s="1229"/>
      <c r="H43" s="1229"/>
      <c r="I43" s="1230"/>
    </row>
    <row r="44" spans="1:9" s="217" customFormat="1" ht="10.5" x14ac:dyDescent="0.15">
      <c r="A44" s="226">
        <f>SUM(A43)</f>
        <v>0</v>
      </c>
      <c r="B44" s="226">
        <f>SUM(B43)</f>
        <v>0</v>
      </c>
      <c r="C44" s="859" t="s">
        <v>34</v>
      </c>
      <c r="D44" s="859"/>
      <c r="E44" s="859"/>
      <c r="F44" s="859"/>
      <c r="G44" s="859"/>
      <c r="H44" s="859"/>
      <c r="I44" s="860"/>
    </row>
    <row r="45" spans="1:9" s="218" customFormat="1" ht="11.25" x14ac:dyDescent="0.2">
      <c r="C45" s="220"/>
    </row>
    <row r="46" spans="1:9" s="218" customFormat="1" ht="11.25" x14ac:dyDescent="0.2">
      <c r="A46" s="852" t="s">
        <v>148</v>
      </c>
      <c r="B46" s="852"/>
      <c r="C46" s="852"/>
      <c r="D46" s="852"/>
      <c r="E46" s="852"/>
      <c r="F46" s="852"/>
      <c r="G46" s="852"/>
      <c r="H46" s="852"/>
      <c r="I46" s="852"/>
    </row>
    <row r="47" spans="1:9" s="218" customFormat="1" ht="11.25" x14ac:dyDescent="0.2">
      <c r="C47" s="220"/>
    </row>
    <row r="48" spans="1:9" s="229" customFormat="1" ht="11.25" x14ac:dyDescent="0.2">
      <c r="A48" s="847" t="s">
        <v>86</v>
      </c>
      <c r="B48" s="847"/>
      <c r="C48" s="688" t="s">
        <v>87</v>
      </c>
      <c r="D48" s="685" t="s">
        <v>88</v>
      </c>
      <c r="E48" s="685" t="s">
        <v>25</v>
      </c>
    </row>
    <row r="49" spans="1:5" s="229" customFormat="1" ht="11.25" x14ac:dyDescent="0.2">
      <c r="A49" s="701" t="s">
        <v>758</v>
      </c>
      <c r="B49" s="702"/>
      <c r="C49" s="695"/>
      <c r="D49" s="694"/>
      <c r="E49" s="694"/>
    </row>
    <row r="50" spans="1:5" s="218" customFormat="1" ht="11.25" customHeight="1" x14ac:dyDescent="0.2">
      <c r="A50" s="687" t="s">
        <v>759</v>
      </c>
      <c r="B50" s="687"/>
      <c r="C50" s="269">
        <v>41641</v>
      </c>
      <c r="D50" s="269">
        <v>41641</v>
      </c>
      <c r="E50" s="230">
        <v>5000</v>
      </c>
    </row>
    <row r="51" spans="1:5" s="218" customFormat="1" ht="11.25" x14ac:dyDescent="0.2">
      <c r="A51" s="690" t="s">
        <v>760</v>
      </c>
      <c r="B51" s="690"/>
      <c r="C51" s="269">
        <v>41702</v>
      </c>
      <c r="D51" s="269">
        <v>41715</v>
      </c>
      <c r="E51" s="230">
        <v>312000</v>
      </c>
    </row>
    <row r="52" spans="1:5" s="218" customFormat="1" ht="11.25" x14ac:dyDescent="0.2">
      <c r="A52" s="690" t="s">
        <v>761</v>
      </c>
      <c r="B52" s="690"/>
      <c r="C52" s="269">
        <v>41771</v>
      </c>
      <c r="D52" s="269">
        <v>41780</v>
      </c>
      <c r="E52" s="230">
        <v>20000</v>
      </c>
    </row>
    <row r="53" spans="1:5" s="218" customFormat="1" ht="11.25" x14ac:dyDescent="0.2">
      <c r="A53" s="690" t="s">
        <v>762</v>
      </c>
      <c r="B53" s="690"/>
      <c r="C53" s="269">
        <v>41809</v>
      </c>
      <c r="D53" s="269">
        <v>41809</v>
      </c>
      <c r="E53" s="230">
        <v>30000</v>
      </c>
    </row>
    <row r="54" spans="1:5" s="218" customFormat="1" ht="22.5" x14ac:dyDescent="0.2">
      <c r="A54" s="690" t="s">
        <v>763</v>
      </c>
      <c r="B54" s="690"/>
      <c r="C54" s="269">
        <v>41882</v>
      </c>
      <c r="D54" s="269">
        <v>41882</v>
      </c>
      <c r="E54" s="230">
        <v>225000</v>
      </c>
    </row>
    <row r="55" spans="1:5" s="218" customFormat="1" ht="22.5" x14ac:dyDescent="0.2">
      <c r="A55" s="690" t="s">
        <v>764</v>
      </c>
      <c r="B55" s="690"/>
      <c r="C55" s="269">
        <v>41932</v>
      </c>
      <c r="D55" s="269">
        <v>41932</v>
      </c>
      <c r="E55" s="230">
        <v>540000</v>
      </c>
    </row>
    <row r="56" spans="1:5" s="218" customFormat="1" ht="11.25" x14ac:dyDescent="0.2">
      <c r="A56" s="690" t="s">
        <v>765</v>
      </c>
      <c r="B56" s="690"/>
      <c r="C56" s="269">
        <v>41932</v>
      </c>
      <c r="D56" s="269">
        <v>41932</v>
      </c>
      <c r="E56" s="230">
        <v>1000</v>
      </c>
    </row>
    <row r="57" spans="1:5" s="218" customFormat="1" ht="11.25" x14ac:dyDescent="0.2">
      <c r="A57" s="690" t="s">
        <v>826</v>
      </c>
      <c r="B57" s="690"/>
      <c r="C57" s="269">
        <v>42004</v>
      </c>
      <c r="D57" s="269">
        <v>42004</v>
      </c>
      <c r="E57" s="230">
        <v>185000</v>
      </c>
    </row>
    <row r="58" spans="1:5" s="218" customFormat="1" ht="11.25" x14ac:dyDescent="0.2">
      <c r="A58" s="703" t="s">
        <v>38</v>
      </c>
      <c r="B58" s="690"/>
      <c r="C58" s="269"/>
      <c r="D58" s="269"/>
      <c r="E58" s="230"/>
    </row>
    <row r="59" spans="1:5" s="218" customFormat="1" ht="12.75" customHeight="1" x14ac:dyDescent="0.2">
      <c r="A59" s="704" t="s">
        <v>766</v>
      </c>
      <c r="B59" s="704"/>
      <c r="C59" s="696">
        <v>41771</v>
      </c>
      <c r="D59" s="696">
        <v>41771</v>
      </c>
      <c r="E59" s="697">
        <v>105000</v>
      </c>
    </row>
    <row r="60" spans="1:5" s="218" customFormat="1" ht="25.5" customHeight="1" x14ac:dyDescent="0.2">
      <c r="A60" s="689"/>
      <c r="B60" s="741" t="s">
        <v>767</v>
      </c>
      <c r="C60" s="269"/>
      <c r="D60" s="269"/>
      <c r="E60" s="230">
        <v>104000</v>
      </c>
    </row>
    <row r="61" spans="1:5" s="218" customFormat="1" ht="12" customHeight="1" x14ac:dyDescent="0.2">
      <c r="A61" s="689"/>
      <c r="B61" s="689" t="s">
        <v>768</v>
      </c>
      <c r="C61" s="698"/>
      <c r="D61" s="698"/>
      <c r="E61" s="615">
        <v>1000</v>
      </c>
    </row>
    <row r="62" spans="1:5" s="218" customFormat="1" ht="11.25" x14ac:dyDescent="0.2">
      <c r="A62" s="705" t="s">
        <v>769</v>
      </c>
      <c r="B62" s="705"/>
      <c r="C62" s="699">
        <v>41973</v>
      </c>
      <c r="D62" s="699">
        <v>41973</v>
      </c>
      <c r="E62" s="700">
        <v>80000</v>
      </c>
    </row>
    <row r="63" spans="1:5" s="218" customFormat="1" ht="11.25" x14ac:dyDescent="0.2">
      <c r="A63" s="689"/>
      <c r="B63" s="689" t="s">
        <v>770</v>
      </c>
      <c r="C63" s="698"/>
      <c r="D63" s="698"/>
      <c r="E63" s="615">
        <v>20000</v>
      </c>
    </row>
    <row r="64" spans="1:5" s="218" customFormat="1" ht="11.25" x14ac:dyDescent="0.2">
      <c r="A64" s="689"/>
      <c r="B64" s="689" t="s">
        <v>771</v>
      </c>
      <c r="C64" s="698"/>
      <c r="D64" s="698"/>
      <c r="E64" s="615">
        <v>58000</v>
      </c>
    </row>
    <row r="65" spans="1:9" s="218" customFormat="1" ht="11.25" x14ac:dyDescent="0.2">
      <c r="A65" s="689"/>
      <c r="B65" s="689" t="s">
        <v>772</v>
      </c>
      <c r="C65" s="698"/>
      <c r="D65" s="698"/>
      <c r="E65" s="615">
        <v>2000</v>
      </c>
    </row>
    <row r="66" spans="1:9" s="218" customFormat="1" ht="11.25" x14ac:dyDescent="0.2">
      <c r="A66" s="706"/>
      <c r="B66" s="706"/>
      <c r="C66" s="242"/>
      <c r="D66" s="242"/>
    </row>
    <row r="67" spans="1:9" s="218" customFormat="1" ht="11.25" x14ac:dyDescent="0.2">
      <c r="A67" s="794" t="s">
        <v>152</v>
      </c>
      <c r="B67" s="794"/>
      <c r="C67" s="794"/>
      <c r="D67" s="794"/>
      <c r="E67" s="794"/>
      <c r="F67" s="794"/>
      <c r="G67" s="794"/>
      <c r="H67" s="794"/>
      <c r="I67" s="794"/>
    </row>
    <row r="68" spans="1:9" s="218" customFormat="1" ht="11.25" x14ac:dyDescent="0.2"/>
    <row r="69" spans="1:9" s="218" customFormat="1" ht="11.25" x14ac:dyDescent="0.2">
      <c r="A69" s="884" t="s">
        <v>776</v>
      </c>
      <c r="B69" s="890"/>
      <c r="C69" s="890"/>
      <c r="D69" s="890"/>
      <c r="E69" s="890"/>
      <c r="F69" s="890"/>
      <c r="G69" s="890"/>
      <c r="H69" s="890"/>
      <c r="I69" s="885"/>
    </row>
    <row r="70" spans="1:9" s="218" customFormat="1" ht="11.25" x14ac:dyDescent="0.2">
      <c r="A70" s="884"/>
      <c r="B70" s="890"/>
      <c r="C70" s="890"/>
      <c r="D70" s="890"/>
      <c r="E70" s="890"/>
      <c r="F70" s="890"/>
      <c r="G70" s="890"/>
      <c r="H70" s="890"/>
      <c r="I70" s="885"/>
    </row>
    <row r="71" spans="1:9" s="217" customFormat="1" ht="10.5" x14ac:dyDescent="0.15">
      <c r="A71" s="852" t="s">
        <v>153</v>
      </c>
      <c r="B71" s="852"/>
      <c r="C71" s="852"/>
      <c r="D71" s="852"/>
      <c r="E71" s="852"/>
      <c r="F71" s="852"/>
      <c r="G71" s="852"/>
      <c r="H71" s="852"/>
      <c r="I71" s="852"/>
    </row>
    <row r="72" spans="1:9" s="218" customFormat="1" ht="11.25" x14ac:dyDescent="0.2"/>
    <row r="73" spans="1:9" s="66" customFormat="1" ht="33.75" customHeight="1" x14ac:dyDescent="0.2">
      <c r="A73" s="789" t="s">
        <v>777</v>
      </c>
      <c r="B73" s="790"/>
      <c r="C73" s="790"/>
      <c r="D73" s="790"/>
      <c r="E73" s="790"/>
      <c r="F73" s="790"/>
      <c r="G73" s="790"/>
      <c r="H73" s="790"/>
      <c r="I73" s="791"/>
    </row>
    <row r="74" spans="1:9" s="66" customFormat="1" x14ac:dyDescent="0.2">
      <c r="A74" s="789" t="s">
        <v>121</v>
      </c>
      <c r="B74" s="790"/>
      <c r="C74" s="790"/>
      <c r="D74" s="790"/>
      <c r="E74" s="790"/>
      <c r="F74" s="790"/>
      <c r="G74" s="790"/>
      <c r="H74" s="790"/>
      <c r="I74" s="791"/>
    </row>
    <row r="75" spans="1:9" s="218" customFormat="1" ht="11.25" x14ac:dyDescent="0.2">
      <c r="A75" s="884" t="s">
        <v>778</v>
      </c>
      <c r="B75" s="890"/>
      <c r="C75" s="890"/>
      <c r="D75" s="890"/>
      <c r="E75" s="890"/>
      <c r="F75" s="890"/>
      <c r="G75" s="890"/>
      <c r="H75" s="890"/>
      <c r="I75" s="885"/>
    </row>
    <row r="76" spans="1:9" s="218" customFormat="1" ht="11.25" x14ac:dyDescent="0.2">
      <c r="A76" s="884" t="s">
        <v>779</v>
      </c>
      <c r="B76" s="890"/>
      <c r="C76" s="890"/>
      <c r="D76" s="890"/>
      <c r="E76" s="890"/>
      <c r="F76" s="890"/>
      <c r="G76" s="890"/>
      <c r="H76" s="890"/>
      <c r="I76" s="885"/>
    </row>
    <row r="77" spans="1:9" s="218" customFormat="1" ht="11.25" x14ac:dyDescent="0.2">
      <c r="A77" s="707" t="s">
        <v>780</v>
      </c>
      <c r="B77" s="708"/>
      <c r="C77" s="708"/>
      <c r="D77" s="708"/>
      <c r="E77" s="708"/>
      <c r="F77" s="708"/>
      <c r="G77" s="708"/>
      <c r="H77" s="708"/>
      <c r="I77" s="709"/>
    </row>
    <row r="78" spans="1:9" s="218" customFormat="1" ht="12.75" customHeight="1" x14ac:dyDescent="0.2">
      <c r="A78" s="789" t="s">
        <v>782</v>
      </c>
      <c r="B78" s="790"/>
      <c r="C78" s="790"/>
      <c r="D78" s="790"/>
      <c r="E78" s="790"/>
      <c r="F78" s="790"/>
      <c r="G78" s="790"/>
      <c r="H78" s="790"/>
      <c r="I78" s="791"/>
    </row>
    <row r="79" spans="1:9" x14ac:dyDescent="0.2">
      <c r="A79" s="240"/>
    </row>
    <row r="80" spans="1:9" x14ac:dyDescent="0.2">
      <c r="A80" s="240"/>
    </row>
  </sheetData>
  <mergeCells count="43">
    <mergeCell ref="A73:I73"/>
    <mergeCell ref="A74:I74"/>
    <mergeCell ref="A75:I75"/>
    <mergeCell ref="A76:I76"/>
    <mergeCell ref="A78:I78"/>
    <mergeCell ref="A69:I69"/>
    <mergeCell ref="A70:I70"/>
    <mergeCell ref="A71:I71"/>
    <mergeCell ref="D36:I36"/>
    <mergeCell ref="D37:I37"/>
    <mergeCell ref="C38:I38"/>
    <mergeCell ref="A40:I40"/>
    <mergeCell ref="C42:I42"/>
    <mergeCell ref="C44:I44"/>
    <mergeCell ref="A46:I46"/>
    <mergeCell ref="A48:B48"/>
    <mergeCell ref="A67:I67"/>
    <mergeCell ref="C43:I43"/>
    <mergeCell ref="A11:I11"/>
    <mergeCell ref="A15:A16"/>
    <mergeCell ref="A19:I19"/>
    <mergeCell ref="F24:I24"/>
    <mergeCell ref="F21:I21"/>
    <mergeCell ref="F22:I22"/>
    <mergeCell ref="F23:I23"/>
    <mergeCell ref="A7:B7"/>
    <mergeCell ref="D7:I7"/>
    <mergeCell ref="A8:B8"/>
    <mergeCell ref="D8:I8"/>
    <mergeCell ref="A9:B9"/>
    <mergeCell ref="D9:I9"/>
    <mergeCell ref="A3:I3"/>
    <mergeCell ref="A5:B5"/>
    <mergeCell ref="D5:I5"/>
    <mergeCell ref="A6:B6"/>
    <mergeCell ref="D6:I6"/>
    <mergeCell ref="C32:I32"/>
    <mergeCell ref="A34:I34"/>
    <mergeCell ref="F25:I25"/>
    <mergeCell ref="F26:I26"/>
    <mergeCell ref="A28:I28"/>
    <mergeCell ref="D30:I30"/>
    <mergeCell ref="D31:I31"/>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11"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833" t="s">
        <v>105</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91"/>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99"/>
      <c r="B4" s="892"/>
      <c r="C4" s="893"/>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900"/>
      <c r="B5" s="894"/>
      <c r="C5" s="895"/>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10360000</v>
      </c>
      <c r="F6" s="67">
        <f>SUM(F7:F9)</f>
        <v>10537000</v>
      </c>
      <c r="G6" s="67">
        <f>SUM(G7:G9)</f>
        <v>10196322</v>
      </c>
      <c r="H6" s="28">
        <f t="shared" ref="H6:H30" si="0">G6/F6*100</f>
        <v>96.766840656733407</v>
      </c>
      <c r="I6" s="67">
        <f>SUM(I7:I9)</f>
        <v>10480117</v>
      </c>
      <c r="J6" s="67">
        <f>SUM(J7:J9)</f>
        <v>10360000</v>
      </c>
      <c r="K6" s="67">
        <f t="shared" ref="K6:V6" si="1">SUM(K7:K9)</f>
        <v>10537000</v>
      </c>
      <c r="L6" s="67">
        <f t="shared" si="1"/>
        <v>10196322</v>
      </c>
      <c r="M6" s="28">
        <f t="shared" ref="M6:M33" si="2">L6/K6*100</f>
        <v>96.766840656733407</v>
      </c>
      <c r="N6" s="67">
        <f>SUM(N7:N9)</f>
        <v>10300117</v>
      </c>
      <c r="O6" s="67">
        <f t="shared" si="1"/>
        <v>0</v>
      </c>
      <c r="P6" s="67">
        <f t="shared" si="1"/>
        <v>0</v>
      </c>
      <c r="Q6" s="67">
        <f t="shared" si="1"/>
        <v>0</v>
      </c>
      <c r="R6" s="153" t="e">
        <f t="shared" ref="R6:R11" si="3">Q6/P6*100</f>
        <v>#DIV/0!</v>
      </c>
      <c r="S6" s="67">
        <f>SUM(S7:S9)</f>
        <v>180000</v>
      </c>
      <c r="T6" s="67">
        <f t="shared" si="1"/>
        <v>600000</v>
      </c>
      <c r="U6" s="67">
        <f t="shared" si="1"/>
        <v>680000</v>
      </c>
      <c r="V6" s="67">
        <f t="shared" si="1"/>
        <v>678281</v>
      </c>
      <c r="W6" s="28">
        <f t="shared" ref="W6:W33" si="4">V6/U6*100</f>
        <v>99.747205882352944</v>
      </c>
      <c r="X6" s="67">
        <f>SUM(X7:X9)</f>
        <v>558544</v>
      </c>
    </row>
    <row r="7" spans="1:24" s="6" customFormat="1" ht="9.9499999999999993" customHeight="1" x14ac:dyDescent="0.2">
      <c r="A7" s="34" t="s">
        <v>2</v>
      </c>
      <c r="B7" s="827" t="s">
        <v>47</v>
      </c>
      <c r="C7" s="828"/>
      <c r="D7" s="55" t="s">
        <v>25</v>
      </c>
      <c r="E7" s="70">
        <f t="shared" ref="E7:G10" si="5">SUM(J7,O7)</f>
        <v>5300000</v>
      </c>
      <c r="F7" s="71">
        <f t="shared" si="5"/>
        <v>5367450</v>
      </c>
      <c r="G7" s="71">
        <f t="shared" si="5"/>
        <v>5372319</v>
      </c>
      <c r="H7" s="10">
        <f t="shared" si="0"/>
        <v>100.09071346728892</v>
      </c>
      <c r="I7" s="72">
        <f>SUM(N7,S7)</f>
        <v>5390928</v>
      </c>
      <c r="J7" s="73">
        <v>5300000</v>
      </c>
      <c r="K7" s="74">
        <v>5367450</v>
      </c>
      <c r="L7" s="74">
        <v>5372319</v>
      </c>
      <c r="M7" s="10">
        <f t="shared" si="2"/>
        <v>100.09071346728892</v>
      </c>
      <c r="N7" s="74">
        <v>5390928</v>
      </c>
      <c r="O7" s="76"/>
      <c r="P7" s="74"/>
      <c r="Q7" s="74"/>
      <c r="R7" s="11" t="e">
        <f t="shared" si="3"/>
        <v>#DIV/0!</v>
      </c>
      <c r="S7" s="74"/>
      <c r="T7" s="76">
        <v>600000</v>
      </c>
      <c r="U7" s="74">
        <v>680000</v>
      </c>
      <c r="V7" s="74">
        <v>678281</v>
      </c>
      <c r="W7" s="10">
        <f t="shared" si="4"/>
        <v>99.747205882352944</v>
      </c>
      <c r="X7" s="74">
        <v>558544</v>
      </c>
    </row>
    <row r="8" spans="1:24" s="6" customFormat="1" ht="9.9499999999999993" customHeight="1" x14ac:dyDescent="0.2">
      <c r="A8" s="35" t="s">
        <v>3</v>
      </c>
      <c r="B8" s="829" t="s">
        <v>48</v>
      </c>
      <c r="C8" s="830"/>
      <c r="D8" s="56" t="s">
        <v>25</v>
      </c>
      <c r="E8" s="77">
        <f t="shared" si="5"/>
        <v>9000</v>
      </c>
      <c r="F8" s="78">
        <f t="shared" si="5"/>
        <v>9000</v>
      </c>
      <c r="G8" s="78">
        <f t="shared" si="5"/>
        <v>5794</v>
      </c>
      <c r="H8" s="11">
        <f t="shared" si="0"/>
        <v>64.37777777777778</v>
      </c>
      <c r="I8" s="79">
        <f>SUM(N8,S8)</f>
        <v>10399</v>
      </c>
      <c r="J8" s="80">
        <v>9000</v>
      </c>
      <c r="K8" s="78">
        <v>9000</v>
      </c>
      <c r="L8" s="78">
        <v>5794</v>
      </c>
      <c r="M8" s="11">
        <f t="shared" si="2"/>
        <v>64.37777777777778</v>
      </c>
      <c r="N8" s="78">
        <v>10399</v>
      </c>
      <c r="O8" s="77"/>
      <c r="P8" s="78"/>
      <c r="Q8" s="78"/>
      <c r="R8" s="11" t="e">
        <f t="shared" si="3"/>
        <v>#DIV/0!</v>
      </c>
      <c r="S8" s="78"/>
      <c r="T8" s="77"/>
      <c r="U8" s="78"/>
      <c r="V8" s="78"/>
      <c r="W8" s="11" t="e">
        <f t="shared" si="4"/>
        <v>#DIV/0!</v>
      </c>
      <c r="X8" s="78"/>
    </row>
    <row r="9" spans="1:24" s="6" customFormat="1" ht="9.9499999999999993" customHeight="1" x14ac:dyDescent="0.2">
      <c r="A9" s="36" t="s">
        <v>4</v>
      </c>
      <c r="B9" s="319" t="s">
        <v>66</v>
      </c>
      <c r="C9" s="320"/>
      <c r="D9" s="57" t="s">
        <v>25</v>
      </c>
      <c r="E9" s="154">
        <f t="shared" si="5"/>
        <v>5051000</v>
      </c>
      <c r="F9" s="155">
        <f t="shared" si="5"/>
        <v>5160550</v>
      </c>
      <c r="G9" s="155">
        <f t="shared" si="5"/>
        <v>4818209</v>
      </c>
      <c r="H9" s="156">
        <f t="shared" si="0"/>
        <v>93.36619158810592</v>
      </c>
      <c r="I9" s="157">
        <f>SUM(N9,S9)</f>
        <v>5078790</v>
      </c>
      <c r="J9" s="85">
        <v>5051000</v>
      </c>
      <c r="K9" s="83">
        <v>5160550</v>
      </c>
      <c r="L9" s="83">
        <v>4818209</v>
      </c>
      <c r="M9" s="31">
        <f t="shared" si="2"/>
        <v>93.36619158810592</v>
      </c>
      <c r="N9" s="83">
        <v>4898790</v>
      </c>
      <c r="O9" s="82"/>
      <c r="P9" s="83"/>
      <c r="Q9" s="83"/>
      <c r="R9" s="31" t="e">
        <f t="shared" si="3"/>
        <v>#DIV/0!</v>
      </c>
      <c r="S9" s="83">
        <v>180000</v>
      </c>
      <c r="T9" s="82"/>
      <c r="U9" s="83"/>
      <c r="V9" s="83"/>
      <c r="W9" s="11" t="e">
        <f t="shared" si="4"/>
        <v>#DIV/0!</v>
      </c>
      <c r="X9" s="83"/>
    </row>
    <row r="10" spans="1:24" s="6" customFormat="1" ht="9.9499999999999993" customHeight="1" x14ac:dyDescent="0.2">
      <c r="A10" s="33" t="s">
        <v>5</v>
      </c>
      <c r="B10" s="826" t="s">
        <v>7</v>
      </c>
      <c r="C10" s="826"/>
      <c r="D10" s="23" t="s">
        <v>25</v>
      </c>
      <c r="E10" s="87">
        <f t="shared" si="5"/>
        <v>0</v>
      </c>
      <c r="F10" s="87">
        <f t="shared" si="5"/>
        <v>0</v>
      </c>
      <c r="G10" s="87">
        <f t="shared" si="5"/>
        <v>0</v>
      </c>
      <c r="H10" s="28" t="e">
        <f>G10/F10*100</f>
        <v>#DIV/0!</v>
      </c>
      <c r="I10" s="87">
        <f>SUM(N10,S10)</f>
        <v>0</v>
      </c>
      <c r="J10" s="69"/>
      <c r="K10" s="87"/>
      <c r="L10" s="87"/>
      <c r="M10" s="28" t="e">
        <f t="shared" si="2"/>
        <v>#DIV/0!</v>
      </c>
      <c r="N10" s="87"/>
      <c r="O10" s="87"/>
      <c r="P10" s="87"/>
      <c r="Q10" s="87"/>
      <c r="R10" s="28" t="e">
        <f t="shared" si="3"/>
        <v>#DIV/0!</v>
      </c>
      <c r="S10" s="87"/>
      <c r="T10" s="87"/>
      <c r="U10" s="87"/>
      <c r="V10" s="87"/>
      <c r="W10" s="28" t="e">
        <f t="shared" si="4"/>
        <v>#DIV/0!</v>
      </c>
      <c r="X10" s="87"/>
    </row>
    <row r="11" spans="1:24" s="6" customFormat="1" ht="9.9499999999999993" customHeight="1" x14ac:dyDescent="0.2">
      <c r="A11" s="33" t="s">
        <v>6</v>
      </c>
      <c r="B11" s="826" t="s">
        <v>9</v>
      </c>
      <c r="C11" s="826"/>
      <c r="D11" s="23" t="s">
        <v>25</v>
      </c>
      <c r="E11" s="67">
        <f>SUM(E12:E30)</f>
        <v>10360000</v>
      </c>
      <c r="F11" s="67">
        <f>SUM(F12:F30)</f>
        <v>10537000</v>
      </c>
      <c r="G11" s="67">
        <f>SUM(G12:G30)</f>
        <v>10196322</v>
      </c>
      <c r="H11" s="28">
        <f t="shared" si="0"/>
        <v>96.766840656733407</v>
      </c>
      <c r="I11" s="67">
        <f>SUM(I12:I30)</f>
        <v>10509002</v>
      </c>
      <c r="J11" s="67">
        <f>SUM(J12:J30)</f>
        <v>10360000</v>
      </c>
      <c r="K11" s="67">
        <f>SUM(K12:K30)</f>
        <v>10537000</v>
      </c>
      <c r="L11" s="67">
        <f>SUM(L12:L30)</f>
        <v>10196322</v>
      </c>
      <c r="M11" s="28">
        <f t="shared" si="2"/>
        <v>96.766840656733407</v>
      </c>
      <c r="N11" s="67">
        <f>SUM(N12:N30)</f>
        <v>10284579</v>
      </c>
      <c r="O11" s="67">
        <f>SUM(O12:O30)</f>
        <v>0</v>
      </c>
      <c r="P11" s="67">
        <f>SUM(P12:P30)</f>
        <v>0</v>
      </c>
      <c r="Q11" s="67">
        <f>SUM(Q12:Q30)</f>
        <v>0</v>
      </c>
      <c r="R11" s="28" t="e">
        <f t="shared" si="3"/>
        <v>#DIV/0!</v>
      </c>
      <c r="S11" s="67">
        <f>SUM(S12:S30)</f>
        <v>180000</v>
      </c>
      <c r="T11" s="67">
        <f>SUM(T12:T30)</f>
        <v>450000</v>
      </c>
      <c r="U11" s="67">
        <f>SUM(U12:U30)</f>
        <v>635000</v>
      </c>
      <c r="V11" s="67">
        <f>SUM(V12:V30)</f>
        <v>605219</v>
      </c>
      <c r="W11" s="28">
        <f t="shared" si="4"/>
        <v>95.310078740157479</v>
      </c>
      <c r="X11" s="67">
        <f>SUM(X12:X30)</f>
        <v>554126</v>
      </c>
    </row>
    <row r="12" spans="1:24" s="6" customFormat="1" ht="9.9499999999999993" customHeight="1" x14ac:dyDescent="0.2">
      <c r="A12" s="37" t="s">
        <v>8</v>
      </c>
      <c r="B12" s="831" t="s">
        <v>28</v>
      </c>
      <c r="C12" s="832"/>
      <c r="D12" s="58" t="s">
        <v>25</v>
      </c>
      <c r="E12" s="158">
        <f t="shared" ref="E12:I26" si="6">SUM(J12,O12)</f>
        <v>325000</v>
      </c>
      <c r="F12" s="159">
        <f t="shared" si="6"/>
        <v>325000</v>
      </c>
      <c r="G12" s="159">
        <f t="shared" si="6"/>
        <v>324996</v>
      </c>
      <c r="H12" s="160">
        <f t="shared" si="0"/>
        <v>99.998769230769241</v>
      </c>
      <c r="I12" s="161">
        <f t="shared" si="6"/>
        <v>324305</v>
      </c>
      <c r="J12" s="89">
        <v>325000</v>
      </c>
      <c r="K12" s="90">
        <v>325000</v>
      </c>
      <c r="L12" s="90">
        <v>324996</v>
      </c>
      <c r="M12" s="11">
        <f t="shared" si="2"/>
        <v>99.998769230769241</v>
      </c>
      <c r="N12" s="90">
        <v>324305</v>
      </c>
      <c r="O12" s="92"/>
      <c r="P12" s="90"/>
      <c r="Q12" s="90"/>
      <c r="R12" s="11" t="e">
        <f t="shared" ref="R12:R30" si="7">Q12/P12*100</f>
        <v>#DIV/0!</v>
      </c>
      <c r="S12" s="90"/>
      <c r="T12" s="92">
        <v>25000</v>
      </c>
      <c r="U12" s="90">
        <v>45000</v>
      </c>
      <c r="V12" s="90">
        <v>44034</v>
      </c>
      <c r="W12" s="11">
        <f t="shared" si="4"/>
        <v>97.853333333333339</v>
      </c>
      <c r="X12" s="90">
        <v>52436</v>
      </c>
    </row>
    <row r="13" spans="1:24" s="6" customFormat="1" ht="9.9499999999999993" customHeight="1" x14ac:dyDescent="0.2">
      <c r="A13" s="38" t="s">
        <v>10</v>
      </c>
      <c r="B13" s="815" t="s">
        <v>29</v>
      </c>
      <c r="C13" s="816"/>
      <c r="D13" s="56" t="s">
        <v>25</v>
      </c>
      <c r="E13" s="77">
        <f t="shared" si="6"/>
        <v>1230000</v>
      </c>
      <c r="F13" s="78">
        <f t="shared" si="6"/>
        <v>1230000</v>
      </c>
      <c r="G13" s="78">
        <f t="shared" si="6"/>
        <v>953579</v>
      </c>
      <c r="H13" s="11">
        <f t="shared" si="0"/>
        <v>77.526747967479665</v>
      </c>
      <c r="I13" s="79">
        <f t="shared" si="6"/>
        <v>1269481</v>
      </c>
      <c r="J13" s="95">
        <v>1230000</v>
      </c>
      <c r="K13" s="78">
        <v>1230000</v>
      </c>
      <c r="L13" s="78">
        <v>953579</v>
      </c>
      <c r="M13" s="11">
        <f t="shared" si="2"/>
        <v>77.526747967479665</v>
      </c>
      <c r="N13" s="78">
        <v>1269481</v>
      </c>
      <c r="O13" s="77"/>
      <c r="P13" s="78"/>
      <c r="Q13" s="78"/>
      <c r="R13" s="11" t="e">
        <f t="shared" si="7"/>
        <v>#DIV/0!</v>
      </c>
      <c r="S13" s="78"/>
      <c r="T13" s="77">
        <v>50000</v>
      </c>
      <c r="U13" s="78">
        <v>212000</v>
      </c>
      <c r="V13" s="78">
        <v>211296</v>
      </c>
      <c r="W13" s="11">
        <f t="shared" si="4"/>
        <v>99.667924528301882</v>
      </c>
      <c r="X13" s="78">
        <v>64938</v>
      </c>
    </row>
    <row r="14" spans="1:24" s="6" customFormat="1" ht="9.9499999999999993" customHeight="1" x14ac:dyDescent="0.2">
      <c r="A14" s="38" t="s">
        <v>11</v>
      </c>
      <c r="B14" s="46" t="s">
        <v>67</v>
      </c>
      <c r="C14" s="47"/>
      <c r="D14" s="56" t="s">
        <v>25</v>
      </c>
      <c r="E14" s="77">
        <f>SUM(J14,O14)</f>
        <v>0</v>
      </c>
      <c r="F14" s="78">
        <f>SUM(K14,P14)</f>
        <v>0</v>
      </c>
      <c r="G14" s="78">
        <f>SUM(L14,Q14)</f>
        <v>0</v>
      </c>
      <c r="H14" s="11" t="e">
        <f>G14/F14*100</f>
        <v>#DIV/0!</v>
      </c>
      <c r="I14" s="79">
        <f>SUM(N14,S14)</f>
        <v>0</v>
      </c>
      <c r="J14" s="95"/>
      <c r="K14" s="78"/>
      <c r="L14" s="78"/>
      <c r="M14" s="11" t="e">
        <f t="shared" si="2"/>
        <v>#DIV/0!</v>
      </c>
      <c r="N14" s="78"/>
      <c r="O14" s="77"/>
      <c r="P14" s="78"/>
      <c r="Q14" s="78"/>
      <c r="R14" s="11" t="e">
        <f t="shared" si="7"/>
        <v>#DIV/0!</v>
      </c>
      <c r="S14" s="78"/>
      <c r="T14" s="77"/>
      <c r="U14" s="78"/>
      <c r="V14" s="78"/>
      <c r="W14" s="11" t="e">
        <f t="shared" si="4"/>
        <v>#DIV/0!</v>
      </c>
      <c r="X14" s="78"/>
    </row>
    <row r="15" spans="1:24" s="6" customFormat="1" ht="9.9499999999999993" customHeight="1" x14ac:dyDescent="0.2">
      <c r="A15" s="38" t="s">
        <v>12</v>
      </c>
      <c r="B15" s="815" t="s">
        <v>68</v>
      </c>
      <c r="C15" s="816"/>
      <c r="D15" s="56" t="s">
        <v>25</v>
      </c>
      <c r="E15" s="77">
        <f t="shared" si="6"/>
        <v>45000</v>
      </c>
      <c r="F15" s="78">
        <f t="shared" si="6"/>
        <v>45000</v>
      </c>
      <c r="G15" s="78">
        <f t="shared" si="6"/>
        <v>43990</v>
      </c>
      <c r="H15" s="11">
        <f t="shared" si="0"/>
        <v>97.755555555555546</v>
      </c>
      <c r="I15" s="79">
        <f t="shared" si="6"/>
        <v>114710</v>
      </c>
      <c r="J15" s="95">
        <v>45000</v>
      </c>
      <c r="K15" s="78">
        <v>45000</v>
      </c>
      <c r="L15" s="78">
        <v>43990</v>
      </c>
      <c r="M15" s="11">
        <f t="shared" si="2"/>
        <v>97.755555555555546</v>
      </c>
      <c r="N15" s="78">
        <v>114710</v>
      </c>
      <c r="O15" s="77"/>
      <c r="P15" s="78"/>
      <c r="Q15" s="78"/>
      <c r="R15" s="11" t="e">
        <f t="shared" si="7"/>
        <v>#DIV/0!</v>
      </c>
      <c r="S15" s="78"/>
      <c r="T15" s="77">
        <v>35000</v>
      </c>
      <c r="U15" s="78">
        <v>36000</v>
      </c>
      <c r="V15" s="78">
        <v>35968</v>
      </c>
      <c r="W15" s="11">
        <f t="shared" si="4"/>
        <v>99.911111111111111</v>
      </c>
      <c r="X15" s="78">
        <v>30206</v>
      </c>
    </row>
    <row r="16" spans="1:24" s="6" customFormat="1" ht="9.9499999999999993" customHeight="1" x14ac:dyDescent="0.2">
      <c r="A16" s="38" t="s">
        <v>13</v>
      </c>
      <c r="B16" s="815" t="s">
        <v>30</v>
      </c>
      <c r="C16" s="816"/>
      <c r="D16" s="56" t="s">
        <v>25</v>
      </c>
      <c r="E16" s="77">
        <f t="shared" si="6"/>
        <v>10000</v>
      </c>
      <c r="F16" s="78">
        <f t="shared" si="6"/>
        <v>11000</v>
      </c>
      <c r="G16" s="78">
        <f t="shared" si="6"/>
        <v>11194</v>
      </c>
      <c r="H16" s="11">
        <f t="shared" si="0"/>
        <v>101.76363636363637</v>
      </c>
      <c r="I16" s="79">
        <f t="shared" si="6"/>
        <v>11427</v>
      </c>
      <c r="J16" s="95">
        <v>10000</v>
      </c>
      <c r="K16" s="78">
        <v>11000</v>
      </c>
      <c r="L16" s="78">
        <v>11194</v>
      </c>
      <c r="M16" s="11">
        <f t="shared" si="2"/>
        <v>101.76363636363637</v>
      </c>
      <c r="N16" s="78">
        <v>11427</v>
      </c>
      <c r="O16" s="77"/>
      <c r="P16" s="78"/>
      <c r="Q16" s="78"/>
      <c r="R16" s="11" t="e">
        <f t="shared" si="7"/>
        <v>#DIV/0!</v>
      </c>
      <c r="S16" s="78"/>
      <c r="T16" s="77"/>
      <c r="U16" s="78"/>
      <c r="V16" s="78"/>
      <c r="W16" s="11" t="e">
        <f t="shared" si="4"/>
        <v>#DIV/0!</v>
      </c>
      <c r="X16" s="78"/>
    </row>
    <row r="17" spans="1:24" s="6" customFormat="1" ht="9.9499999999999993" customHeight="1" x14ac:dyDescent="0.2">
      <c r="A17" s="38" t="s">
        <v>14</v>
      </c>
      <c r="B17" s="46" t="s">
        <v>49</v>
      </c>
      <c r="C17" s="47"/>
      <c r="D17" s="56" t="s">
        <v>25</v>
      </c>
      <c r="E17" s="77">
        <f t="shared" si="6"/>
        <v>15000</v>
      </c>
      <c r="F17" s="78">
        <f t="shared" si="6"/>
        <v>15000</v>
      </c>
      <c r="G17" s="78">
        <f t="shared" si="6"/>
        <v>14205</v>
      </c>
      <c r="H17" s="11">
        <f t="shared" si="0"/>
        <v>94.699999999999989</v>
      </c>
      <c r="I17" s="79">
        <f t="shared" si="6"/>
        <v>18123</v>
      </c>
      <c r="J17" s="95">
        <v>15000</v>
      </c>
      <c r="K17" s="78">
        <v>15000</v>
      </c>
      <c r="L17" s="78">
        <v>14205</v>
      </c>
      <c r="M17" s="11">
        <f t="shared" si="2"/>
        <v>94.699999999999989</v>
      </c>
      <c r="N17" s="78">
        <v>18123</v>
      </c>
      <c r="O17" s="77"/>
      <c r="P17" s="78"/>
      <c r="Q17" s="78"/>
      <c r="R17" s="11" t="e">
        <f t="shared" si="7"/>
        <v>#DIV/0!</v>
      </c>
      <c r="S17" s="78"/>
      <c r="T17" s="77"/>
      <c r="U17" s="78"/>
      <c r="V17" s="78"/>
      <c r="W17" s="11" t="e">
        <f t="shared" si="4"/>
        <v>#DIV/0!</v>
      </c>
      <c r="X17" s="78"/>
    </row>
    <row r="18" spans="1:24" s="6" customFormat="1" ht="9.9499999999999993" customHeight="1" x14ac:dyDescent="0.2">
      <c r="A18" s="38" t="s">
        <v>15</v>
      </c>
      <c r="B18" s="815" t="s">
        <v>31</v>
      </c>
      <c r="C18" s="816"/>
      <c r="D18" s="56" t="s">
        <v>25</v>
      </c>
      <c r="E18" s="77">
        <f t="shared" si="6"/>
        <v>4950000</v>
      </c>
      <c r="F18" s="78">
        <f t="shared" si="6"/>
        <v>4705000</v>
      </c>
      <c r="G18" s="78">
        <f t="shared" si="6"/>
        <v>4707768</v>
      </c>
      <c r="H18" s="11">
        <f t="shared" si="0"/>
        <v>100.05883103081827</v>
      </c>
      <c r="I18" s="79">
        <f t="shared" si="6"/>
        <v>5002943</v>
      </c>
      <c r="J18" s="95">
        <v>4950000</v>
      </c>
      <c r="K18" s="78">
        <v>4705000</v>
      </c>
      <c r="L18" s="78">
        <v>4707768</v>
      </c>
      <c r="M18" s="11">
        <f t="shared" si="2"/>
        <v>100.05883103081827</v>
      </c>
      <c r="N18" s="78">
        <v>4822943</v>
      </c>
      <c r="O18" s="77"/>
      <c r="P18" s="78"/>
      <c r="Q18" s="78"/>
      <c r="R18" s="11" t="e">
        <f t="shared" si="7"/>
        <v>#DIV/0!</v>
      </c>
      <c r="S18" s="78">
        <v>180000</v>
      </c>
      <c r="T18" s="77">
        <v>67000</v>
      </c>
      <c r="U18" s="78">
        <v>67000</v>
      </c>
      <c r="V18" s="78">
        <v>67178</v>
      </c>
      <c r="W18" s="11">
        <f t="shared" si="4"/>
        <v>100.26567164179106</v>
      </c>
      <c r="X18" s="78">
        <v>64603</v>
      </c>
    </row>
    <row r="19" spans="1:24" s="12" customFormat="1" ht="9.9499999999999993" customHeight="1" x14ac:dyDescent="0.2">
      <c r="A19" s="38" t="s">
        <v>16</v>
      </c>
      <c r="B19" s="815" t="s">
        <v>32</v>
      </c>
      <c r="C19" s="816"/>
      <c r="D19" s="56" t="s">
        <v>25</v>
      </c>
      <c r="E19" s="77">
        <f t="shared" si="6"/>
        <v>2740000</v>
      </c>
      <c r="F19" s="78">
        <f t="shared" si="6"/>
        <v>2740000</v>
      </c>
      <c r="G19" s="78">
        <f t="shared" si="6"/>
        <v>2740000</v>
      </c>
      <c r="H19" s="11">
        <f t="shared" si="0"/>
        <v>100</v>
      </c>
      <c r="I19" s="79">
        <f t="shared" si="6"/>
        <v>2649027</v>
      </c>
      <c r="J19" s="96">
        <v>2740000</v>
      </c>
      <c r="K19" s="78">
        <v>2740000</v>
      </c>
      <c r="L19" s="78">
        <v>2740000</v>
      </c>
      <c r="M19" s="11">
        <f t="shared" si="2"/>
        <v>100</v>
      </c>
      <c r="N19" s="78">
        <v>2649027</v>
      </c>
      <c r="O19" s="77"/>
      <c r="P19" s="78"/>
      <c r="Q19" s="78"/>
      <c r="R19" s="11" t="e">
        <f t="shared" si="7"/>
        <v>#DIV/0!</v>
      </c>
      <c r="S19" s="78"/>
      <c r="T19" s="119">
        <v>200000</v>
      </c>
      <c r="U19" s="97">
        <v>200000</v>
      </c>
      <c r="V19" s="97">
        <v>180784</v>
      </c>
      <c r="W19" s="11">
        <f t="shared" si="4"/>
        <v>90.391999999999996</v>
      </c>
      <c r="X19" s="97">
        <v>246664</v>
      </c>
    </row>
    <row r="20" spans="1:24" s="6" customFormat="1" ht="9.9499999999999993" customHeight="1" x14ac:dyDescent="0.2">
      <c r="A20" s="38" t="s">
        <v>17</v>
      </c>
      <c r="B20" s="815" t="s">
        <v>50</v>
      </c>
      <c r="C20" s="816"/>
      <c r="D20" s="56" t="s">
        <v>25</v>
      </c>
      <c r="E20" s="77">
        <f t="shared" si="6"/>
        <v>935000</v>
      </c>
      <c r="F20" s="78">
        <f t="shared" si="6"/>
        <v>935000</v>
      </c>
      <c r="G20" s="78">
        <f t="shared" si="6"/>
        <v>871682</v>
      </c>
      <c r="H20" s="11">
        <f t="shared" si="0"/>
        <v>93.228021390374323</v>
      </c>
      <c r="I20" s="79">
        <f t="shared" si="6"/>
        <v>886520</v>
      </c>
      <c r="J20" s="95">
        <v>935000</v>
      </c>
      <c r="K20" s="78">
        <v>935000</v>
      </c>
      <c r="L20" s="78">
        <v>871682</v>
      </c>
      <c r="M20" s="11">
        <f t="shared" si="2"/>
        <v>93.228021390374323</v>
      </c>
      <c r="N20" s="78">
        <v>886520</v>
      </c>
      <c r="O20" s="77"/>
      <c r="P20" s="78"/>
      <c r="Q20" s="78"/>
      <c r="R20" s="11" t="e">
        <f t="shared" si="7"/>
        <v>#DIV/0!</v>
      </c>
      <c r="S20" s="78"/>
      <c r="T20" s="77">
        <v>70000</v>
      </c>
      <c r="U20" s="78">
        <v>70000</v>
      </c>
      <c r="V20" s="78">
        <v>61466</v>
      </c>
      <c r="W20" s="11">
        <f t="shared" si="4"/>
        <v>87.808571428571426</v>
      </c>
      <c r="X20" s="78">
        <v>57800</v>
      </c>
    </row>
    <row r="21" spans="1:24" s="6" customFormat="1" ht="9.9499999999999993" customHeight="1" x14ac:dyDescent="0.2">
      <c r="A21" s="38" t="s">
        <v>18</v>
      </c>
      <c r="B21" s="815" t="s">
        <v>51</v>
      </c>
      <c r="C21" s="816"/>
      <c r="D21" s="56" t="s">
        <v>25</v>
      </c>
      <c r="E21" s="77">
        <f t="shared" si="6"/>
        <v>90000</v>
      </c>
      <c r="F21" s="78">
        <f t="shared" si="6"/>
        <v>90000</v>
      </c>
      <c r="G21" s="78">
        <f t="shared" si="6"/>
        <v>89629</v>
      </c>
      <c r="H21" s="11">
        <f t="shared" si="0"/>
        <v>99.587777777777774</v>
      </c>
      <c r="I21" s="79">
        <f t="shared" si="6"/>
        <v>85396</v>
      </c>
      <c r="J21" s="95">
        <v>90000</v>
      </c>
      <c r="K21" s="78">
        <v>90000</v>
      </c>
      <c r="L21" s="78">
        <v>89629</v>
      </c>
      <c r="M21" s="11">
        <f t="shared" si="2"/>
        <v>99.587777777777774</v>
      </c>
      <c r="N21" s="78">
        <v>85396</v>
      </c>
      <c r="O21" s="77"/>
      <c r="P21" s="78"/>
      <c r="Q21" s="78"/>
      <c r="R21" s="11" t="e">
        <f t="shared" si="7"/>
        <v>#DIV/0!</v>
      </c>
      <c r="S21" s="78"/>
      <c r="T21" s="77">
        <v>2000</v>
      </c>
      <c r="U21" s="78">
        <v>2000</v>
      </c>
      <c r="V21" s="78">
        <v>1992</v>
      </c>
      <c r="W21" s="11">
        <f t="shared" si="4"/>
        <v>99.6</v>
      </c>
      <c r="X21" s="78">
        <v>7136</v>
      </c>
    </row>
    <row r="22" spans="1:24" s="6" customFormat="1" ht="9.9499999999999993" customHeight="1" x14ac:dyDescent="0.2">
      <c r="A22" s="38" t="s">
        <v>19</v>
      </c>
      <c r="B22" s="815" t="s">
        <v>69</v>
      </c>
      <c r="C22" s="816"/>
      <c r="D22" s="56" t="s">
        <v>25</v>
      </c>
      <c r="E22" s="77">
        <f t="shared" si="6"/>
        <v>2000</v>
      </c>
      <c r="F22" s="78">
        <f t="shared" si="6"/>
        <v>7000</v>
      </c>
      <c r="G22" s="78">
        <f t="shared" si="6"/>
        <v>5700</v>
      </c>
      <c r="H22" s="11">
        <f t="shared" si="0"/>
        <v>81.428571428571431</v>
      </c>
      <c r="I22" s="79">
        <f t="shared" si="6"/>
        <v>0</v>
      </c>
      <c r="J22" s="95">
        <v>2000</v>
      </c>
      <c r="K22" s="78">
        <v>7000</v>
      </c>
      <c r="L22" s="78">
        <v>5700</v>
      </c>
      <c r="M22" s="11">
        <f t="shared" si="2"/>
        <v>81.428571428571431</v>
      </c>
      <c r="N22" s="78"/>
      <c r="O22" s="77"/>
      <c r="P22" s="78"/>
      <c r="Q22" s="78"/>
      <c r="R22" s="11" t="e">
        <f t="shared" si="7"/>
        <v>#DIV/0!</v>
      </c>
      <c r="S22" s="78"/>
      <c r="T22" s="77"/>
      <c r="U22" s="78"/>
      <c r="V22" s="78"/>
      <c r="W22" s="11" t="e">
        <f t="shared" si="4"/>
        <v>#DIV/0!</v>
      </c>
      <c r="X22" s="78"/>
    </row>
    <row r="23" spans="1:24" s="6" customFormat="1" ht="9.9499999999999993" customHeight="1" x14ac:dyDescent="0.2">
      <c r="A23" s="38" t="s">
        <v>20</v>
      </c>
      <c r="B23" s="46" t="s">
        <v>70</v>
      </c>
      <c r="C23" s="47"/>
      <c r="D23" s="56" t="s">
        <v>25</v>
      </c>
      <c r="E23" s="77">
        <f t="shared" ref="E23:G25" si="8">SUM(J23,O23)</f>
        <v>0</v>
      </c>
      <c r="F23" s="78">
        <f t="shared" si="8"/>
        <v>0</v>
      </c>
      <c r="G23" s="78">
        <f t="shared" si="8"/>
        <v>0</v>
      </c>
      <c r="H23" s="11" t="e">
        <f>G23/F23*100</f>
        <v>#DIV/0!</v>
      </c>
      <c r="I23" s="79">
        <f>SUM(N23,S23)</f>
        <v>0</v>
      </c>
      <c r="J23" s="95"/>
      <c r="K23" s="78"/>
      <c r="L23" s="78"/>
      <c r="M23" s="11" t="e">
        <f t="shared" si="2"/>
        <v>#DIV/0!</v>
      </c>
      <c r="N23" s="78"/>
      <c r="O23" s="77"/>
      <c r="P23" s="78"/>
      <c r="Q23" s="78"/>
      <c r="R23" s="11" t="e">
        <f t="shared" si="7"/>
        <v>#DIV/0!</v>
      </c>
      <c r="S23" s="78"/>
      <c r="T23" s="77"/>
      <c r="U23" s="78"/>
      <c r="V23" s="78"/>
      <c r="W23" s="11" t="e">
        <f t="shared" si="4"/>
        <v>#DIV/0!</v>
      </c>
      <c r="X23" s="78"/>
    </row>
    <row r="24" spans="1:24" s="6" customFormat="1" ht="9.9499999999999993" customHeight="1" x14ac:dyDescent="0.2">
      <c r="A24" s="38" t="s">
        <v>21</v>
      </c>
      <c r="B24" s="46" t="s">
        <v>52</v>
      </c>
      <c r="C24" s="47"/>
      <c r="D24" s="56" t="s">
        <v>25</v>
      </c>
      <c r="E24" s="77">
        <f t="shared" si="8"/>
        <v>0</v>
      </c>
      <c r="F24" s="78">
        <f t="shared" si="8"/>
        <v>0</v>
      </c>
      <c r="G24" s="78">
        <f t="shared" si="8"/>
        <v>0</v>
      </c>
      <c r="H24" s="11" t="e">
        <f>G24/F24*100</f>
        <v>#DIV/0!</v>
      </c>
      <c r="I24" s="79">
        <f>SUM(N24,S24)</f>
        <v>0</v>
      </c>
      <c r="J24" s="95"/>
      <c r="K24" s="78"/>
      <c r="L24" s="78"/>
      <c r="M24" s="11" t="e">
        <f t="shared" si="2"/>
        <v>#DIV/0!</v>
      </c>
      <c r="N24" s="78"/>
      <c r="O24" s="77"/>
      <c r="P24" s="78"/>
      <c r="Q24" s="78"/>
      <c r="R24" s="11" t="e">
        <f t="shared" si="7"/>
        <v>#DIV/0!</v>
      </c>
      <c r="S24" s="78"/>
      <c r="T24" s="77"/>
      <c r="U24" s="78"/>
      <c r="V24" s="78"/>
      <c r="W24" s="11" t="e">
        <f t="shared" si="4"/>
        <v>#DIV/0!</v>
      </c>
      <c r="X24" s="78"/>
    </row>
    <row r="25" spans="1:24" s="6" customFormat="1" ht="9.9499999999999993" customHeight="1" x14ac:dyDescent="0.2">
      <c r="A25" s="39" t="s">
        <v>22</v>
      </c>
      <c r="B25" s="48" t="s">
        <v>71</v>
      </c>
      <c r="C25" s="49"/>
      <c r="D25" s="56" t="s">
        <v>25</v>
      </c>
      <c r="E25" s="77">
        <f t="shared" si="8"/>
        <v>5000</v>
      </c>
      <c r="F25" s="78">
        <f t="shared" si="8"/>
        <v>5000</v>
      </c>
      <c r="G25" s="78">
        <f t="shared" si="8"/>
        <v>4574</v>
      </c>
      <c r="H25" s="11">
        <f>G25/F25*100</f>
        <v>91.47999999999999</v>
      </c>
      <c r="I25" s="79">
        <f>SUM(N25,S25)</f>
        <v>4525</v>
      </c>
      <c r="J25" s="95">
        <v>5000</v>
      </c>
      <c r="K25" s="98">
        <v>5000</v>
      </c>
      <c r="L25" s="98">
        <v>4574</v>
      </c>
      <c r="M25" s="11">
        <f t="shared" si="2"/>
        <v>91.47999999999999</v>
      </c>
      <c r="N25" s="98">
        <v>4525</v>
      </c>
      <c r="O25" s="100"/>
      <c r="P25" s="98"/>
      <c r="Q25" s="98"/>
      <c r="R25" s="11" t="e">
        <f t="shared" si="7"/>
        <v>#DIV/0!</v>
      </c>
      <c r="S25" s="98"/>
      <c r="T25" s="102"/>
      <c r="U25" s="103">
        <v>2000</v>
      </c>
      <c r="V25" s="103">
        <v>1501</v>
      </c>
      <c r="W25" s="274">
        <f t="shared" si="4"/>
        <v>75.05</v>
      </c>
      <c r="X25" s="103"/>
    </row>
    <row r="26" spans="1:24" s="14" customFormat="1" ht="9.9499999999999993" customHeight="1" x14ac:dyDescent="0.2">
      <c r="A26" s="38" t="s">
        <v>23</v>
      </c>
      <c r="B26" s="815" t="s">
        <v>72</v>
      </c>
      <c r="C26" s="816"/>
      <c r="D26" s="56" t="s">
        <v>25</v>
      </c>
      <c r="E26" s="77">
        <f t="shared" si="6"/>
        <v>13000</v>
      </c>
      <c r="F26" s="78">
        <f t="shared" si="6"/>
        <v>325000</v>
      </c>
      <c r="G26" s="78">
        <f t="shared" si="6"/>
        <v>324025</v>
      </c>
      <c r="H26" s="11">
        <f t="shared" si="0"/>
        <v>99.7</v>
      </c>
      <c r="I26" s="79">
        <v>86697</v>
      </c>
      <c r="J26" s="95">
        <v>13000</v>
      </c>
      <c r="K26" s="103">
        <v>325000</v>
      </c>
      <c r="L26" s="103">
        <v>324025</v>
      </c>
      <c r="M26" s="11">
        <f t="shared" si="2"/>
        <v>99.7</v>
      </c>
      <c r="N26" s="103">
        <v>42274</v>
      </c>
      <c r="O26" s="102"/>
      <c r="P26" s="103"/>
      <c r="Q26" s="103"/>
      <c r="R26" s="11" t="e">
        <f t="shared" si="7"/>
        <v>#DIV/0!</v>
      </c>
      <c r="S26" s="103"/>
      <c r="T26" s="102">
        <v>1000</v>
      </c>
      <c r="U26" s="103">
        <v>1000</v>
      </c>
      <c r="V26" s="103">
        <v>1000</v>
      </c>
      <c r="W26" s="274">
        <f t="shared" si="4"/>
        <v>100</v>
      </c>
      <c r="X26" s="103">
        <v>1602</v>
      </c>
    </row>
    <row r="27" spans="1:24" s="16" customFormat="1" ht="9.9499999999999993" customHeight="1" x14ac:dyDescent="0.2">
      <c r="A27" s="38" t="s">
        <v>45</v>
      </c>
      <c r="B27" s="46" t="s">
        <v>73</v>
      </c>
      <c r="C27" s="47"/>
      <c r="D27" s="56" t="s">
        <v>25</v>
      </c>
      <c r="E27" s="77">
        <f>SUM(J27,O27)</f>
        <v>0</v>
      </c>
      <c r="F27" s="78">
        <f>SUM(K27,P27)</f>
        <v>104000</v>
      </c>
      <c r="G27" s="78">
        <f>SUM(L27,Q27)</f>
        <v>104980</v>
      </c>
      <c r="H27" s="11">
        <f>G27/F27*100</f>
        <v>100.94230769230769</v>
      </c>
      <c r="I27" s="79">
        <f t="shared" ref="I27:I33" si="9">SUM(N27,S27)</f>
        <v>55848</v>
      </c>
      <c r="J27" s="95"/>
      <c r="K27" s="103">
        <v>104000</v>
      </c>
      <c r="L27" s="103">
        <v>104980</v>
      </c>
      <c r="M27" s="11">
        <f t="shared" si="2"/>
        <v>100.94230769230769</v>
      </c>
      <c r="N27" s="103">
        <v>55848</v>
      </c>
      <c r="O27" s="102"/>
      <c r="P27" s="103"/>
      <c r="Q27" s="103"/>
      <c r="R27" s="11" t="e">
        <f t="shared" si="7"/>
        <v>#DIV/0!</v>
      </c>
      <c r="S27" s="103"/>
      <c r="T27" s="102"/>
      <c r="U27" s="103"/>
      <c r="V27" s="103"/>
      <c r="W27" s="274" t="e">
        <f t="shared" si="4"/>
        <v>#DIV/0!</v>
      </c>
      <c r="X27" s="103">
        <v>28741</v>
      </c>
    </row>
    <row r="28" spans="1:24" s="14" customFormat="1" ht="9.9499999999999993" customHeight="1" x14ac:dyDescent="0.2">
      <c r="A28" s="38" t="s">
        <v>53</v>
      </c>
      <c r="B28" s="815" t="s">
        <v>74</v>
      </c>
      <c r="C28" s="816"/>
      <c r="D28" s="56" t="s">
        <v>25</v>
      </c>
      <c r="E28" s="77">
        <f t="shared" ref="E28:G33" si="10">SUM(J28,O28)</f>
        <v>0</v>
      </c>
      <c r="F28" s="78">
        <f t="shared" si="10"/>
        <v>0</v>
      </c>
      <c r="G28" s="78">
        <f t="shared" si="10"/>
        <v>0</v>
      </c>
      <c r="H28" s="11" t="e">
        <f t="shared" si="0"/>
        <v>#DIV/0!</v>
      </c>
      <c r="I28" s="79">
        <f t="shared" si="9"/>
        <v>0</v>
      </c>
      <c r="J28" s="95"/>
      <c r="K28" s="103"/>
      <c r="L28" s="103"/>
      <c r="M28" s="11" t="e">
        <f t="shared" si="2"/>
        <v>#DIV/0!</v>
      </c>
      <c r="N28" s="103"/>
      <c r="O28" s="102"/>
      <c r="P28" s="103"/>
      <c r="Q28" s="103"/>
      <c r="R28" s="11" t="e">
        <f t="shared" si="7"/>
        <v>#DIV/0!</v>
      </c>
      <c r="S28" s="103"/>
      <c r="T28" s="102"/>
      <c r="U28" s="103"/>
      <c r="V28" s="103"/>
      <c r="W28" s="274" t="e">
        <f t="shared" si="4"/>
        <v>#DIV/0!</v>
      </c>
      <c r="X28" s="103"/>
    </row>
    <row r="29" spans="1:24" s="6" customFormat="1" ht="9.75" x14ac:dyDescent="0.2">
      <c r="A29" s="38" t="s">
        <v>54</v>
      </c>
      <c r="B29" s="46" t="s">
        <v>55</v>
      </c>
      <c r="C29" s="47"/>
      <c r="D29" s="56" t="s">
        <v>25</v>
      </c>
      <c r="E29" s="77">
        <f t="shared" si="10"/>
        <v>0</v>
      </c>
      <c r="F29" s="78">
        <f t="shared" si="10"/>
        <v>0</v>
      </c>
      <c r="G29" s="78">
        <f t="shared" si="10"/>
        <v>0</v>
      </c>
      <c r="H29" s="11" t="e">
        <f>G29/F29*100</f>
        <v>#DIV/0!</v>
      </c>
      <c r="I29" s="79">
        <f t="shared" si="9"/>
        <v>0</v>
      </c>
      <c r="J29" s="95"/>
      <c r="K29" s="103"/>
      <c r="L29" s="103"/>
      <c r="M29" s="11" t="e">
        <f t="shared" si="2"/>
        <v>#DIV/0!</v>
      </c>
      <c r="N29" s="103"/>
      <c r="O29" s="102"/>
      <c r="P29" s="103"/>
      <c r="Q29" s="103"/>
      <c r="R29" s="11" t="e">
        <f t="shared" si="7"/>
        <v>#DIV/0!</v>
      </c>
      <c r="S29" s="103"/>
      <c r="T29" s="102"/>
      <c r="U29" s="103"/>
      <c r="V29" s="103"/>
      <c r="W29" s="274" t="e">
        <f t="shared" si="4"/>
        <v>#DIV/0!</v>
      </c>
      <c r="X29" s="103"/>
    </row>
    <row r="30" spans="1:24" s="27" customFormat="1" ht="9.75" x14ac:dyDescent="0.2">
      <c r="A30" s="40" t="s">
        <v>56</v>
      </c>
      <c r="B30" s="319" t="s">
        <v>75</v>
      </c>
      <c r="C30" s="320"/>
      <c r="D30" s="59" t="s">
        <v>25</v>
      </c>
      <c r="E30" s="82">
        <f t="shared" si="10"/>
        <v>0</v>
      </c>
      <c r="F30" s="83">
        <f t="shared" si="10"/>
        <v>0</v>
      </c>
      <c r="G30" s="83">
        <f t="shared" si="10"/>
        <v>0</v>
      </c>
      <c r="H30" s="31" t="e">
        <f t="shared" si="0"/>
        <v>#DIV/0!</v>
      </c>
      <c r="I30" s="84">
        <f t="shared" si="9"/>
        <v>0</v>
      </c>
      <c r="J30" s="106"/>
      <c r="K30" s="107"/>
      <c r="L30" s="107"/>
      <c r="M30" s="11" t="e">
        <f t="shared" si="2"/>
        <v>#DIV/0!</v>
      </c>
      <c r="N30" s="107"/>
      <c r="O30" s="109"/>
      <c r="P30" s="107"/>
      <c r="Q30" s="107"/>
      <c r="R30" s="11" t="e">
        <f t="shared" si="7"/>
        <v>#DIV/0!</v>
      </c>
      <c r="S30" s="107"/>
      <c r="T30" s="109"/>
      <c r="U30" s="107"/>
      <c r="V30" s="107"/>
      <c r="W30" s="274" t="e">
        <f t="shared" si="4"/>
        <v>#DIV/0!</v>
      </c>
      <c r="X30" s="107"/>
    </row>
    <row r="31" spans="1:24" s="27" customFormat="1" ht="9.75" x14ac:dyDescent="0.2">
      <c r="A31" s="33" t="s">
        <v>57</v>
      </c>
      <c r="B31" s="817" t="s">
        <v>58</v>
      </c>
      <c r="C31" s="818"/>
      <c r="D31" s="22" t="s">
        <v>25</v>
      </c>
      <c r="E31" s="87">
        <f t="shared" si="10"/>
        <v>0</v>
      </c>
      <c r="F31" s="87">
        <f t="shared" si="10"/>
        <v>0</v>
      </c>
      <c r="G31" s="87">
        <f t="shared" si="10"/>
        <v>0</v>
      </c>
      <c r="H31" s="28" t="e">
        <f>G31/F31*100</f>
        <v>#DIV/0!</v>
      </c>
      <c r="I31" s="87">
        <f t="shared" si="9"/>
        <v>15538</v>
      </c>
      <c r="J31" s="67">
        <f>SUM(J6-J11)</f>
        <v>0</v>
      </c>
      <c r="K31" s="67">
        <f>SUM(K6-K11)</f>
        <v>0</v>
      </c>
      <c r="L31" s="67">
        <f>SUM(L6-L11)</f>
        <v>0</v>
      </c>
      <c r="M31" s="28" t="e">
        <f t="shared" si="2"/>
        <v>#DIV/0!</v>
      </c>
      <c r="N31" s="67">
        <f>SUM(N6-N11)</f>
        <v>15538</v>
      </c>
      <c r="O31" s="67">
        <f>SUM(O6-O11)</f>
        <v>0</v>
      </c>
      <c r="P31" s="67">
        <f>SUM(P6-P11)</f>
        <v>0</v>
      </c>
      <c r="Q31" s="67">
        <f>SUM(Q6-Q11)</f>
        <v>0</v>
      </c>
      <c r="R31" s="153" t="e">
        <f>Q31/P31*100</f>
        <v>#DIV/0!</v>
      </c>
      <c r="S31" s="67">
        <f>SUM(S6-S11)</f>
        <v>0</v>
      </c>
      <c r="T31" s="69">
        <f>SUM(T6-T11)</f>
        <v>150000</v>
      </c>
      <c r="U31" s="69">
        <f>SUM(U6-U11)</f>
        <v>45000</v>
      </c>
      <c r="V31" s="69">
        <f>SUM(V6-V11)</f>
        <v>73062</v>
      </c>
      <c r="W31" s="172">
        <f t="shared" si="4"/>
        <v>162.35999999999999</v>
      </c>
      <c r="X31" s="69">
        <f>SUM(X6-X11)</f>
        <v>4418</v>
      </c>
    </row>
    <row r="32" spans="1:24" s="27" customFormat="1" ht="9.75" x14ac:dyDescent="0.2">
      <c r="A32" s="41" t="s">
        <v>59</v>
      </c>
      <c r="B32" s="60" t="s">
        <v>76</v>
      </c>
      <c r="C32" s="61"/>
      <c r="D32" s="22" t="s">
        <v>25</v>
      </c>
      <c r="E32" s="164">
        <f t="shared" si="10"/>
        <v>0</v>
      </c>
      <c r="F32" s="165">
        <f t="shared" si="10"/>
        <v>0</v>
      </c>
      <c r="G32" s="165">
        <f t="shared" si="10"/>
        <v>0</v>
      </c>
      <c r="H32" s="162" t="e">
        <f>G32/F32*100</f>
        <v>#DIV/0!</v>
      </c>
      <c r="I32" s="166">
        <f t="shared" si="9"/>
        <v>15538</v>
      </c>
      <c r="J32" s="163"/>
      <c r="K32" s="113"/>
      <c r="L32" s="113"/>
      <c r="M32" s="162" t="e">
        <f t="shared" si="2"/>
        <v>#DIV/0!</v>
      </c>
      <c r="N32" s="113">
        <v>15538</v>
      </c>
      <c r="O32" s="115"/>
      <c r="P32" s="113"/>
      <c r="Q32" s="113"/>
      <c r="R32" s="11" t="e">
        <f>Q32/P32*100</f>
        <v>#DIV/0!</v>
      </c>
      <c r="S32" s="113"/>
      <c r="T32" s="168"/>
      <c r="U32" s="169"/>
      <c r="V32" s="169"/>
      <c r="W32" s="289" t="e">
        <f t="shared" si="4"/>
        <v>#DIV/0!</v>
      </c>
      <c r="X32" s="169">
        <v>-1326</v>
      </c>
    </row>
    <row r="33" spans="1:24" s="27" customFormat="1" ht="9.75" x14ac:dyDescent="0.2">
      <c r="A33" s="33" t="s">
        <v>60</v>
      </c>
      <c r="B33" s="24" t="s">
        <v>61</v>
      </c>
      <c r="C33" s="25"/>
      <c r="D33" s="22" t="s">
        <v>25</v>
      </c>
      <c r="E33" s="87">
        <f t="shared" si="10"/>
        <v>0</v>
      </c>
      <c r="F33" s="87">
        <f t="shared" si="10"/>
        <v>0</v>
      </c>
      <c r="G33" s="87">
        <f t="shared" si="10"/>
        <v>0</v>
      </c>
      <c r="H33" s="28" t="e">
        <f>G33/F33*100</f>
        <v>#DIV/0!</v>
      </c>
      <c r="I33" s="87">
        <f t="shared" si="9"/>
        <v>0</v>
      </c>
      <c r="J33" s="67">
        <f>J31-J32</f>
        <v>0</v>
      </c>
      <c r="K33" s="67">
        <f>K31-K32</f>
        <v>0</v>
      </c>
      <c r="L33" s="67">
        <f>L31-L32</f>
        <v>0</v>
      </c>
      <c r="M33" s="28" t="e">
        <f t="shared" si="2"/>
        <v>#DIV/0!</v>
      </c>
      <c r="N33" s="67">
        <f>N31-N32</f>
        <v>0</v>
      </c>
      <c r="O33" s="67">
        <f>O31-O32</f>
        <v>0</v>
      </c>
      <c r="P33" s="67">
        <f>P31-P32</f>
        <v>0</v>
      </c>
      <c r="Q33" s="67">
        <f>Q31-Q32</f>
        <v>0</v>
      </c>
      <c r="R33" s="153" t="e">
        <f>Q33/P33*100</f>
        <v>#DIV/0!</v>
      </c>
      <c r="S33" s="67">
        <f>S31-S32</f>
        <v>0</v>
      </c>
      <c r="T33" s="69">
        <f>T31-T32</f>
        <v>150000</v>
      </c>
      <c r="U33" s="69">
        <f>U31-U32</f>
        <v>45000</v>
      </c>
      <c r="V33" s="69">
        <f>V31-V32</f>
        <v>73062</v>
      </c>
      <c r="W33" s="172">
        <f t="shared" si="4"/>
        <v>162.35999999999999</v>
      </c>
      <c r="X33" s="69">
        <f>X31-X32</f>
        <v>5744</v>
      </c>
    </row>
    <row r="34" spans="1:24" s="136" customFormat="1" ht="9" x14ac:dyDescent="0.2">
      <c r="A34" s="42" t="s">
        <v>62</v>
      </c>
      <c r="B34" s="813" t="s">
        <v>24</v>
      </c>
      <c r="C34" s="814"/>
      <c r="D34" s="62" t="s">
        <v>25</v>
      </c>
      <c r="E34" s="144">
        <v>22745</v>
      </c>
      <c r="F34" s="145">
        <v>22745</v>
      </c>
      <c r="G34" s="145">
        <v>23222</v>
      </c>
      <c r="H34" s="167">
        <v>102.61</v>
      </c>
      <c r="I34" s="146">
        <v>23702</v>
      </c>
      <c r="J34" s="804"/>
      <c r="K34" s="805"/>
      <c r="L34" s="805"/>
      <c r="M34" s="805"/>
      <c r="N34" s="805"/>
      <c r="O34" s="805"/>
      <c r="P34" s="805"/>
      <c r="Q34" s="805"/>
      <c r="R34" s="805"/>
      <c r="S34" s="805"/>
      <c r="T34" s="805"/>
      <c r="U34" s="805"/>
      <c r="V34" s="805"/>
      <c r="W34" s="805"/>
      <c r="X34" s="806"/>
    </row>
    <row r="35" spans="1:24" s="136" customFormat="1" ht="9" x14ac:dyDescent="0.2">
      <c r="A35" s="32" t="s">
        <v>63</v>
      </c>
      <c r="B35" s="797" t="s">
        <v>33</v>
      </c>
      <c r="C35" s="798"/>
      <c r="D35" s="63" t="s">
        <v>26</v>
      </c>
      <c r="E35" s="147">
        <v>9</v>
      </c>
      <c r="F35" s="148">
        <v>9</v>
      </c>
      <c r="G35" s="148">
        <v>9</v>
      </c>
      <c r="H35" s="15">
        <v>100</v>
      </c>
      <c r="I35" s="149">
        <v>9</v>
      </c>
      <c r="J35" s="804"/>
      <c r="K35" s="805"/>
      <c r="L35" s="805"/>
      <c r="M35" s="805"/>
      <c r="N35" s="805"/>
      <c r="O35" s="805"/>
      <c r="P35" s="805"/>
      <c r="Q35" s="805"/>
      <c r="R35" s="805"/>
      <c r="S35" s="805"/>
      <c r="T35" s="805"/>
      <c r="U35" s="805"/>
      <c r="V35" s="805"/>
      <c r="W35" s="805"/>
      <c r="X35" s="806"/>
    </row>
    <row r="36" spans="1:24" s="136" customFormat="1" ht="9" x14ac:dyDescent="0.2">
      <c r="A36" s="43" t="s">
        <v>64</v>
      </c>
      <c r="B36" s="799" t="s">
        <v>27</v>
      </c>
      <c r="C36" s="800"/>
      <c r="D36" s="64" t="s">
        <v>26</v>
      </c>
      <c r="E36" s="140">
        <v>10</v>
      </c>
      <c r="F36" s="141">
        <v>10</v>
      </c>
      <c r="G36" s="141">
        <v>10</v>
      </c>
      <c r="H36" s="17">
        <v>100</v>
      </c>
      <c r="I36" s="150">
        <v>10</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117"/>
      <c r="K37" s="118"/>
      <c r="L37" s="118"/>
      <c r="M37" s="28"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E4:E5"/>
    <mergeCell ref="A3:A5"/>
    <mergeCell ref="P4:R4"/>
    <mergeCell ref="J3:N3"/>
    <mergeCell ref="F4:H4"/>
    <mergeCell ref="O4:O5"/>
    <mergeCell ref="D3:D5"/>
    <mergeCell ref="S4:S5"/>
    <mergeCell ref="O3:S3"/>
    <mergeCell ref="B6:C6"/>
    <mergeCell ref="J4:J5"/>
    <mergeCell ref="K4:M4"/>
    <mergeCell ref="N4:N5"/>
    <mergeCell ref="B21:C21"/>
    <mergeCell ref="B7:C7"/>
    <mergeCell ref="B3:C5"/>
    <mergeCell ref="E3:I3"/>
    <mergeCell ref="B8:C8"/>
    <mergeCell ref="B10:C10"/>
    <mergeCell ref="B11:C11"/>
    <mergeCell ref="I4:I5"/>
    <mergeCell ref="B12:C12"/>
    <mergeCell ref="B13:C13"/>
    <mergeCell ref="B15:C15"/>
    <mergeCell ref="B16:C16"/>
    <mergeCell ref="B18:C18"/>
    <mergeCell ref="B19:C19"/>
    <mergeCell ref="B20:C20"/>
    <mergeCell ref="E37:I37"/>
    <mergeCell ref="N37:X37"/>
    <mergeCell ref="B22:C22"/>
    <mergeCell ref="B26:C26"/>
    <mergeCell ref="B28:C28"/>
    <mergeCell ref="B31:C31"/>
    <mergeCell ref="B34:C34"/>
    <mergeCell ref="J34:X36"/>
    <mergeCell ref="B35:C35"/>
    <mergeCell ref="B36:C36"/>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0"/>
  <sheetViews>
    <sheetView tabSelected="1" zoomScaleNormal="100" workbookViewId="0"/>
  </sheetViews>
  <sheetFormatPr defaultRowHeight="12.75" x14ac:dyDescent="0.2"/>
  <cols>
    <col min="1" max="1" width="68" style="128" customWidth="1"/>
    <col min="2" max="2" width="33.5" style="128" customWidth="1"/>
    <col min="3" max="5" width="25.75" style="128" customWidth="1"/>
    <col min="6" max="6" width="22.75" style="128" customWidth="1"/>
    <col min="7" max="8" width="10" style="128"/>
    <col min="9" max="9" width="23.25" style="128" customWidth="1"/>
  </cols>
  <sheetData>
    <row r="1" spans="1:10" ht="18.75" x14ac:dyDescent="0.3">
      <c r="A1" s="127" t="s">
        <v>106</v>
      </c>
      <c r="B1" s="127"/>
      <c r="C1" s="127"/>
      <c r="D1" s="127"/>
      <c r="E1" s="127"/>
      <c r="F1" s="127"/>
      <c r="G1" s="127"/>
      <c r="H1" s="127"/>
      <c r="I1" s="127"/>
    </row>
    <row r="3" spans="1:10" s="175" customFormat="1" ht="10.5" x14ac:dyDescent="0.15">
      <c r="A3" s="750" t="s">
        <v>133</v>
      </c>
      <c r="B3" s="750"/>
      <c r="C3" s="750"/>
      <c r="D3" s="750"/>
      <c r="E3" s="750"/>
      <c r="F3" s="750"/>
      <c r="G3" s="750"/>
      <c r="H3" s="750"/>
      <c r="I3" s="750"/>
    </row>
    <row r="4" spans="1:10" s="176" customFormat="1" ht="11.25" x14ac:dyDescent="0.2"/>
    <row r="5" spans="1:10" s="177" customFormat="1" ht="9.75" x14ac:dyDescent="0.2">
      <c r="A5" s="751" t="s">
        <v>77</v>
      </c>
      <c r="B5" s="752"/>
      <c r="C5" s="611" t="s">
        <v>25</v>
      </c>
      <c r="D5" s="753" t="s">
        <v>112</v>
      </c>
      <c r="E5" s="753"/>
      <c r="F5" s="753"/>
      <c r="G5" s="753"/>
      <c r="H5" s="753"/>
      <c r="I5" s="753"/>
    </row>
    <row r="6" spans="1:10" s="176" customFormat="1" ht="15" customHeight="1" x14ac:dyDescent="0.2">
      <c r="A6" s="754" t="s">
        <v>134</v>
      </c>
      <c r="B6" s="754"/>
      <c r="C6" s="193">
        <f>SUM(C7:C9)</f>
        <v>145408.09</v>
      </c>
      <c r="D6" s="755"/>
      <c r="E6" s="756"/>
      <c r="F6" s="756"/>
      <c r="G6" s="756"/>
      <c r="H6" s="756"/>
      <c r="I6" s="756"/>
    </row>
    <row r="7" spans="1:10" s="176" customFormat="1" ht="36.75" customHeight="1" x14ac:dyDescent="0.2">
      <c r="A7" s="745" t="s">
        <v>78</v>
      </c>
      <c r="B7" s="746"/>
      <c r="C7" s="178">
        <v>145408.09</v>
      </c>
      <c r="D7" s="875" t="s">
        <v>827</v>
      </c>
      <c r="E7" s="875"/>
      <c r="F7" s="875"/>
      <c r="G7" s="875"/>
      <c r="H7" s="875"/>
      <c r="I7" s="875"/>
    </row>
    <row r="8" spans="1:10" s="175" customFormat="1" ht="15" customHeight="1" x14ac:dyDescent="0.15">
      <c r="A8" s="764" t="s">
        <v>113</v>
      </c>
      <c r="B8" s="765"/>
      <c r="C8" s="179">
        <v>0</v>
      </c>
      <c r="D8" s="1237"/>
      <c r="E8" s="1237"/>
      <c r="F8" s="1237"/>
      <c r="G8" s="1237"/>
      <c r="H8" s="1237"/>
      <c r="I8" s="1237"/>
    </row>
    <row r="9" spans="1:10" s="175" customFormat="1" ht="15" customHeight="1" x14ac:dyDescent="0.15">
      <c r="A9" s="764" t="s">
        <v>114</v>
      </c>
      <c r="B9" s="765"/>
      <c r="C9" s="179">
        <v>0</v>
      </c>
      <c r="D9" s="778"/>
      <c r="E9" s="779"/>
      <c r="F9" s="779"/>
      <c r="G9" s="779"/>
      <c r="H9" s="779"/>
      <c r="I9" s="780"/>
    </row>
    <row r="10" spans="1:10" s="176" customFormat="1" ht="11.25" x14ac:dyDescent="0.2">
      <c r="C10" s="180"/>
    </row>
    <row r="11" spans="1:10" s="176" customFormat="1" ht="11.25" x14ac:dyDescent="0.2">
      <c r="A11" s="750" t="s">
        <v>135</v>
      </c>
      <c r="B11" s="750"/>
      <c r="C11" s="750"/>
      <c r="D11" s="750"/>
      <c r="E11" s="750"/>
      <c r="F11" s="750"/>
      <c r="G11" s="750"/>
      <c r="H11" s="750"/>
      <c r="I11" s="750"/>
    </row>
    <row r="12" spans="1:10" s="176" customFormat="1" ht="11.25" x14ac:dyDescent="0.2">
      <c r="C12" s="180"/>
      <c r="D12" s="216"/>
      <c r="E12" s="216"/>
      <c r="F12" s="216"/>
      <c r="G12" s="216"/>
      <c r="H12" s="216"/>
      <c r="I12" s="216"/>
    </row>
    <row r="13" spans="1:10" s="181" customFormat="1" ht="9.75" x14ac:dyDescent="0.2">
      <c r="A13" s="683" t="s">
        <v>77</v>
      </c>
      <c r="B13" s="683" t="s">
        <v>79</v>
      </c>
      <c r="C13" s="683" t="s">
        <v>25</v>
      </c>
      <c r="D13" s="407"/>
      <c r="E13" s="408"/>
      <c r="F13" s="408"/>
      <c r="G13" s="408"/>
      <c r="H13" s="408"/>
      <c r="I13" s="408"/>
    </row>
    <row r="14" spans="1:10" s="176" customFormat="1" ht="15" customHeight="1" x14ac:dyDescent="0.2">
      <c r="A14" s="182" t="s">
        <v>136</v>
      </c>
      <c r="B14" s="409"/>
      <c r="C14" s="205">
        <v>0</v>
      </c>
      <c r="D14" s="410"/>
      <c r="E14" s="411"/>
      <c r="F14" s="411"/>
      <c r="G14" s="411"/>
      <c r="H14" s="411"/>
      <c r="I14" s="411"/>
      <c r="J14" s="684"/>
    </row>
    <row r="15" spans="1:10" s="176" customFormat="1" ht="15" customHeight="1" x14ac:dyDescent="0.2">
      <c r="A15" s="783" t="s">
        <v>137</v>
      </c>
      <c r="B15" s="184" t="s">
        <v>80</v>
      </c>
      <c r="C15" s="185">
        <v>120408.09</v>
      </c>
      <c r="D15" s="412"/>
      <c r="E15" s="413"/>
      <c r="F15" s="413"/>
      <c r="G15" s="413"/>
      <c r="H15" s="413"/>
      <c r="I15" s="413"/>
    </row>
    <row r="16" spans="1:10" s="176" customFormat="1" ht="15" customHeight="1" x14ac:dyDescent="0.2">
      <c r="A16" s="784"/>
      <c r="B16" s="183" t="s">
        <v>81</v>
      </c>
      <c r="C16" s="414">
        <v>25000</v>
      </c>
      <c r="D16" s="415"/>
      <c r="E16" s="416"/>
      <c r="F16" s="416"/>
      <c r="G16" s="416"/>
      <c r="H16" s="416"/>
      <c r="I16" s="416"/>
    </row>
    <row r="17" spans="1:9" s="176" customFormat="1" ht="15" customHeight="1" x14ac:dyDescent="0.2">
      <c r="A17" s="613" t="s">
        <v>134</v>
      </c>
      <c r="B17" s="417"/>
      <c r="C17" s="423">
        <f>SUM(C14:C16)</f>
        <v>145408.09</v>
      </c>
      <c r="D17" s="418"/>
      <c r="E17" s="418"/>
      <c r="F17" s="418"/>
      <c r="G17" s="418"/>
      <c r="H17" s="418"/>
      <c r="I17" s="418"/>
    </row>
    <row r="18" spans="1:9" s="206" customFormat="1" ht="11.25" x14ac:dyDescent="0.2">
      <c r="A18" s="419"/>
      <c r="C18" s="232"/>
      <c r="D18" s="420"/>
      <c r="E18" s="420"/>
      <c r="F18" s="420"/>
      <c r="G18" s="420"/>
      <c r="H18" s="420"/>
      <c r="I18" s="420"/>
    </row>
    <row r="19" spans="1:9" s="176" customFormat="1" ht="11.25" x14ac:dyDescent="0.2">
      <c r="A19" s="750" t="s">
        <v>138</v>
      </c>
      <c r="B19" s="750"/>
      <c r="C19" s="750"/>
      <c r="D19" s="750"/>
      <c r="E19" s="750"/>
      <c r="F19" s="750"/>
      <c r="G19" s="750"/>
      <c r="H19" s="750"/>
      <c r="I19" s="750"/>
    </row>
    <row r="20" spans="1:9" s="176" customFormat="1" ht="11.25" x14ac:dyDescent="0.2">
      <c r="C20" s="180"/>
    </row>
    <row r="21" spans="1:9" s="188" customFormat="1" ht="9.75" x14ac:dyDescent="0.2">
      <c r="A21" s="611" t="s">
        <v>79</v>
      </c>
      <c r="B21" s="611" t="s">
        <v>139</v>
      </c>
      <c r="C21" s="612" t="s">
        <v>140</v>
      </c>
      <c r="D21" s="611" t="s">
        <v>141</v>
      </c>
      <c r="E21" s="611" t="s">
        <v>142</v>
      </c>
      <c r="F21" s="753" t="s">
        <v>115</v>
      </c>
      <c r="G21" s="753"/>
      <c r="H21" s="753"/>
      <c r="I21" s="753"/>
    </row>
    <row r="22" spans="1:9" s="176" customFormat="1" ht="33.75" customHeight="1" x14ac:dyDescent="0.2">
      <c r="A22" s="187" t="s">
        <v>80</v>
      </c>
      <c r="B22" s="189">
        <v>69744.88</v>
      </c>
      <c r="C22" s="189">
        <v>154998.1</v>
      </c>
      <c r="D22" s="189">
        <v>151833</v>
      </c>
      <c r="E22" s="189">
        <f>B22+C22-D22</f>
        <v>72909.98000000001</v>
      </c>
      <c r="F22" s="785" t="s">
        <v>731</v>
      </c>
      <c r="G22" s="786"/>
      <c r="H22" s="786"/>
      <c r="I22" s="787"/>
    </row>
    <row r="23" spans="1:9" s="176" customFormat="1" ht="34.5" customHeight="1" x14ac:dyDescent="0.2">
      <c r="A23" s="184" t="s">
        <v>143</v>
      </c>
      <c r="B23" s="190">
        <v>121783.2</v>
      </c>
      <c r="C23" s="190">
        <v>118193</v>
      </c>
      <c r="D23" s="190">
        <v>121085</v>
      </c>
      <c r="E23" s="190">
        <f>B23+C23-D23</f>
        <v>118891.20000000001</v>
      </c>
      <c r="F23" s="747" t="s">
        <v>729</v>
      </c>
      <c r="G23" s="795"/>
      <c r="H23" s="795"/>
      <c r="I23" s="796"/>
    </row>
    <row r="24" spans="1:9" s="176" customFormat="1" ht="24" customHeight="1" x14ac:dyDescent="0.2">
      <c r="A24" s="184" t="s">
        <v>81</v>
      </c>
      <c r="B24" s="190">
        <v>95135</v>
      </c>
      <c r="C24" s="190">
        <v>0</v>
      </c>
      <c r="D24" s="190">
        <v>20000</v>
      </c>
      <c r="E24" s="190">
        <f>B24+C24-D24</f>
        <v>75135</v>
      </c>
      <c r="F24" s="747" t="s">
        <v>730</v>
      </c>
      <c r="G24" s="795"/>
      <c r="H24" s="795"/>
      <c r="I24" s="796"/>
    </row>
    <row r="25" spans="1:9" s="176" customFormat="1" ht="11.25" customHeight="1" x14ac:dyDescent="0.2">
      <c r="A25" s="183" t="s">
        <v>82</v>
      </c>
      <c r="B25" s="191">
        <v>27239.040000000001</v>
      </c>
      <c r="C25" s="191">
        <v>50194</v>
      </c>
      <c r="D25" s="191">
        <v>66430</v>
      </c>
      <c r="E25" s="191">
        <f>B25+C25-D25</f>
        <v>11003.040000000008</v>
      </c>
      <c r="F25" s="747" t="s">
        <v>128</v>
      </c>
      <c r="G25" s="795"/>
      <c r="H25" s="795"/>
      <c r="I25" s="796"/>
    </row>
    <row r="26" spans="1:9" s="175" customFormat="1" ht="11.25" customHeight="1" x14ac:dyDescent="0.15">
      <c r="A26" s="192" t="s">
        <v>34</v>
      </c>
      <c r="B26" s="193">
        <f>SUM(B22:B25)</f>
        <v>313902.12</v>
      </c>
      <c r="C26" s="193">
        <f>SUM(C22:C25)</f>
        <v>323385.09999999998</v>
      </c>
      <c r="D26" s="193">
        <f>SUM(D22:D25)</f>
        <v>359348</v>
      </c>
      <c r="E26" s="193">
        <f>SUM(E22:E25)</f>
        <v>277939.22000000009</v>
      </c>
      <c r="F26" s="1238"/>
      <c r="G26" s="1238"/>
      <c r="H26" s="1238"/>
      <c r="I26" s="1239"/>
    </row>
    <row r="27" spans="1:9" s="176" customFormat="1" ht="11.25" x14ac:dyDescent="0.2">
      <c r="C27" s="180"/>
    </row>
    <row r="28" spans="1:9" s="176" customFormat="1" ht="11.25" x14ac:dyDescent="0.2">
      <c r="A28" s="750" t="s">
        <v>144</v>
      </c>
      <c r="B28" s="750"/>
      <c r="C28" s="750"/>
      <c r="D28" s="750"/>
      <c r="E28" s="750"/>
      <c r="F28" s="750"/>
      <c r="G28" s="750"/>
      <c r="H28" s="750"/>
      <c r="I28" s="750"/>
    </row>
    <row r="29" spans="1:9" s="176" customFormat="1" ht="11.25" x14ac:dyDescent="0.2">
      <c r="C29" s="180"/>
    </row>
    <row r="30" spans="1:9" s="176" customFormat="1" ht="11.25" x14ac:dyDescent="0.2">
      <c r="A30" s="611" t="s">
        <v>83</v>
      </c>
      <c r="B30" s="611" t="s">
        <v>25</v>
      </c>
      <c r="C30" s="612" t="s">
        <v>84</v>
      </c>
      <c r="D30" s="753" t="s">
        <v>117</v>
      </c>
      <c r="E30" s="753"/>
      <c r="F30" s="753"/>
      <c r="G30" s="753"/>
      <c r="H30" s="753"/>
      <c r="I30" s="753"/>
    </row>
    <row r="31" spans="1:9" s="176" customFormat="1" ht="38.25" customHeight="1" x14ac:dyDescent="0.2">
      <c r="A31" s="238" t="s">
        <v>732</v>
      </c>
      <c r="B31" s="189">
        <v>23600</v>
      </c>
      <c r="C31" s="195"/>
      <c r="D31" s="785" t="s">
        <v>733</v>
      </c>
      <c r="E31" s="786"/>
      <c r="F31" s="786"/>
      <c r="G31" s="786"/>
      <c r="H31" s="786"/>
      <c r="I31" s="787"/>
    </row>
    <row r="32" spans="1:9" s="175" customFormat="1" ht="11.25" x14ac:dyDescent="0.2">
      <c r="A32" s="192" t="s">
        <v>34</v>
      </c>
      <c r="B32" s="193">
        <f>SUM(B31:B31)</f>
        <v>23600</v>
      </c>
      <c r="C32" s="776"/>
      <c r="D32" s="776"/>
      <c r="E32" s="776"/>
      <c r="F32" s="776"/>
      <c r="G32" s="776"/>
      <c r="H32" s="776"/>
      <c r="I32" s="777"/>
    </row>
    <row r="33" spans="1:9" s="176" customFormat="1" ht="11.25" x14ac:dyDescent="0.2">
      <c r="C33" s="180"/>
    </row>
    <row r="34" spans="1:9" s="176" customFormat="1" ht="11.25" x14ac:dyDescent="0.2">
      <c r="A34" s="750" t="s">
        <v>145</v>
      </c>
      <c r="B34" s="750"/>
      <c r="C34" s="750"/>
      <c r="D34" s="750"/>
      <c r="E34" s="750"/>
      <c r="F34" s="750"/>
      <c r="G34" s="750"/>
      <c r="H34" s="750"/>
      <c r="I34" s="750"/>
    </row>
    <row r="35" spans="1:9" s="176" customFormat="1" ht="11.25" x14ac:dyDescent="0.2">
      <c r="C35" s="180"/>
    </row>
    <row r="36" spans="1:9" s="176" customFormat="1" ht="11.25" x14ac:dyDescent="0.2">
      <c r="A36" s="611" t="s">
        <v>83</v>
      </c>
      <c r="B36" s="611" t="s">
        <v>25</v>
      </c>
      <c r="C36" s="612" t="s">
        <v>84</v>
      </c>
      <c r="D36" s="753" t="s">
        <v>117</v>
      </c>
      <c r="E36" s="753"/>
      <c r="F36" s="753"/>
      <c r="G36" s="753"/>
      <c r="H36" s="753"/>
      <c r="I36" s="792"/>
    </row>
    <row r="37" spans="1:9" s="176" customFormat="1" ht="15" customHeight="1" x14ac:dyDescent="0.2">
      <c r="A37" s="194"/>
      <c r="B37" s="189">
        <v>0</v>
      </c>
      <c r="C37" s="195"/>
      <c r="D37" s="1234"/>
      <c r="E37" s="1235"/>
      <c r="F37" s="1235"/>
      <c r="G37" s="1235"/>
      <c r="H37" s="1235"/>
      <c r="I37" s="1236"/>
    </row>
    <row r="38" spans="1:9" s="175" customFormat="1" ht="10.5" x14ac:dyDescent="0.15">
      <c r="A38" s="192" t="s">
        <v>34</v>
      </c>
      <c r="B38" s="193">
        <f>SUM(B37:B37)</f>
        <v>0</v>
      </c>
      <c r="C38" s="793"/>
      <c r="D38" s="793"/>
      <c r="E38" s="793"/>
      <c r="F38" s="793"/>
      <c r="G38" s="793"/>
      <c r="H38" s="793"/>
      <c r="I38" s="793"/>
    </row>
    <row r="39" spans="1:9" s="176" customFormat="1" ht="11.25" x14ac:dyDescent="0.2">
      <c r="C39" s="180"/>
    </row>
    <row r="40" spans="1:9" s="176" customFormat="1" ht="11.25" x14ac:dyDescent="0.2">
      <c r="A40" s="750" t="s">
        <v>146</v>
      </c>
      <c r="B40" s="750"/>
      <c r="C40" s="750"/>
      <c r="D40" s="750"/>
      <c r="E40" s="750"/>
      <c r="F40" s="750"/>
      <c r="G40" s="750"/>
      <c r="H40" s="750"/>
      <c r="I40" s="750"/>
    </row>
    <row r="41" spans="1:9" s="176" customFormat="1" ht="11.25" x14ac:dyDescent="0.2">
      <c r="C41" s="180"/>
    </row>
    <row r="42" spans="1:9" s="176" customFormat="1" ht="11.25" x14ac:dyDescent="0.2">
      <c r="A42" s="611" t="s">
        <v>25</v>
      </c>
      <c r="B42" s="612" t="s">
        <v>147</v>
      </c>
      <c r="C42" s="781" t="s">
        <v>85</v>
      </c>
      <c r="D42" s="781"/>
      <c r="E42" s="781"/>
      <c r="F42" s="781"/>
      <c r="G42" s="781"/>
      <c r="H42" s="781"/>
      <c r="I42" s="782"/>
    </row>
    <row r="43" spans="1:9" s="176" customFormat="1" ht="11.25" x14ac:dyDescent="0.2">
      <c r="A43" s="196">
        <v>0</v>
      </c>
      <c r="B43" s="196">
        <v>0</v>
      </c>
      <c r="C43" s="856"/>
      <c r="D43" s="857"/>
      <c r="E43" s="857"/>
      <c r="F43" s="857"/>
      <c r="G43" s="857"/>
      <c r="H43" s="857"/>
      <c r="I43" s="858"/>
    </row>
    <row r="44" spans="1:9" s="175" customFormat="1" ht="10.5" x14ac:dyDescent="0.15">
      <c r="A44" s="193">
        <f>SUM(A43)</f>
        <v>0</v>
      </c>
      <c r="B44" s="193">
        <f>SUM(B43)</f>
        <v>0</v>
      </c>
      <c r="C44" s="770" t="s">
        <v>34</v>
      </c>
      <c r="D44" s="770"/>
      <c r="E44" s="770"/>
      <c r="F44" s="770"/>
      <c r="G44" s="770"/>
      <c r="H44" s="770"/>
      <c r="I44" s="771"/>
    </row>
    <row r="45" spans="1:9" s="176" customFormat="1" ht="11.25" x14ac:dyDescent="0.2">
      <c r="C45" s="180"/>
    </row>
    <row r="46" spans="1:9" s="176" customFormat="1" ht="11.25" x14ac:dyDescent="0.2">
      <c r="A46" s="750" t="s">
        <v>148</v>
      </c>
      <c r="B46" s="750"/>
      <c r="C46" s="750"/>
      <c r="D46" s="750"/>
      <c r="E46" s="750"/>
      <c r="F46" s="750"/>
      <c r="G46" s="750"/>
      <c r="H46" s="750"/>
      <c r="I46" s="750"/>
    </row>
    <row r="47" spans="1:9" s="176" customFormat="1" ht="11.25" x14ac:dyDescent="0.2">
      <c r="C47" s="180"/>
    </row>
    <row r="48" spans="1:9" s="197" customFormat="1" ht="11.25" x14ac:dyDescent="0.2">
      <c r="A48" s="753" t="s">
        <v>86</v>
      </c>
      <c r="B48" s="753"/>
      <c r="C48" s="612" t="s">
        <v>87</v>
      </c>
      <c r="D48" s="611" t="s">
        <v>88</v>
      </c>
      <c r="E48" s="611" t="s">
        <v>25</v>
      </c>
    </row>
    <row r="49" spans="1:5" s="176" customFormat="1" ht="11.25" x14ac:dyDescent="0.2">
      <c r="A49" s="883" t="s">
        <v>734</v>
      </c>
      <c r="B49" s="883"/>
      <c r="C49" s="236">
        <v>41744</v>
      </c>
      <c r="D49" s="236">
        <v>41787</v>
      </c>
      <c r="E49" s="235">
        <v>10000</v>
      </c>
    </row>
    <row r="50" spans="1:5" s="176" customFormat="1" ht="11.25" x14ac:dyDescent="0.2">
      <c r="A50" s="901" t="s">
        <v>735</v>
      </c>
      <c r="B50" s="901"/>
      <c r="C50" s="236">
        <v>41744</v>
      </c>
      <c r="D50" s="236">
        <v>41787</v>
      </c>
      <c r="E50" s="200">
        <v>5500</v>
      </c>
    </row>
    <row r="51" spans="1:5" s="176" customFormat="1" ht="11.25" x14ac:dyDescent="0.2">
      <c r="A51" s="901" t="s">
        <v>736</v>
      </c>
      <c r="B51" s="901"/>
      <c r="C51" s="236">
        <v>41744</v>
      </c>
      <c r="D51" s="236">
        <v>41787</v>
      </c>
      <c r="E51" s="200">
        <v>4500</v>
      </c>
    </row>
    <row r="52" spans="1:5" s="176" customFormat="1" ht="11.25" x14ac:dyDescent="0.2">
      <c r="A52" s="901" t="s">
        <v>737</v>
      </c>
      <c r="B52" s="901"/>
      <c r="C52" s="236">
        <v>41671</v>
      </c>
      <c r="D52" s="236">
        <v>41791</v>
      </c>
      <c r="E52" s="200">
        <v>50</v>
      </c>
    </row>
    <row r="53" spans="1:5" s="176" customFormat="1" ht="11.25" x14ac:dyDescent="0.2">
      <c r="A53" s="901" t="s">
        <v>738</v>
      </c>
      <c r="B53" s="901"/>
      <c r="C53" s="236">
        <v>41671</v>
      </c>
      <c r="D53" s="236">
        <v>41791</v>
      </c>
      <c r="E53" s="200">
        <v>-50</v>
      </c>
    </row>
    <row r="54" spans="1:5" s="176" customFormat="1" ht="11.25" x14ac:dyDescent="0.2">
      <c r="A54" s="901" t="s">
        <v>739</v>
      </c>
      <c r="B54" s="901"/>
      <c r="C54" s="236">
        <v>41961</v>
      </c>
      <c r="D54" s="236">
        <v>41970</v>
      </c>
      <c r="E54" s="200">
        <v>-27000</v>
      </c>
    </row>
    <row r="55" spans="1:5" s="176" customFormat="1" ht="11.25" x14ac:dyDescent="0.2">
      <c r="A55" s="901" t="s">
        <v>740</v>
      </c>
      <c r="B55" s="901"/>
      <c r="C55" s="236">
        <v>41961</v>
      </c>
      <c r="D55" s="236">
        <v>41970</v>
      </c>
      <c r="E55" s="200">
        <v>20000</v>
      </c>
    </row>
    <row r="56" spans="1:5" s="176" customFormat="1" ht="11.25" x14ac:dyDescent="0.2">
      <c r="A56" s="901" t="s">
        <v>750</v>
      </c>
      <c r="B56" s="901"/>
      <c r="C56" s="236">
        <v>41961</v>
      </c>
      <c r="D56" s="236">
        <v>41970</v>
      </c>
      <c r="E56" s="200">
        <v>7000</v>
      </c>
    </row>
    <row r="57" spans="1:5" s="176" customFormat="1" ht="11.25" customHeight="1" x14ac:dyDescent="0.2">
      <c r="A57" s="901" t="s">
        <v>739</v>
      </c>
      <c r="B57" s="901"/>
      <c r="C57" s="236">
        <v>41961</v>
      </c>
      <c r="D57" s="236">
        <v>41970</v>
      </c>
      <c r="E57" s="200">
        <v>-15000</v>
      </c>
    </row>
    <row r="58" spans="1:5" s="176" customFormat="1" ht="11.25" x14ac:dyDescent="0.2">
      <c r="A58" s="901" t="s">
        <v>749</v>
      </c>
      <c r="B58" s="901"/>
      <c r="C58" s="236">
        <v>41961</v>
      </c>
      <c r="D58" s="236">
        <v>41970</v>
      </c>
      <c r="E58" s="200">
        <v>15000</v>
      </c>
    </row>
    <row r="59" spans="1:5" s="176" customFormat="1" ht="11.25" x14ac:dyDescent="0.2">
      <c r="A59" s="901" t="s">
        <v>739</v>
      </c>
      <c r="B59" s="901"/>
      <c r="C59" s="236">
        <v>41976</v>
      </c>
      <c r="D59" s="236">
        <v>41977</v>
      </c>
      <c r="E59" s="200">
        <v>-138000</v>
      </c>
    </row>
    <row r="60" spans="1:5" s="176" customFormat="1" ht="11.25" x14ac:dyDescent="0.2">
      <c r="A60" s="901" t="s">
        <v>748</v>
      </c>
      <c r="B60" s="901"/>
      <c r="C60" s="236">
        <v>41976</v>
      </c>
      <c r="D60" s="236">
        <v>41977</v>
      </c>
      <c r="E60" s="200">
        <v>138000</v>
      </c>
    </row>
    <row r="61" spans="1:5" s="176" customFormat="1" ht="11.25" x14ac:dyDescent="0.2">
      <c r="A61" s="901" t="s">
        <v>741</v>
      </c>
      <c r="B61" s="901"/>
      <c r="C61" s="236">
        <v>41961</v>
      </c>
      <c r="D61" s="236">
        <v>41988</v>
      </c>
      <c r="E61" s="200">
        <v>60000</v>
      </c>
    </row>
    <row r="62" spans="1:5" s="176" customFormat="1" ht="11.25" x14ac:dyDescent="0.2">
      <c r="A62" s="901" t="s">
        <v>742</v>
      </c>
      <c r="B62" s="901"/>
      <c r="C62" s="236">
        <v>41961</v>
      </c>
      <c r="D62" s="236">
        <v>41988</v>
      </c>
      <c r="E62" s="200">
        <v>3000</v>
      </c>
    </row>
    <row r="63" spans="1:5" s="176" customFormat="1" ht="11.25" x14ac:dyDescent="0.2">
      <c r="A63" s="901" t="s">
        <v>743</v>
      </c>
      <c r="B63" s="901"/>
      <c r="C63" s="236">
        <v>41961</v>
      </c>
      <c r="D63" s="236">
        <v>41988</v>
      </c>
      <c r="E63" s="200">
        <v>57000</v>
      </c>
    </row>
    <row r="64" spans="1:5" s="176" customFormat="1" ht="11.25" x14ac:dyDescent="0.2">
      <c r="A64" s="901" t="s">
        <v>744</v>
      </c>
      <c r="B64" s="901"/>
      <c r="C64" s="236">
        <v>41961</v>
      </c>
      <c r="D64" s="236">
        <v>42004</v>
      </c>
      <c r="E64" s="200">
        <v>20000</v>
      </c>
    </row>
    <row r="65" spans="1:9" s="176" customFormat="1" ht="11.25" x14ac:dyDescent="0.2">
      <c r="A65" s="901" t="s">
        <v>745</v>
      </c>
      <c r="B65" s="901"/>
      <c r="C65" s="236">
        <v>41961</v>
      </c>
      <c r="D65" s="236">
        <v>42004</v>
      </c>
      <c r="E65" s="200">
        <v>20000</v>
      </c>
    </row>
    <row r="66" spans="1:9" s="176" customFormat="1" ht="11.25" x14ac:dyDescent="0.2">
      <c r="A66" s="901" t="s">
        <v>746</v>
      </c>
      <c r="B66" s="901"/>
      <c r="C66" s="236">
        <v>41977</v>
      </c>
      <c r="D66" s="236">
        <v>41977</v>
      </c>
      <c r="E66" s="200">
        <v>-68000</v>
      </c>
    </row>
    <row r="67" spans="1:9" s="176" customFormat="1" ht="11.25" x14ac:dyDescent="0.2">
      <c r="A67" s="901" t="s">
        <v>747</v>
      </c>
      <c r="B67" s="901"/>
      <c r="C67" s="236">
        <v>41977</v>
      </c>
      <c r="D67" s="236">
        <v>41977</v>
      </c>
      <c r="E67" s="200">
        <v>68000</v>
      </c>
    </row>
    <row r="68" spans="1:9" s="176" customFormat="1" ht="11.25" x14ac:dyDescent="0.2">
      <c r="C68" s="180"/>
    </row>
    <row r="69" spans="1:9" s="176" customFormat="1" ht="11.25" x14ac:dyDescent="0.2">
      <c r="A69" s="794" t="s">
        <v>152</v>
      </c>
      <c r="B69" s="794"/>
      <c r="C69" s="794"/>
      <c r="D69" s="794"/>
      <c r="E69" s="794"/>
      <c r="F69" s="794"/>
      <c r="G69" s="794"/>
      <c r="H69" s="794"/>
      <c r="I69" s="794"/>
    </row>
    <row r="70" spans="1:9" s="176" customFormat="1" ht="11.25" x14ac:dyDescent="0.2"/>
    <row r="71" spans="1:9" s="176" customFormat="1" ht="11.25" x14ac:dyDescent="0.2">
      <c r="A71" s="887" t="s">
        <v>754</v>
      </c>
      <c r="B71" s="888"/>
      <c r="C71" s="888"/>
      <c r="D71" s="888"/>
      <c r="E71" s="888"/>
      <c r="F71" s="888"/>
      <c r="G71" s="888"/>
      <c r="H71" s="888"/>
      <c r="I71" s="889"/>
    </row>
    <row r="72" spans="1:9" s="176" customFormat="1" ht="22.5" customHeight="1" x14ac:dyDescent="0.2">
      <c r="A72" s="1240" t="s">
        <v>751</v>
      </c>
      <c r="B72" s="1240"/>
      <c r="C72" s="1240"/>
      <c r="D72" s="1240"/>
      <c r="E72" s="1240"/>
      <c r="F72" s="1240"/>
      <c r="G72" s="1240"/>
      <c r="H72" s="1240"/>
      <c r="I72" s="1240"/>
    </row>
    <row r="73" spans="1:9" s="176" customFormat="1" ht="11.25" x14ac:dyDescent="0.2"/>
    <row r="74" spans="1:9" s="175" customFormat="1" ht="10.5" x14ac:dyDescent="0.15">
      <c r="A74" s="750" t="s">
        <v>153</v>
      </c>
      <c r="B74" s="750"/>
      <c r="C74" s="750"/>
      <c r="D74" s="750"/>
      <c r="E74" s="750"/>
      <c r="F74" s="750"/>
      <c r="G74" s="750"/>
      <c r="H74" s="750"/>
      <c r="I74" s="750"/>
    </row>
    <row r="75" spans="1:9" s="176" customFormat="1" ht="11.25" x14ac:dyDescent="0.2"/>
    <row r="76" spans="1:9" s="176" customFormat="1" ht="46.5" customHeight="1" x14ac:dyDescent="0.2">
      <c r="A76" s="887" t="s">
        <v>752</v>
      </c>
      <c r="B76" s="888"/>
      <c r="C76" s="888"/>
      <c r="D76" s="888"/>
      <c r="E76" s="888"/>
      <c r="F76" s="888"/>
      <c r="G76" s="888"/>
      <c r="H76" s="888"/>
      <c r="I76" s="889"/>
    </row>
    <row r="77" spans="1:9" s="176" customFormat="1" ht="13.5" customHeight="1" x14ac:dyDescent="0.2">
      <c r="A77" s="887" t="s">
        <v>121</v>
      </c>
      <c r="B77" s="888"/>
      <c r="C77" s="888"/>
      <c r="D77" s="888"/>
      <c r="E77" s="888"/>
      <c r="F77" s="888"/>
      <c r="G77" s="888"/>
      <c r="H77" s="888"/>
      <c r="I77" s="889"/>
    </row>
    <row r="78" spans="1:9" s="176" customFormat="1" ht="12" customHeight="1" x14ac:dyDescent="0.2">
      <c r="A78" s="887" t="s">
        <v>753</v>
      </c>
      <c r="B78" s="888"/>
      <c r="C78" s="888"/>
      <c r="D78" s="888"/>
      <c r="E78" s="888"/>
      <c r="F78" s="888"/>
      <c r="G78" s="888"/>
      <c r="H78" s="888"/>
      <c r="I78" s="889"/>
    </row>
    <row r="79" spans="1:9" s="128" customFormat="1" x14ac:dyDescent="0.2"/>
    <row r="80" spans="1:9" s="128" customFormat="1" x14ac:dyDescent="0.2"/>
  </sheetData>
  <mergeCells count="60">
    <mergeCell ref="A77:I77"/>
    <mergeCell ref="A78:I78"/>
    <mergeCell ref="A76:I76"/>
    <mergeCell ref="A66:B66"/>
    <mergeCell ref="A67:B67"/>
    <mergeCell ref="A69:I69"/>
    <mergeCell ref="A71:I71"/>
    <mergeCell ref="A74:I74"/>
    <mergeCell ref="A72:I72"/>
    <mergeCell ref="A28:I28"/>
    <mergeCell ref="D30:I30"/>
    <mergeCell ref="A58:B58"/>
    <mergeCell ref="A59:B59"/>
    <mergeCell ref="A8:B8"/>
    <mergeCell ref="A19:I19"/>
    <mergeCell ref="F21:I21"/>
    <mergeCell ref="F22:I22"/>
    <mergeCell ref="F23:I23"/>
    <mergeCell ref="C32:I32"/>
    <mergeCell ref="A34:I34"/>
    <mergeCell ref="D36:I36"/>
    <mergeCell ref="F24:I24"/>
    <mergeCell ref="F25:I25"/>
    <mergeCell ref="F26:I26"/>
    <mergeCell ref="D31:I31"/>
    <mergeCell ref="A3:I3"/>
    <mergeCell ref="A5:B5"/>
    <mergeCell ref="D5:I5"/>
    <mergeCell ref="A6:B6"/>
    <mergeCell ref="D6:I6"/>
    <mergeCell ref="A7:B7"/>
    <mergeCell ref="D7:I7"/>
    <mergeCell ref="D8:I8"/>
    <mergeCell ref="A11:I11"/>
    <mergeCell ref="A15:A16"/>
    <mergeCell ref="A9:B9"/>
    <mergeCell ref="D9:I9"/>
    <mergeCell ref="A53:B53"/>
    <mergeCell ref="D37:I37"/>
    <mergeCell ref="C38:I38"/>
    <mergeCell ref="C42:I42"/>
    <mergeCell ref="C43:I43"/>
    <mergeCell ref="C44:I44"/>
    <mergeCell ref="A46:I46"/>
    <mergeCell ref="A40:I40"/>
    <mergeCell ref="A48:B48"/>
    <mergeCell ref="A49:B49"/>
    <mergeCell ref="A50:B50"/>
    <mergeCell ref="A51:B51"/>
    <mergeCell ref="A52:B52"/>
    <mergeCell ref="A54:B54"/>
    <mergeCell ref="A55:B55"/>
    <mergeCell ref="A56:B56"/>
    <mergeCell ref="A57:B57"/>
    <mergeCell ref="A60:B60"/>
    <mergeCell ref="A61:B61"/>
    <mergeCell ref="A62:B62"/>
    <mergeCell ref="A63:B63"/>
    <mergeCell ref="A64:B64"/>
    <mergeCell ref="A65:B65"/>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12" enableFormatConditionsCalculation="0">
    <tabColor rgb="FF92D050"/>
  </sheetPr>
  <dimension ref="A1:X68"/>
  <sheetViews>
    <sheetView tabSelected="1" zoomScaleNormal="100" workbookViewId="0"/>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833" t="s">
        <v>106</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38"/>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45"/>
      <c r="B4" s="839"/>
      <c r="C4" s="840"/>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846"/>
      <c r="B5" s="841"/>
      <c r="C5" s="842"/>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9869350</v>
      </c>
      <c r="F6" s="67">
        <f>SUM(F7:F9)</f>
        <v>9959350</v>
      </c>
      <c r="G6" s="67">
        <f>SUM(G7:G9)</f>
        <v>9988039</v>
      </c>
      <c r="H6" s="28">
        <f t="shared" ref="H6:H37" si="0">G6/F6*100</f>
        <v>100.28806096783424</v>
      </c>
      <c r="I6" s="67">
        <f>SUM(I7:I9)</f>
        <v>9758353</v>
      </c>
      <c r="J6" s="67">
        <f>SUM(J7:J9)</f>
        <v>8137000</v>
      </c>
      <c r="K6" s="67">
        <f t="shared" ref="K6:X6" si="1">SUM(K7:K9)</f>
        <v>8227000</v>
      </c>
      <c r="L6" s="67">
        <f t="shared" si="1"/>
        <v>8255689</v>
      </c>
      <c r="M6" s="28">
        <f t="shared" ref="M6:M34" si="2">L6/K6*100</f>
        <v>100.34871763704874</v>
      </c>
      <c r="N6" s="68">
        <f t="shared" si="1"/>
        <v>8025790</v>
      </c>
      <c r="O6" s="67">
        <f t="shared" si="1"/>
        <v>1732350</v>
      </c>
      <c r="P6" s="67">
        <f t="shared" si="1"/>
        <v>1732350</v>
      </c>
      <c r="Q6" s="67">
        <f t="shared" si="1"/>
        <v>1732350</v>
      </c>
      <c r="R6" s="28">
        <f t="shared" ref="R6:R34" si="3">Q6/P6*100</f>
        <v>100</v>
      </c>
      <c r="S6" s="67">
        <f t="shared" si="1"/>
        <v>1732563</v>
      </c>
      <c r="T6" s="67">
        <f t="shared" si="1"/>
        <v>0</v>
      </c>
      <c r="U6" s="67">
        <f t="shared" si="1"/>
        <v>0</v>
      </c>
      <c r="V6" s="67">
        <f t="shared" si="1"/>
        <v>0</v>
      </c>
      <c r="W6" s="28" t="e">
        <f t="shared" ref="W6:W34" si="4">V6/U6*100</f>
        <v>#DIV/0!</v>
      </c>
      <c r="X6" s="67">
        <f t="shared" si="1"/>
        <v>0</v>
      </c>
    </row>
    <row r="7" spans="1:24" s="6" customFormat="1" ht="9.9499999999999993" customHeight="1" x14ac:dyDescent="0.2">
      <c r="A7" s="34" t="s">
        <v>2</v>
      </c>
      <c r="B7" s="827" t="s">
        <v>47</v>
      </c>
      <c r="C7" s="828"/>
      <c r="D7" s="55" t="s">
        <v>25</v>
      </c>
      <c r="E7" s="70">
        <f t="shared" ref="E7:G10" si="5">SUM(J7,O7)</f>
        <v>631000</v>
      </c>
      <c r="F7" s="71">
        <f t="shared" si="5"/>
        <v>711000</v>
      </c>
      <c r="G7" s="71">
        <f t="shared" si="5"/>
        <v>740105</v>
      </c>
      <c r="H7" s="10">
        <f t="shared" si="0"/>
        <v>104.09353023909986</v>
      </c>
      <c r="I7" s="72">
        <f>SUM(N7,S7)</f>
        <v>755076</v>
      </c>
      <c r="J7" s="73">
        <v>631000</v>
      </c>
      <c r="K7" s="74">
        <v>711000</v>
      </c>
      <c r="L7" s="74">
        <v>740105</v>
      </c>
      <c r="M7" s="10">
        <f t="shared" si="2"/>
        <v>104.09353023909986</v>
      </c>
      <c r="N7" s="75">
        <v>755076</v>
      </c>
      <c r="O7" s="76"/>
      <c r="P7" s="74"/>
      <c r="Q7" s="74"/>
      <c r="R7" s="10" t="e">
        <f t="shared" si="3"/>
        <v>#DIV/0!</v>
      </c>
      <c r="S7" s="75"/>
      <c r="T7" s="76"/>
      <c r="U7" s="74"/>
      <c r="V7" s="74"/>
      <c r="W7" s="10" t="e">
        <f t="shared" si="4"/>
        <v>#DIV/0!</v>
      </c>
      <c r="X7" s="122"/>
    </row>
    <row r="8" spans="1:24" s="6" customFormat="1" ht="9.9499999999999993" customHeight="1" x14ac:dyDescent="0.2">
      <c r="A8" s="35" t="s">
        <v>3</v>
      </c>
      <c r="B8" s="829" t="s">
        <v>48</v>
      </c>
      <c r="C8" s="830"/>
      <c r="D8" s="56" t="s">
        <v>25</v>
      </c>
      <c r="E8" s="77">
        <f t="shared" si="5"/>
        <v>500</v>
      </c>
      <c r="F8" s="78">
        <f t="shared" si="5"/>
        <v>500</v>
      </c>
      <c r="G8" s="78">
        <f t="shared" si="5"/>
        <v>72</v>
      </c>
      <c r="H8" s="11">
        <f t="shared" si="0"/>
        <v>14.399999999999999</v>
      </c>
      <c r="I8" s="79">
        <f>SUM(N8,S8)</f>
        <v>194</v>
      </c>
      <c r="J8" s="80">
        <v>500</v>
      </c>
      <c r="K8" s="78">
        <v>500</v>
      </c>
      <c r="L8" s="78">
        <v>72</v>
      </c>
      <c r="M8" s="11">
        <f t="shared" si="2"/>
        <v>14.399999999999999</v>
      </c>
      <c r="N8" s="79">
        <v>194</v>
      </c>
      <c r="O8" s="77"/>
      <c r="P8" s="78"/>
      <c r="Q8" s="78"/>
      <c r="R8" s="11" t="e">
        <f t="shared" si="3"/>
        <v>#DIV/0!</v>
      </c>
      <c r="S8" s="79"/>
      <c r="T8" s="77"/>
      <c r="U8" s="78"/>
      <c r="V8" s="78"/>
      <c r="W8" s="11" t="e">
        <f t="shared" si="4"/>
        <v>#DIV/0!</v>
      </c>
      <c r="X8" s="81"/>
    </row>
    <row r="9" spans="1:24" s="6" customFormat="1" ht="9.9499999999999993" customHeight="1" x14ac:dyDescent="0.2">
      <c r="A9" s="36" t="s">
        <v>4</v>
      </c>
      <c r="B9" s="44" t="s">
        <v>66</v>
      </c>
      <c r="C9" s="45"/>
      <c r="D9" s="57" t="s">
        <v>25</v>
      </c>
      <c r="E9" s="82">
        <f t="shared" si="5"/>
        <v>9237850</v>
      </c>
      <c r="F9" s="83">
        <f t="shared" si="5"/>
        <v>9247850</v>
      </c>
      <c r="G9" s="83">
        <f t="shared" si="5"/>
        <v>9247862</v>
      </c>
      <c r="H9" s="31">
        <f t="shared" si="0"/>
        <v>100.00012975989014</v>
      </c>
      <c r="I9" s="84">
        <f>SUM(N9,S9)</f>
        <v>9003083</v>
      </c>
      <c r="J9" s="85">
        <v>7505500</v>
      </c>
      <c r="K9" s="83">
        <v>7515500</v>
      </c>
      <c r="L9" s="83">
        <v>7515512</v>
      </c>
      <c r="M9" s="31">
        <f t="shared" si="2"/>
        <v>100.00015967001529</v>
      </c>
      <c r="N9" s="84">
        <v>7270520</v>
      </c>
      <c r="O9" s="82">
        <v>1732350</v>
      </c>
      <c r="P9" s="83">
        <v>1732350</v>
      </c>
      <c r="Q9" s="83">
        <v>1732350</v>
      </c>
      <c r="R9" s="31">
        <f t="shared" si="3"/>
        <v>100</v>
      </c>
      <c r="S9" s="84">
        <v>1732563</v>
      </c>
      <c r="T9" s="82"/>
      <c r="U9" s="83"/>
      <c r="V9" s="83"/>
      <c r="W9" s="31" t="e">
        <f t="shared" si="4"/>
        <v>#DIV/0!</v>
      </c>
      <c r="X9" s="86"/>
    </row>
    <row r="10" spans="1:24" s="6" customFormat="1" ht="9.9499999999999993" customHeight="1" x14ac:dyDescent="0.2">
      <c r="A10" s="33" t="s">
        <v>5</v>
      </c>
      <c r="B10" s="826" t="s">
        <v>7</v>
      </c>
      <c r="C10" s="826"/>
      <c r="D10" s="23" t="s">
        <v>25</v>
      </c>
      <c r="E10" s="87">
        <f t="shared" si="5"/>
        <v>0</v>
      </c>
      <c r="F10" s="87">
        <f t="shared" si="5"/>
        <v>59000</v>
      </c>
      <c r="G10" s="87">
        <f t="shared" si="5"/>
        <v>59000</v>
      </c>
      <c r="H10" s="28">
        <f t="shared" si="0"/>
        <v>100</v>
      </c>
      <c r="I10" s="88">
        <f>SUM(N10,S10)</f>
        <v>0</v>
      </c>
      <c r="J10" s="69"/>
      <c r="K10" s="87"/>
      <c r="L10" s="87"/>
      <c r="M10" s="28" t="e">
        <f t="shared" si="2"/>
        <v>#DIV/0!</v>
      </c>
      <c r="N10" s="88"/>
      <c r="O10" s="87"/>
      <c r="P10" s="87">
        <v>59000</v>
      </c>
      <c r="Q10" s="87">
        <v>59000</v>
      </c>
      <c r="R10" s="28">
        <f t="shared" si="3"/>
        <v>100</v>
      </c>
      <c r="S10" s="88"/>
      <c r="T10" s="87"/>
      <c r="U10" s="87"/>
      <c r="V10" s="87"/>
      <c r="W10" s="28" t="e">
        <f t="shared" si="4"/>
        <v>#DIV/0!</v>
      </c>
      <c r="X10" s="87"/>
    </row>
    <row r="11" spans="1:24" s="6" customFormat="1" ht="9.9499999999999993" customHeight="1" x14ac:dyDescent="0.2">
      <c r="A11" s="33" t="s">
        <v>6</v>
      </c>
      <c r="B11" s="826" t="s">
        <v>9</v>
      </c>
      <c r="C11" s="826"/>
      <c r="D11" s="23" t="s">
        <v>25</v>
      </c>
      <c r="E11" s="67">
        <f>SUM(E12:E31)</f>
        <v>9869350</v>
      </c>
      <c r="F11" s="67">
        <f>SUM(F12:F31)</f>
        <v>9959350</v>
      </c>
      <c r="G11" s="67">
        <f>SUM(G12:G31)</f>
        <v>9842631</v>
      </c>
      <c r="H11" s="28">
        <f t="shared" si="0"/>
        <v>98.828046007018528</v>
      </c>
      <c r="I11" s="68">
        <f>SUM(I12:I31)</f>
        <v>9603355</v>
      </c>
      <c r="J11" s="67">
        <f>SUM(J12:J31)</f>
        <v>8137000</v>
      </c>
      <c r="K11" s="67">
        <f>SUM(K12:K31)</f>
        <v>8227000</v>
      </c>
      <c r="L11" s="67">
        <f>SUM(L12:L31)</f>
        <v>8110281</v>
      </c>
      <c r="M11" s="28">
        <f t="shared" si="2"/>
        <v>98.581268992342288</v>
      </c>
      <c r="N11" s="68">
        <f>SUM(N12:N31)</f>
        <v>7870792</v>
      </c>
      <c r="O11" s="67">
        <f>SUM(O12:O31)</f>
        <v>1732350</v>
      </c>
      <c r="P11" s="67">
        <f>SUM(P12:P31)</f>
        <v>1732350</v>
      </c>
      <c r="Q11" s="67">
        <f>SUM(Q12:Q31)</f>
        <v>1732350</v>
      </c>
      <c r="R11" s="28">
        <f t="shared" si="3"/>
        <v>100</v>
      </c>
      <c r="S11" s="68">
        <f>SUM(S12:S31)</f>
        <v>1732563</v>
      </c>
      <c r="T11" s="67">
        <f>SUM(T12:T31)</f>
        <v>0</v>
      </c>
      <c r="U11" s="67">
        <f>SUM(U12:U31)</f>
        <v>0</v>
      </c>
      <c r="V11" s="67">
        <f>SUM(V12:V31)</f>
        <v>0</v>
      </c>
      <c r="W11" s="28" t="e">
        <f t="shared" si="4"/>
        <v>#DIV/0!</v>
      </c>
      <c r="X11" s="67">
        <f>SUM(X12:X31)</f>
        <v>0</v>
      </c>
    </row>
    <row r="12" spans="1:24" s="6" customFormat="1" ht="9.9499999999999993" customHeight="1" x14ac:dyDescent="0.2">
      <c r="A12" s="37" t="s">
        <v>8</v>
      </c>
      <c r="B12" s="831" t="s">
        <v>28</v>
      </c>
      <c r="C12" s="832"/>
      <c r="D12" s="58" t="s">
        <v>25</v>
      </c>
      <c r="E12" s="70">
        <f t="shared" ref="E12:I27" si="6">SUM(J12,O12)</f>
        <v>1413950</v>
      </c>
      <c r="F12" s="71">
        <f t="shared" si="6"/>
        <v>1556550</v>
      </c>
      <c r="G12" s="71">
        <f t="shared" si="6"/>
        <v>1549010</v>
      </c>
      <c r="H12" s="10">
        <f t="shared" si="0"/>
        <v>99.515595387234583</v>
      </c>
      <c r="I12" s="72">
        <f t="shared" si="6"/>
        <v>1297448</v>
      </c>
      <c r="J12" s="89">
        <v>1125000</v>
      </c>
      <c r="K12" s="90">
        <v>1271500</v>
      </c>
      <c r="L12" s="90">
        <v>1263247</v>
      </c>
      <c r="M12" s="10">
        <f t="shared" si="2"/>
        <v>99.350924105387335</v>
      </c>
      <c r="N12" s="91">
        <v>998105</v>
      </c>
      <c r="O12" s="92">
        <v>288950</v>
      </c>
      <c r="P12" s="90">
        <v>285050</v>
      </c>
      <c r="Q12" s="90">
        <v>285763</v>
      </c>
      <c r="R12" s="10">
        <f t="shared" si="3"/>
        <v>100.2501315558674</v>
      </c>
      <c r="S12" s="93">
        <v>299343</v>
      </c>
      <c r="T12" s="92"/>
      <c r="U12" s="90"/>
      <c r="V12" s="90"/>
      <c r="W12" s="10" t="e">
        <f t="shared" si="4"/>
        <v>#DIV/0!</v>
      </c>
      <c r="X12" s="94"/>
    </row>
    <row r="13" spans="1:24" s="6" customFormat="1" ht="9.9499999999999993" customHeight="1" x14ac:dyDescent="0.2">
      <c r="A13" s="38" t="s">
        <v>10</v>
      </c>
      <c r="B13" s="815" t="s">
        <v>29</v>
      </c>
      <c r="C13" s="816"/>
      <c r="D13" s="56" t="s">
        <v>25</v>
      </c>
      <c r="E13" s="77">
        <f t="shared" si="6"/>
        <v>558300</v>
      </c>
      <c r="F13" s="78">
        <f t="shared" si="6"/>
        <v>375300</v>
      </c>
      <c r="G13" s="78">
        <f t="shared" si="6"/>
        <v>334440</v>
      </c>
      <c r="H13" s="11">
        <f t="shared" si="0"/>
        <v>89.1127098321343</v>
      </c>
      <c r="I13" s="79">
        <f t="shared" si="6"/>
        <v>431176</v>
      </c>
      <c r="J13" s="95">
        <v>550000</v>
      </c>
      <c r="K13" s="78">
        <v>370000</v>
      </c>
      <c r="L13" s="78">
        <v>329140</v>
      </c>
      <c r="M13" s="11">
        <f t="shared" si="2"/>
        <v>88.956756756756761</v>
      </c>
      <c r="N13" s="79">
        <v>422781</v>
      </c>
      <c r="O13" s="77">
        <v>8300</v>
      </c>
      <c r="P13" s="78">
        <v>5300</v>
      </c>
      <c r="Q13" s="78">
        <v>5300</v>
      </c>
      <c r="R13" s="11">
        <f t="shared" si="3"/>
        <v>100</v>
      </c>
      <c r="S13" s="79">
        <v>8395</v>
      </c>
      <c r="T13" s="77"/>
      <c r="U13" s="78"/>
      <c r="V13" s="78"/>
      <c r="W13" s="11" t="e">
        <f t="shared" si="4"/>
        <v>#DIV/0!</v>
      </c>
      <c r="X13" s="81"/>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c r="K14" s="78"/>
      <c r="L14" s="78"/>
      <c r="M14" s="11" t="e">
        <f t="shared" si="2"/>
        <v>#DIV/0!</v>
      </c>
      <c r="N14" s="79"/>
      <c r="O14" s="77"/>
      <c r="P14" s="78"/>
      <c r="Q14" s="78"/>
      <c r="R14" s="11" t="e">
        <f t="shared" si="3"/>
        <v>#DIV/0!</v>
      </c>
      <c r="S14" s="79"/>
      <c r="T14" s="77"/>
      <c r="U14" s="78"/>
      <c r="V14" s="78"/>
      <c r="W14" s="11" t="e">
        <f t="shared" si="4"/>
        <v>#DIV/0!</v>
      </c>
      <c r="X14" s="81"/>
    </row>
    <row r="15" spans="1:24" s="6" customFormat="1" ht="9.9499999999999993" customHeight="1" x14ac:dyDescent="0.2">
      <c r="A15" s="38" t="s">
        <v>12</v>
      </c>
      <c r="B15" s="815" t="s">
        <v>68</v>
      </c>
      <c r="C15" s="816"/>
      <c r="D15" s="56" t="s">
        <v>25</v>
      </c>
      <c r="E15" s="77">
        <f t="shared" si="6"/>
        <v>135000</v>
      </c>
      <c r="F15" s="78">
        <f t="shared" si="6"/>
        <v>135000</v>
      </c>
      <c r="G15" s="78">
        <f t="shared" si="6"/>
        <v>126706</v>
      </c>
      <c r="H15" s="11">
        <f t="shared" si="0"/>
        <v>93.856296296296293</v>
      </c>
      <c r="I15" s="79">
        <f t="shared" si="6"/>
        <v>122128</v>
      </c>
      <c r="J15" s="95">
        <v>135000</v>
      </c>
      <c r="K15" s="78">
        <v>135000</v>
      </c>
      <c r="L15" s="78">
        <v>126706</v>
      </c>
      <c r="M15" s="11">
        <f t="shared" si="2"/>
        <v>93.856296296296293</v>
      </c>
      <c r="N15" s="79">
        <v>122128</v>
      </c>
      <c r="O15" s="77"/>
      <c r="P15" s="78"/>
      <c r="Q15" s="78"/>
      <c r="R15" s="11" t="e">
        <f t="shared" si="3"/>
        <v>#DIV/0!</v>
      </c>
      <c r="S15" s="79"/>
      <c r="T15" s="77"/>
      <c r="U15" s="78"/>
      <c r="V15" s="78"/>
      <c r="W15" s="11" t="e">
        <f t="shared" si="4"/>
        <v>#DIV/0!</v>
      </c>
      <c r="X15" s="81"/>
    </row>
    <row r="16" spans="1:24" s="6" customFormat="1" ht="9.9499999999999993" customHeight="1" x14ac:dyDescent="0.2">
      <c r="A16" s="38" t="s">
        <v>13</v>
      </c>
      <c r="B16" s="815" t="s">
        <v>30</v>
      </c>
      <c r="C16" s="816"/>
      <c r="D16" s="56" t="s">
        <v>25</v>
      </c>
      <c r="E16" s="77">
        <f t="shared" si="6"/>
        <v>40000</v>
      </c>
      <c r="F16" s="78">
        <f t="shared" si="6"/>
        <v>38500</v>
      </c>
      <c r="G16" s="78">
        <f t="shared" si="6"/>
        <v>37138</v>
      </c>
      <c r="H16" s="11">
        <f t="shared" si="0"/>
        <v>96.46233766233766</v>
      </c>
      <c r="I16" s="79">
        <f t="shared" si="6"/>
        <v>34151</v>
      </c>
      <c r="J16" s="95">
        <v>20000</v>
      </c>
      <c r="K16" s="78">
        <v>20000</v>
      </c>
      <c r="L16" s="78">
        <v>18893</v>
      </c>
      <c r="M16" s="11">
        <f t="shared" si="2"/>
        <v>94.465000000000003</v>
      </c>
      <c r="N16" s="79">
        <v>19470</v>
      </c>
      <c r="O16" s="77">
        <v>20000</v>
      </c>
      <c r="P16" s="78">
        <v>18500</v>
      </c>
      <c r="Q16" s="78">
        <v>18245</v>
      </c>
      <c r="R16" s="11">
        <f t="shared" si="3"/>
        <v>98.621621621621628</v>
      </c>
      <c r="S16" s="79">
        <v>14681</v>
      </c>
      <c r="T16" s="77"/>
      <c r="U16" s="78"/>
      <c r="V16" s="78"/>
      <c r="W16" s="11" t="e">
        <f t="shared" si="4"/>
        <v>#DIV/0!</v>
      </c>
      <c r="X16" s="81"/>
    </row>
    <row r="17" spans="1:24" s="6" customFormat="1" ht="9.9499999999999993" customHeight="1" x14ac:dyDescent="0.2">
      <c r="A17" s="38" t="s">
        <v>14</v>
      </c>
      <c r="B17" s="46" t="s">
        <v>49</v>
      </c>
      <c r="C17" s="47"/>
      <c r="D17" s="56" t="s">
        <v>25</v>
      </c>
      <c r="E17" s="77">
        <f t="shared" si="6"/>
        <v>3000</v>
      </c>
      <c r="F17" s="78">
        <f t="shared" si="6"/>
        <v>7500</v>
      </c>
      <c r="G17" s="78">
        <f t="shared" si="6"/>
        <v>6819</v>
      </c>
      <c r="H17" s="11">
        <f t="shared" si="0"/>
        <v>90.92</v>
      </c>
      <c r="I17" s="79">
        <f t="shared" si="6"/>
        <v>4548</v>
      </c>
      <c r="J17" s="95">
        <v>3000</v>
      </c>
      <c r="K17" s="78">
        <v>7500</v>
      </c>
      <c r="L17" s="78">
        <v>6819</v>
      </c>
      <c r="M17" s="11">
        <f t="shared" si="2"/>
        <v>90.92</v>
      </c>
      <c r="N17" s="79">
        <v>4548</v>
      </c>
      <c r="O17" s="77"/>
      <c r="P17" s="78"/>
      <c r="Q17" s="78"/>
      <c r="R17" s="11" t="e">
        <f t="shared" si="3"/>
        <v>#DIV/0!</v>
      </c>
      <c r="S17" s="79"/>
      <c r="T17" s="77"/>
      <c r="U17" s="78"/>
      <c r="V17" s="78"/>
      <c r="W17" s="11" t="e">
        <f t="shared" si="4"/>
        <v>#DIV/0!</v>
      </c>
      <c r="X17" s="81"/>
    </row>
    <row r="18" spans="1:24" s="6" customFormat="1" ht="9.9499999999999993" customHeight="1" x14ac:dyDescent="0.2">
      <c r="A18" s="38" t="s">
        <v>15</v>
      </c>
      <c r="B18" s="815" t="s">
        <v>31</v>
      </c>
      <c r="C18" s="816"/>
      <c r="D18" s="56" t="s">
        <v>25</v>
      </c>
      <c r="E18" s="77">
        <f t="shared" si="6"/>
        <v>671500</v>
      </c>
      <c r="F18" s="78">
        <f t="shared" si="6"/>
        <v>601000</v>
      </c>
      <c r="G18" s="78">
        <f t="shared" si="6"/>
        <v>559207</v>
      </c>
      <c r="H18" s="11">
        <f t="shared" si="0"/>
        <v>93.046089850249587</v>
      </c>
      <c r="I18" s="79">
        <f t="shared" si="6"/>
        <v>625964</v>
      </c>
      <c r="J18" s="95">
        <v>650000</v>
      </c>
      <c r="K18" s="78">
        <v>582000</v>
      </c>
      <c r="L18" s="78">
        <v>540142</v>
      </c>
      <c r="M18" s="11">
        <f t="shared" si="2"/>
        <v>92.807903780068727</v>
      </c>
      <c r="N18" s="79">
        <v>608360</v>
      </c>
      <c r="O18" s="77">
        <v>21500</v>
      </c>
      <c r="P18" s="78">
        <v>19000</v>
      </c>
      <c r="Q18" s="78">
        <v>19065</v>
      </c>
      <c r="R18" s="11">
        <f t="shared" si="3"/>
        <v>100.3421052631579</v>
      </c>
      <c r="S18" s="79">
        <v>17604</v>
      </c>
      <c r="T18" s="77"/>
      <c r="U18" s="78"/>
      <c r="V18" s="78"/>
      <c r="W18" s="11" t="e">
        <f t="shared" si="4"/>
        <v>#DIV/0!</v>
      </c>
      <c r="X18" s="81"/>
    </row>
    <row r="19" spans="1:24" s="12" customFormat="1" ht="9.9499999999999993" customHeight="1" x14ac:dyDescent="0.2">
      <c r="A19" s="38" t="s">
        <v>16</v>
      </c>
      <c r="B19" s="815" t="s">
        <v>32</v>
      </c>
      <c r="C19" s="816"/>
      <c r="D19" s="56" t="s">
        <v>25</v>
      </c>
      <c r="E19" s="77">
        <f t="shared" si="6"/>
        <v>5035000</v>
      </c>
      <c r="F19" s="78">
        <f t="shared" si="6"/>
        <v>5083500</v>
      </c>
      <c r="G19" s="78">
        <f t="shared" si="6"/>
        <v>5081904</v>
      </c>
      <c r="H19" s="11">
        <f t="shared" si="0"/>
        <v>99.968604308055475</v>
      </c>
      <c r="I19" s="79">
        <f t="shared" si="6"/>
        <v>5024440</v>
      </c>
      <c r="J19" s="96">
        <v>4055000</v>
      </c>
      <c r="K19" s="78">
        <v>4095000</v>
      </c>
      <c r="L19" s="78">
        <v>4093750</v>
      </c>
      <c r="M19" s="11">
        <f t="shared" si="2"/>
        <v>99.969474969474973</v>
      </c>
      <c r="N19" s="79">
        <v>4052874</v>
      </c>
      <c r="O19" s="77">
        <v>980000</v>
      </c>
      <c r="P19" s="78">
        <v>988500</v>
      </c>
      <c r="Q19" s="78">
        <v>988154</v>
      </c>
      <c r="R19" s="11">
        <f t="shared" si="3"/>
        <v>99.964997470915534</v>
      </c>
      <c r="S19" s="79">
        <v>971566</v>
      </c>
      <c r="T19" s="119"/>
      <c r="U19" s="97"/>
      <c r="V19" s="97"/>
      <c r="W19" s="11" t="e">
        <f t="shared" si="4"/>
        <v>#DIV/0!</v>
      </c>
      <c r="X19" s="123"/>
    </row>
    <row r="20" spans="1:24" s="6" customFormat="1" ht="9.9499999999999993" customHeight="1" x14ac:dyDescent="0.2">
      <c r="A20" s="38" t="s">
        <v>17</v>
      </c>
      <c r="B20" s="815" t="s">
        <v>50</v>
      </c>
      <c r="C20" s="816"/>
      <c r="D20" s="56" t="s">
        <v>25</v>
      </c>
      <c r="E20" s="77">
        <f t="shared" si="6"/>
        <v>1710000</v>
      </c>
      <c r="F20" s="78">
        <f t="shared" si="6"/>
        <v>1734800</v>
      </c>
      <c r="G20" s="78">
        <f t="shared" si="6"/>
        <v>1731502</v>
      </c>
      <c r="H20" s="11">
        <f t="shared" si="0"/>
        <v>99.8098916301591</v>
      </c>
      <c r="I20" s="79">
        <f t="shared" si="6"/>
        <v>1697831</v>
      </c>
      <c r="J20" s="95">
        <v>1374000</v>
      </c>
      <c r="K20" s="78">
        <v>1396000</v>
      </c>
      <c r="L20" s="78">
        <v>1392784</v>
      </c>
      <c r="M20" s="11">
        <f t="shared" si="2"/>
        <v>99.769627507163321</v>
      </c>
      <c r="N20" s="79">
        <v>1365449</v>
      </c>
      <c r="O20" s="77">
        <v>336000</v>
      </c>
      <c r="P20" s="78">
        <v>338800</v>
      </c>
      <c r="Q20" s="78">
        <v>338718</v>
      </c>
      <c r="R20" s="11">
        <f t="shared" si="3"/>
        <v>99.975796930342383</v>
      </c>
      <c r="S20" s="79">
        <v>332382</v>
      </c>
      <c r="T20" s="77"/>
      <c r="U20" s="78"/>
      <c r="V20" s="78"/>
      <c r="W20" s="11" t="e">
        <f t="shared" si="4"/>
        <v>#DIV/0!</v>
      </c>
      <c r="X20" s="81"/>
    </row>
    <row r="21" spans="1:24" s="6" customFormat="1" ht="9.9499999999999993" customHeight="1" x14ac:dyDescent="0.2">
      <c r="A21" s="38" t="s">
        <v>18</v>
      </c>
      <c r="B21" s="815" t="s">
        <v>51</v>
      </c>
      <c r="C21" s="816"/>
      <c r="D21" s="56" t="s">
        <v>25</v>
      </c>
      <c r="E21" s="77">
        <f t="shared" si="6"/>
        <v>160600</v>
      </c>
      <c r="F21" s="78">
        <f t="shared" si="6"/>
        <v>160200</v>
      </c>
      <c r="G21" s="78">
        <f t="shared" si="6"/>
        <v>150739</v>
      </c>
      <c r="H21" s="11">
        <f t="shared" si="0"/>
        <v>94.094257178526846</v>
      </c>
      <c r="I21" s="79">
        <f t="shared" si="6"/>
        <v>148914</v>
      </c>
      <c r="J21" s="95">
        <v>143000</v>
      </c>
      <c r="K21" s="78">
        <v>143000</v>
      </c>
      <c r="L21" s="78">
        <v>133634</v>
      </c>
      <c r="M21" s="11">
        <f t="shared" si="2"/>
        <v>93.450349650349651</v>
      </c>
      <c r="N21" s="79">
        <v>131322</v>
      </c>
      <c r="O21" s="77">
        <v>17600</v>
      </c>
      <c r="P21" s="78">
        <v>17200</v>
      </c>
      <c r="Q21" s="78">
        <v>17105</v>
      </c>
      <c r="R21" s="11">
        <f t="shared" si="3"/>
        <v>99.447674418604649</v>
      </c>
      <c r="S21" s="79">
        <v>17592</v>
      </c>
      <c r="T21" s="77"/>
      <c r="U21" s="78"/>
      <c r="V21" s="78"/>
      <c r="W21" s="11" t="e">
        <f t="shared" si="4"/>
        <v>#DIV/0!</v>
      </c>
      <c r="X21" s="81"/>
    </row>
    <row r="22" spans="1:24" s="6" customFormat="1" ht="9.9499999999999993" customHeight="1" x14ac:dyDescent="0.2">
      <c r="A22" s="38" t="s">
        <v>19</v>
      </c>
      <c r="B22" s="815" t="s">
        <v>69</v>
      </c>
      <c r="C22" s="816"/>
      <c r="D22" s="56" t="s">
        <v>25</v>
      </c>
      <c r="E22" s="77">
        <f t="shared" si="6"/>
        <v>0</v>
      </c>
      <c r="F22" s="78">
        <f t="shared" si="6"/>
        <v>50</v>
      </c>
      <c r="G22" s="78">
        <f t="shared" si="6"/>
        <v>14</v>
      </c>
      <c r="H22" s="11">
        <f t="shared" si="0"/>
        <v>28.000000000000004</v>
      </c>
      <c r="I22" s="79">
        <f t="shared" si="6"/>
        <v>0</v>
      </c>
      <c r="J22" s="95"/>
      <c r="K22" s="78">
        <v>50</v>
      </c>
      <c r="L22" s="78">
        <v>14</v>
      </c>
      <c r="M22" s="11">
        <f t="shared" si="2"/>
        <v>28.000000000000004</v>
      </c>
      <c r="N22" s="79"/>
      <c r="O22" s="77"/>
      <c r="P22" s="78"/>
      <c r="Q22" s="78"/>
      <c r="R22" s="11" t="e">
        <f t="shared" si="3"/>
        <v>#DIV/0!</v>
      </c>
      <c r="S22" s="79"/>
      <c r="T22" s="77"/>
      <c r="U22" s="78"/>
      <c r="V22" s="78"/>
      <c r="W22" s="11" t="e">
        <f t="shared" si="4"/>
        <v>#DIV/0!</v>
      </c>
      <c r="X22" s="81"/>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0</v>
      </c>
      <c r="J23" s="95"/>
      <c r="K23" s="78"/>
      <c r="L23" s="78"/>
      <c r="M23" s="11" t="e">
        <f t="shared" si="2"/>
        <v>#DIV/0!</v>
      </c>
      <c r="N23" s="79"/>
      <c r="O23" s="77"/>
      <c r="P23" s="78"/>
      <c r="Q23" s="78"/>
      <c r="R23" s="11" t="e">
        <f t="shared" si="3"/>
        <v>#DIV/0!</v>
      </c>
      <c r="S23" s="79"/>
      <c r="T23" s="77"/>
      <c r="U23" s="78"/>
      <c r="V23" s="78"/>
      <c r="W23" s="11"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9"/>
      <c r="O24" s="77"/>
      <c r="P24" s="78"/>
      <c r="Q24" s="78"/>
      <c r="R24" s="11" t="e">
        <f t="shared" si="3"/>
        <v>#DIV/0!</v>
      </c>
      <c r="S24" s="79"/>
      <c r="T24" s="77"/>
      <c r="U24" s="78"/>
      <c r="V24" s="78"/>
      <c r="W24" s="11" t="e">
        <f t="shared" si="4"/>
        <v>#DIV/0!</v>
      </c>
      <c r="X24" s="81"/>
    </row>
    <row r="25" spans="1:24" s="6" customFormat="1" ht="9.9499999999999993" customHeight="1" x14ac:dyDescent="0.2">
      <c r="A25" s="39" t="s">
        <v>22</v>
      </c>
      <c r="B25" s="48" t="s">
        <v>71</v>
      </c>
      <c r="C25" s="49"/>
      <c r="D25" s="56" t="s">
        <v>25</v>
      </c>
      <c r="E25" s="77">
        <f t="shared" si="6"/>
        <v>0</v>
      </c>
      <c r="F25" s="78">
        <f t="shared" si="6"/>
        <v>0</v>
      </c>
      <c r="G25" s="78">
        <f t="shared" si="6"/>
        <v>0</v>
      </c>
      <c r="H25" s="11" t="e">
        <f t="shared" si="0"/>
        <v>#DIV/0!</v>
      </c>
      <c r="I25" s="79">
        <f t="shared" si="6"/>
        <v>0</v>
      </c>
      <c r="J25" s="95"/>
      <c r="K25" s="98"/>
      <c r="L25" s="98"/>
      <c r="M25" s="11" t="e">
        <f t="shared" si="2"/>
        <v>#DIV/0!</v>
      </c>
      <c r="N25" s="99"/>
      <c r="O25" s="100"/>
      <c r="P25" s="98"/>
      <c r="Q25" s="98"/>
      <c r="R25" s="11" t="e">
        <f t="shared" si="3"/>
        <v>#DIV/0!</v>
      </c>
      <c r="S25" s="101"/>
      <c r="T25" s="100"/>
      <c r="U25" s="98"/>
      <c r="V25" s="98"/>
      <c r="W25" s="11" t="e">
        <f t="shared" si="4"/>
        <v>#DIV/0!</v>
      </c>
      <c r="X25" s="124"/>
    </row>
    <row r="26" spans="1:24" s="14" customFormat="1" ht="9.9499999999999993" customHeight="1" x14ac:dyDescent="0.2">
      <c r="A26" s="38" t="s">
        <v>23</v>
      </c>
      <c r="B26" s="815" t="s">
        <v>72</v>
      </c>
      <c r="C26" s="816"/>
      <c r="D26" s="56" t="s">
        <v>25</v>
      </c>
      <c r="E26" s="77">
        <f t="shared" si="6"/>
        <v>51000</v>
      </c>
      <c r="F26" s="78">
        <f t="shared" si="6"/>
        <v>51000</v>
      </c>
      <c r="G26" s="78">
        <f t="shared" si="6"/>
        <v>50932</v>
      </c>
      <c r="H26" s="15">
        <f t="shared" si="0"/>
        <v>99.866666666666674</v>
      </c>
      <c r="I26" s="79">
        <f t="shared" si="6"/>
        <v>50952</v>
      </c>
      <c r="J26" s="95">
        <v>51000</v>
      </c>
      <c r="K26" s="103">
        <v>51000</v>
      </c>
      <c r="L26" s="103">
        <v>50932</v>
      </c>
      <c r="M26" s="11">
        <f t="shared" si="2"/>
        <v>99.866666666666674</v>
      </c>
      <c r="N26" s="79">
        <v>50952</v>
      </c>
      <c r="O26" s="102"/>
      <c r="P26" s="103"/>
      <c r="Q26" s="103"/>
      <c r="R26" s="11" t="e">
        <f t="shared" si="3"/>
        <v>#DIV/0!</v>
      </c>
      <c r="S26" s="99"/>
      <c r="T26" s="120"/>
      <c r="U26" s="105"/>
      <c r="V26" s="105"/>
      <c r="W26" s="11" t="e">
        <f t="shared" si="4"/>
        <v>#DIV/0!</v>
      </c>
      <c r="X26" s="125"/>
    </row>
    <row r="27" spans="1:24" s="16" customFormat="1" ht="9.9499999999999993" customHeight="1" x14ac:dyDescent="0.2">
      <c r="A27" s="38" t="s">
        <v>45</v>
      </c>
      <c r="B27" s="46" t="s">
        <v>73</v>
      </c>
      <c r="C27" s="47"/>
      <c r="D27" s="56" t="s">
        <v>25</v>
      </c>
      <c r="E27" s="77">
        <f t="shared" si="6"/>
        <v>6000</v>
      </c>
      <c r="F27" s="78">
        <f t="shared" si="6"/>
        <v>6000</v>
      </c>
      <c r="G27" s="78">
        <f t="shared" si="6"/>
        <v>4900</v>
      </c>
      <c r="H27" s="15">
        <f t="shared" si="0"/>
        <v>81.666666666666671</v>
      </c>
      <c r="I27" s="79">
        <f t="shared" si="6"/>
        <v>3860</v>
      </c>
      <c r="J27" s="95">
        <v>6000</v>
      </c>
      <c r="K27" s="103">
        <v>6000</v>
      </c>
      <c r="L27" s="103">
        <v>4900</v>
      </c>
      <c r="M27" s="11">
        <f t="shared" si="2"/>
        <v>81.666666666666671</v>
      </c>
      <c r="N27" s="99">
        <v>3860</v>
      </c>
      <c r="O27" s="102"/>
      <c r="P27" s="103"/>
      <c r="Q27" s="103"/>
      <c r="R27" s="11" t="e">
        <f t="shared" si="3"/>
        <v>#DIV/0!</v>
      </c>
      <c r="S27" s="99"/>
      <c r="T27" s="120"/>
      <c r="U27" s="105"/>
      <c r="V27" s="105"/>
      <c r="W27" s="11" t="e">
        <f t="shared" si="4"/>
        <v>#DIV/0!</v>
      </c>
      <c r="X27" s="125"/>
    </row>
    <row r="28" spans="1:24" s="16" customFormat="1" ht="9.9499999999999993" customHeight="1" x14ac:dyDescent="0.2">
      <c r="A28" s="38" t="s">
        <v>53</v>
      </c>
      <c r="B28" s="46" t="s">
        <v>89</v>
      </c>
      <c r="C28" s="47"/>
      <c r="D28" s="56" t="s">
        <v>25</v>
      </c>
      <c r="E28" s="77">
        <f>SUM(J28,O28)</f>
        <v>84000</v>
      </c>
      <c r="F28" s="78">
        <f>SUM(K28,P28)</f>
        <v>209000</v>
      </c>
      <c r="G28" s="78">
        <f>SUM(L28,Q28)</f>
        <v>208471</v>
      </c>
      <c r="H28" s="15">
        <f>G28/F28*100</f>
        <v>99.746889952153111</v>
      </c>
      <c r="I28" s="79">
        <f>SUM(N28,S28)</f>
        <v>161094</v>
      </c>
      <c r="J28" s="95">
        <v>24000</v>
      </c>
      <c r="K28" s="103">
        <v>149000</v>
      </c>
      <c r="L28" s="103">
        <v>148471</v>
      </c>
      <c r="M28" s="11">
        <f>L28/K28*100</f>
        <v>99.64496644295302</v>
      </c>
      <c r="N28" s="99">
        <v>90094</v>
      </c>
      <c r="O28" s="102">
        <v>60000</v>
      </c>
      <c r="P28" s="103">
        <v>60000</v>
      </c>
      <c r="Q28" s="103">
        <v>60000</v>
      </c>
      <c r="R28" s="11">
        <f>Q28/P28*100</f>
        <v>100</v>
      </c>
      <c r="S28" s="99">
        <v>71000</v>
      </c>
      <c r="T28" s="120"/>
      <c r="U28" s="105"/>
      <c r="V28" s="105"/>
      <c r="W28" s="11" t="e">
        <f>V28/U28*100</f>
        <v>#DIV/0!</v>
      </c>
      <c r="X28" s="125"/>
    </row>
    <row r="29" spans="1:24" s="14" customFormat="1" ht="9.9499999999999993" customHeight="1" x14ac:dyDescent="0.2">
      <c r="A29" s="38" t="s">
        <v>54</v>
      </c>
      <c r="B29" s="815" t="s">
        <v>74</v>
      </c>
      <c r="C29" s="816"/>
      <c r="D29" s="56" t="s">
        <v>25</v>
      </c>
      <c r="E29" s="77">
        <f t="shared" ref="E29:G31" si="7">SUM(J29,O29)</f>
        <v>1000</v>
      </c>
      <c r="F29" s="78">
        <f t="shared" si="7"/>
        <v>950</v>
      </c>
      <c r="G29" s="78">
        <f t="shared" si="7"/>
        <v>849</v>
      </c>
      <c r="H29" s="15">
        <f t="shared" si="0"/>
        <v>89.368421052631575</v>
      </c>
      <c r="I29" s="79">
        <f>SUM(N29,S29)</f>
        <v>849</v>
      </c>
      <c r="J29" s="95">
        <v>1000</v>
      </c>
      <c r="K29" s="103">
        <v>950</v>
      </c>
      <c r="L29" s="103">
        <v>849</v>
      </c>
      <c r="M29" s="11">
        <f t="shared" si="2"/>
        <v>89.368421052631575</v>
      </c>
      <c r="N29" s="99">
        <v>849</v>
      </c>
      <c r="O29" s="102"/>
      <c r="P29" s="103"/>
      <c r="Q29" s="103"/>
      <c r="R29" s="11" t="e">
        <f t="shared" si="3"/>
        <v>#DIV/0!</v>
      </c>
      <c r="S29" s="99"/>
      <c r="T29" s="120"/>
      <c r="U29" s="105"/>
      <c r="V29" s="105"/>
      <c r="W29" s="11" t="e">
        <f t="shared" si="4"/>
        <v>#DIV/0!</v>
      </c>
      <c r="X29" s="125"/>
    </row>
    <row r="30" spans="1:24" s="6" customFormat="1" ht="9.75" x14ac:dyDescent="0.2">
      <c r="A30" s="38" t="s">
        <v>56</v>
      </c>
      <c r="B30" s="46" t="s">
        <v>55</v>
      </c>
      <c r="C30" s="47"/>
      <c r="D30" s="56" t="s">
        <v>25</v>
      </c>
      <c r="E30" s="77">
        <f t="shared" si="7"/>
        <v>0</v>
      </c>
      <c r="F30" s="78">
        <f t="shared" si="7"/>
        <v>0</v>
      </c>
      <c r="G30" s="78">
        <f t="shared" si="7"/>
        <v>0</v>
      </c>
      <c r="H30" s="15" t="e">
        <f t="shared" si="0"/>
        <v>#DIV/0!</v>
      </c>
      <c r="I30" s="79">
        <f>SUM(N30,S30)</f>
        <v>0</v>
      </c>
      <c r="J30" s="95"/>
      <c r="K30" s="103"/>
      <c r="L30" s="103"/>
      <c r="M30" s="11" t="e">
        <f t="shared" si="2"/>
        <v>#DIV/0!</v>
      </c>
      <c r="N30" s="99"/>
      <c r="O30" s="102"/>
      <c r="P30" s="103"/>
      <c r="Q30" s="103"/>
      <c r="R30" s="11" t="e">
        <f t="shared" si="3"/>
        <v>#DIV/0!</v>
      </c>
      <c r="S30" s="99"/>
      <c r="T30" s="120"/>
      <c r="U30" s="105"/>
      <c r="V30" s="105"/>
      <c r="W30" s="11" t="e">
        <f t="shared" si="4"/>
        <v>#DIV/0!</v>
      </c>
      <c r="X30" s="125"/>
    </row>
    <row r="31" spans="1:24" s="27" customFormat="1" ht="9.75" x14ac:dyDescent="0.2">
      <c r="A31" s="40" t="s">
        <v>57</v>
      </c>
      <c r="B31" s="319" t="s">
        <v>75</v>
      </c>
      <c r="C31" s="320"/>
      <c r="D31" s="59" t="s">
        <v>25</v>
      </c>
      <c r="E31" s="82">
        <f t="shared" si="7"/>
        <v>0</v>
      </c>
      <c r="F31" s="83">
        <f t="shared" si="7"/>
        <v>0</v>
      </c>
      <c r="G31" s="83">
        <f t="shared" si="7"/>
        <v>0</v>
      </c>
      <c r="H31" s="17" t="e">
        <f t="shared" si="0"/>
        <v>#DIV/0!</v>
      </c>
      <c r="I31" s="84">
        <f>SUM(N31,S31)</f>
        <v>0</v>
      </c>
      <c r="J31" s="106"/>
      <c r="K31" s="107"/>
      <c r="L31" s="107"/>
      <c r="M31" s="31" t="e">
        <f t="shared" si="2"/>
        <v>#DIV/0!</v>
      </c>
      <c r="N31" s="108"/>
      <c r="O31" s="109"/>
      <c r="P31" s="107"/>
      <c r="Q31" s="107"/>
      <c r="R31" s="31" t="e">
        <f t="shared" si="3"/>
        <v>#DIV/0!</v>
      </c>
      <c r="S31" s="108"/>
      <c r="T31" s="121"/>
      <c r="U31" s="110"/>
      <c r="V31" s="110"/>
      <c r="W31" s="31" t="e">
        <f t="shared" si="4"/>
        <v>#DIV/0!</v>
      </c>
      <c r="X31" s="126"/>
    </row>
    <row r="32" spans="1:24" s="27" customFormat="1" ht="9.75" x14ac:dyDescent="0.2">
      <c r="A32" s="33" t="s">
        <v>59</v>
      </c>
      <c r="B32" s="817" t="s">
        <v>58</v>
      </c>
      <c r="C32" s="818"/>
      <c r="D32" s="22" t="s">
        <v>25</v>
      </c>
      <c r="E32" s="67">
        <f>SUM(E6-E11)</f>
        <v>0</v>
      </c>
      <c r="F32" s="67">
        <f>SUM(F6-F11)</f>
        <v>0</v>
      </c>
      <c r="G32" s="67">
        <f>SUM(G6-G11)</f>
        <v>145408</v>
      </c>
      <c r="H32" s="29" t="e">
        <f t="shared" si="0"/>
        <v>#DIV/0!</v>
      </c>
      <c r="I32" s="68">
        <f>SUM(I6-I11)</f>
        <v>154998</v>
      </c>
      <c r="J32" s="67">
        <f>SUM(J6-J11)</f>
        <v>0</v>
      </c>
      <c r="K32" s="67">
        <f>SUM(K6-K11)</f>
        <v>0</v>
      </c>
      <c r="L32" s="67">
        <f>SUM(L6-L11)</f>
        <v>145408</v>
      </c>
      <c r="M32" s="21" t="e">
        <f t="shared" si="2"/>
        <v>#DIV/0!</v>
      </c>
      <c r="N32" s="68">
        <f>SUM(N6-N11)</f>
        <v>154998</v>
      </c>
      <c r="O32" s="67">
        <f>SUM(O6-O11)</f>
        <v>0</v>
      </c>
      <c r="P32" s="67">
        <f>SUM(P6-P11)</f>
        <v>0</v>
      </c>
      <c r="Q32" s="67">
        <f>SUM(Q6-Q11)</f>
        <v>0</v>
      </c>
      <c r="R32" s="21" t="e">
        <f t="shared" si="3"/>
        <v>#DIV/0!</v>
      </c>
      <c r="S32" s="68">
        <f>SUM(S6-S11)</f>
        <v>0</v>
      </c>
      <c r="T32" s="67">
        <f>SUM(T6-T11)</f>
        <v>0</v>
      </c>
      <c r="U32" s="67">
        <f>SUM(U6-U11)</f>
        <v>0</v>
      </c>
      <c r="V32" s="67">
        <f>SUM(V6-V11)</f>
        <v>0</v>
      </c>
      <c r="W32" s="21" t="e">
        <f t="shared" si="4"/>
        <v>#DIV/0!</v>
      </c>
      <c r="X32" s="67">
        <f>SUM(X6-X11)</f>
        <v>0</v>
      </c>
    </row>
    <row r="33" spans="1:24" s="27" customFormat="1" ht="9.75" x14ac:dyDescent="0.2">
      <c r="A33" s="41" t="s">
        <v>60</v>
      </c>
      <c r="B33" s="60" t="s">
        <v>76</v>
      </c>
      <c r="C33" s="61"/>
      <c r="D33" s="22" t="s">
        <v>25</v>
      </c>
      <c r="E33" s="130">
        <f>SUM(J33,O33)</f>
        <v>0</v>
      </c>
      <c r="F33" s="131">
        <f>SUM(K33,P33)</f>
        <v>0</v>
      </c>
      <c r="G33" s="131">
        <f>SUM(L33,Q33)</f>
        <v>0</v>
      </c>
      <c r="H33" s="26" t="e">
        <f t="shared" si="0"/>
        <v>#DIV/0!</v>
      </c>
      <c r="I33" s="132">
        <f>SUM(N33,S33)</f>
        <v>0</v>
      </c>
      <c r="J33" s="112"/>
      <c r="K33" s="113"/>
      <c r="L33" s="113"/>
      <c r="M33" s="9" t="e">
        <f t="shared" si="2"/>
        <v>#DIV/0!</v>
      </c>
      <c r="N33" s="114"/>
      <c r="O33" s="115"/>
      <c r="P33" s="113"/>
      <c r="Q33" s="113"/>
      <c r="R33" s="9" t="e">
        <f t="shared" si="3"/>
        <v>#DIV/0!</v>
      </c>
      <c r="S33" s="114"/>
      <c r="T33" s="115"/>
      <c r="U33" s="113"/>
      <c r="V33" s="113"/>
      <c r="W33" s="9" t="e">
        <f t="shared" si="4"/>
        <v>#DIV/0!</v>
      </c>
      <c r="X33" s="116"/>
    </row>
    <row r="34" spans="1:24" s="27" customFormat="1" ht="9.75" x14ac:dyDescent="0.2">
      <c r="A34" s="33" t="s">
        <v>62</v>
      </c>
      <c r="B34" s="24" t="s">
        <v>61</v>
      </c>
      <c r="C34" s="25"/>
      <c r="D34" s="22" t="s">
        <v>25</v>
      </c>
      <c r="E34" s="67">
        <f>E32-E33</f>
        <v>0</v>
      </c>
      <c r="F34" s="67">
        <f>F32-F33</f>
        <v>0</v>
      </c>
      <c r="G34" s="67">
        <f>G32-G33</f>
        <v>145408</v>
      </c>
      <c r="H34" s="29" t="e">
        <f t="shared" si="0"/>
        <v>#DIV/0!</v>
      </c>
      <c r="I34" s="68">
        <f>I32-I33</f>
        <v>154998</v>
      </c>
      <c r="J34" s="67">
        <f>J32-J33</f>
        <v>0</v>
      </c>
      <c r="K34" s="67">
        <f>K32-K33</f>
        <v>0</v>
      </c>
      <c r="L34" s="67">
        <f>L32-L33</f>
        <v>145408</v>
      </c>
      <c r="M34" s="21" t="e">
        <f t="shared" si="2"/>
        <v>#DIV/0!</v>
      </c>
      <c r="N34" s="68">
        <f>N32-N33</f>
        <v>154998</v>
      </c>
      <c r="O34" s="67">
        <f>O32-O33</f>
        <v>0</v>
      </c>
      <c r="P34" s="67">
        <f>P32-P33</f>
        <v>0</v>
      </c>
      <c r="Q34" s="67">
        <f>Q32-Q33</f>
        <v>0</v>
      </c>
      <c r="R34" s="21" t="e">
        <f t="shared" si="3"/>
        <v>#DIV/0!</v>
      </c>
      <c r="S34" s="68">
        <f>S32-S33</f>
        <v>0</v>
      </c>
      <c r="T34" s="67">
        <f>T32-T33</f>
        <v>0</v>
      </c>
      <c r="U34" s="67">
        <f>U32-U33</f>
        <v>0</v>
      </c>
      <c r="V34" s="67">
        <f>V32-V33</f>
        <v>0</v>
      </c>
      <c r="W34" s="21" t="e">
        <f t="shared" si="4"/>
        <v>#DIV/0!</v>
      </c>
      <c r="X34" s="67">
        <f>X32-X33</f>
        <v>0</v>
      </c>
    </row>
    <row r="35" spans="1:24" s="4" customFormat="1" ht="9" x14ac:dyDescent="0.2">
      <c r="A35" s="42" t="s">
        <v>63</v>
      </c>
      <c r="B35" s="813" t="s">
        <v>24</v>
      </c>
      <c r="C35" s="814"/>
      <c r="D35" s="62" t="s">
        <v>25</v>
      </c>
      <c r="E35" s="252">
        <v>18333</v>
      </c>
      <c r="F35" s="253">
        <v>18657</v>
      </c>
      <c r="G35" s="253">
        <v>18649</v>
      </c>
      <c r="H35" s="13">
        <f t="shared" si="0"/>
        <v>99.95712065176609</v>
      </c>
      <c r="I35" s="254">
        <v>18389</v>
      </c>
      <c r="J35" s="804"/>
      <c r="K35" s="805"/>
      <c r="L35" s="805"/>
      <c r="M35" s="805"/>
      <c r="N35" s="805"/>
      <c r="O35" s="805"/>
      <c r="P35" s="805"/>
      <c r="Q35" s="805"/>
      <c r="R35" s="805"/>
      <c r="S35" s="805"/>
      <c r="T35" s="805"/>
      <c r="U35" s="805"/>
      <c r="V35" s="805"/>
      <c r="W35" s="805"/>
      <c r="X35" s="806"/>
    </row>
    <row r="36" spans="1:24" s="4" customFormat="1" ht="9" x14ac:dyDescent="0.2">
      <c r="A36" s="32" t="s">
        <v>64</v>
      </c>
      <c r="B36" s="797" t="s">
        <v>33</v>
      </c>
      <c r="C36" s="798"/>
      <c r="D36" s="63" t="s">
        <v>26</v>
      </c>
      <c r="E36" s="255">
        <v>18</v>
      </c>
      <c r="F36" s="256">
        <v>18</v>
      </c>
      <c r="G36" s="256">
        <v>18</v>
      </c>
      <c r="H36" s="15">
        <f t="shared" si="0"/>
        <v>100</v>
      </c>
      <c r="I36" s="257">
        <v>18</v>
      </c>
      <c r="J36" s="804"/>
      <c r="K36" s="805"/>
      <c r="L36" s="805"/>
      <c r="M36" s="805"/>
      <c r="N36" s="805"/>
      <c r="O36" s="805"/>
      <c r="P36" s="805"/>
      <c r="Q36" s="805"/>
      <c r="R36" s="805"/>
      <c r="S36" s="805"/>
      <c r="T36" s="805"/>
      <c r="U36" s="805"/>
      <c r="V36" s="805"/>
      <c r="W36" s="805"/>
      <c r="X36" s="806"/>
    </row>
    <row r="37" spans="1:24" s="4" customFormat="1" ht="9" x14ac:dyDescent="0.2">
      <c r="A37" s="43" t="s">
        <v>65</v>
      </c>
      <c r="B37" s="799" t="s">
        <v>27</v>
      </c>
      <c r="C37" s="800"/>
      <c r="D37" s="64" t="s">
        <v>26</v>
      </c>
      <c r="E37" s="258">
        <v>22</v>
      </c>
      <c r="F37" s="259">
        <v>22</v>
      </c>
      <c r="G37" s="259">
        <v>22</v>
      </c>
      <c r="H37" s="17">
        <f t="shared" si="0"/>
        <v>100</v>
      </c>
      <c r="I37" s="260">
        <v>22</v>
      </c>
      <c r="J37" s="807"/>
      <c r="K37" s="808"/>
      <c r="L37" s="808"/>
      <c r="M37" s="808"/>
      <c r="N37" s="808"/>
      <c r="O37" s="808"/>
      <c r="P37" s="808"/>
      <c r="Q37" s="808"/>
      <c r="R37" s="808"/>
      <c r="S37" s="808"/>
      <c r="T37" s="808"/>
      <c r="U37" s="808"/>
      <c r="V37" s="808"/>
      <c r="W37" s="808"/>
      <c r="X37" s="809"/>
    </row>
    <row r="38" spans="1:24" s="6" customFormat="1" ht="9.75" x14ac:dyDescent="0.2">
      <c r="A38" s="51" t="s">
        <v>131</v>
      </c>
      <c r="B38" s="52" t="s">
        <v>46</v>
      </c>
      <c r="C38" s="52"/>
      <c r="D38" s="20" t="s">
        <v>25</v>
      </c>
      <c r="E38" s="810"/>
      <c r="F38" s="811"/>
      <c r="G38" s="811"/>
      <c r="H38" s="811"/>
      <c r="I38" s="812"/>
      <c r="J38" s="117"/>
      <c r="K38" s="118"/>
      <c r="L38" s="118"/>
      <c r="M38" s="30" t="e">
        <f>L38/K38*100</f>
        <v>#DIV/0!</v>
      </c>
      <c r="N38" s="801"/>
      <c r="O38" s="802"/>
      <c r="P38" s="802"/>
      <c r="Q38" s="802"/>
      <c r="R38" s="802"/>
      <c r="S38" s="802"/>
      <c r="T38" s="802"/>
      <c r="U38" s="802"/>
      <c r="V38" s="802"/>
      <c r="W38" s="802"/>
      <c r="X38" s="803"/>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O4:O5"/>
    <mergeCell ref="D3:D5"/>
    <mergeCell ref="B11:C11"/>
    <mergeCell ref="I4:I5"/>
    <mergeCell ref="A1:X1"/>
    <mergeCell ref="T4:T5"/>
    <mergeCell ref="U4:W4"/>
    <mergeCell ref="X4:X5"/>
    <mergeCell ref="T3:X3"/>
    <mergeCell ref="E4:E5"/>
    <mergeCell ref="A3:A5"/>
    <mergeCell ref="P4:R4"/>
    <mergeCell ref="J3:N3"/>
    <mergeCell ref="F4:H4"/>
    <mergeCell ref="S4:S5"/>
    <mergeCell ref="O3:S3"/>
    <mergeCell ref="N4:N5"/>
    <mergeCell ref="B21:C21"/>
    <mergeCell ref="B6:C6"/>
    <mergeCell ref="J4:J5"/>
    <mergeCell ref="K4:M4"/>
    <mergeCell ref="B8:C8"/>
    <mergeCell ref="B10:C10"/>
    <mergeCell ref="B19:C19"/>
    <mergeCell ref="B20:C20"/>
    <mergeCell ref="B7:C7"/>
    <mergeCell ref="B3:C5"/>
    <mergeCell ref="E3:I3"/>
    <mergeCell ref="B12:C12"/>
    <mergeCell ref="B13:C13"/>
    <mergeCell ref="B15:C15"/>
    <mergeCell ref="B16:C16"/>
    <mergeCell ref="B18:C18"/>
    <mergeCell ref="J35:X37"/>
    <mergeCell ref="B37:C37"/>
    <mergeCell ref="E38:I38"/>
    <mergeCell ref="N38:X38"/>
    <mergeCell ref="B22:C22"/>
    <mergeCell ref="B26:C26"/>
    <mergeCell ref="B35:C35"/>
    <mergeCell ref="B36:C36"/>
    <mergeCell ref="B29:C29"/>
    <mergeCell ref="B32:C32"/>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11" enableFormatConditionsCalculation="0">
    <tabColor rgb="FF92D050"/>
  </sheetPr>
  <dimension ref="A1:X67"/>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833" t="s">
        <v>91</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91"/>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99"/>
      <c r="B4" s="892"/>
      <c r="C4" s="893"/>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900"/>
      <c r="B5" s="894"/>
      <c r="C5" s="895"/>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11412600</v>
      </c>
      <c r="F6" s="67">
        <f>SUM(F7:F9)</f>
        <v>11650775</v>
      </c>
      <c r="G6" s="67">
        <f>SUM(G7:G9)</f>
        <v>11583785</v>
      </c>
      <c r="H6" s="28">
        <f t="shared" ref="H6:H36" si="0">G6/F6*100</f>
        <v>99.42501679072852</v>
      </c>
      <c r="I6" s="67">
        <f>SUM(I7:I9)</f>
        <v>11163112</v>
      </c>
      <c r="J6" s="67">
        <f>SUM(J7:J9)</f>
        <v>3018900</v>
      </c>
      <c r="K6" s="67">
        <f t="shared" ref="K6:Q6" si="1">SUM(K7:K9)</f>
        <v>3214187</v>
      </c>
      <c r="L6" s="67">
        <f t="shared" si="1"/>
        <v>3147197</v>
      </c>
      <c r="M6" s="151">
        <f t="shared" ref="M6:M33" si="2">L6/K6*100</f>
        <v>97.915802658650534</v>
      </c>
      <c r="N6" s="67">
        <f>SUM(N7:N9)</f>
        <v>2812015</v>
      </c>
      <c r="O6" s="67">
        <f t="shared" si="1"/>
        <v>8393700</v>
      </c>
      <c r="P6" s="67">
        <f t="shared" si="1"/>
        <v>8436588</v>
      </c>
      <c r="Q6" s="67">
        <f t="shared" si="1"/>
        <v>8436588</v>
      </c>
      <c r="R6" s="152">
        <f t="shared" ref="R6:R11" si="3">Q6/P6*100</f>
        <v>100</v>
      </c>
      <c r="S6" s="67">
        <f>SUM(S7:S9)</f>
        <v>8351097</v>
      </c>
      <c r="T6" s="330">
        <f>SUM(T7:T9)</f>
        <v>0</v>
      </c>
      <c r="U6" s="330">
        <f>SUM(U7:U9)</f>
        <v>0</v>
      </c>
      <c r="V6" s="330">
        <f>SUM(V7:V9)</f>
        <v>0</v>
      </c>
      <c r="W6" s="387" t="e">
        <f t="shared" ref="W6:W33" si="4">V6/U6*100</f>
        <v>#DIV/0!</v>
      </c>
      <c r="X6" s="330">
        <f>SUM(X7:X9)</f>
        <v>0</v>
      </c>
    </row>
    <row r="7" spans="1:24" s="6" customFormat="1" ht="9.9499999999999993" customHeight="1" x14ac:dyDescent="0.2">
      <c r="A7" s="34" t="s">
        <v>2</v>
      </c>
      <c r="B7" s="827" t="s">
        <v>47</v>
      </c>
      <c r="C7" s="828"/>
      <c r="D7" s="55" t="s">
        <v>25</v>
      </c>
      <c r="E7" s="70">
        <f t="shared" ref="E7:G10" si="5">SUM(J7,O7)</f>
        <v>1173000</v>
      </c>
      <c r="F7" s="71">
        <f t="shared" si="5"/>
        <v>1173000</v>
      </c>
      <c r="G7" s="71">
        <f t="shared" si="5"/>
        <v>1033898</v>
      </c>
      <c r="H7" s="10">
        <f t="shared" si="0"/>
        <v>88.141346973572027</v>
      </c>
      <c r="I7" s="72">
        <f>SUM(N7,S7)</f>
        <v>1036758</v>
      </c>
      <c r="J7" s="73">
        <v>1173000</v>
      </c>
      <c r="K7" s="74">
        <v>1173000</v>
      </c>
      <c r="L7" s="74">
        <v>1033898</v>
      </c>
      <c r="M7" s="10">
        <f t="shared" si="2"/>
        <v>88.141346973572027</v>
      </c>
      <c r="N7" s="74">
        <v>1036758</v>
      </c>
      <c r="O7" s="76"/>
      <c r="P7" s="74"/>
      <c r="Q7" s="74"/>
      <c r="R7" s="11" t="e">
        <f t="shared" si="3"/>
        <v>#DIV/0!</v>
      </c>
      <c r="S7" s="74"/>
      <c r="T7" s="388"/>
      <c r="U7" s="389"/>
      <c r="V7" s="389"/>
      <c r="W7" s="390" t="e">
        <f t="shared" si="4"/>
        <v>#DIV/0!</v>
      </c>
      <c r="X7" s="391"/>
    </row>
    <row r="8" spans="1:24" s="6" customFormat="1" ht="9.9499999999999993" customHeight="1" x14ac:dyDescent="0.2">
      <c r="A8" s="35" t="s">
        <v>3</v>
      </c>
      <c r="B8" s="829" t="s">
        <v>48</v>
      </c>
      <c r="C8" s="830"/>
      <c r="D8" s="56" t="s">
        <v>25</v>
      </c>
      <c r="E8" s="77">
        <f t="shared" si="5"/>
        <v>4000</v>
      </c>
      <c r="F8" s="78">
        <f t="shared" si="5"/>
        <v>4000</v>
      </c>
      <c r="G8" s="78">
        <f t="shared" si="5"/>
        <v>131399</v>
      </c>
      <c r="H8" s="11">
        <f t="shared" si="0"/>
        <v>3284.9749999999999</v>
      </c>
      <c r="I8" s="79">
        <f>SUM(N8,S8)</f>
        <v>35857</v>
      </c>
      <c r="J8" s="80">
        <v>4000</v>
      </c>
      <c r="K8" s="78">
        <v>4000</v>
      </c>
      <c r="L8" s="78">
        <v>131399</v>
      </c>
      <c r="M8" s="11">
        <f t="shared" si="2"/>
        <v>3284.9749999999999</v>
      </c>
      <c r="N8" s="78">
        <v>35857</v>
      </c>
      <c r="O8" s="77"/>
      <c r="P8" s="78"/>
      <c r="Q8" s="78"/>
      <c r="R8" s="11" t="e">
        <f t="shared" si="3"/>
        <v>#DIV/0!</v>
      </c>
      <c r="S8" s="78"/>
      <c r="T8" s="119"/>
      <c r="U8" s="97"/>
      <c r="V8" s="97"/>
      <c r="W8" s="321" t="e">
        <f t="shared" si="4"/>
        <v>#DIV/0!</v>
      </c>
      <c r="X8" s="123"/>
    </row>
    <row r="9" spans="1:24" s="6" customFormat="1" ht="9.9499999999999993" customHeight="1" x14ac:dyDescent="0.2">
      <c r="A9" s="36" t="s">
        <v>4</v>
      </c>
      <c r="B9" s="44" t="s">
        <v>66</v>
      </c>
      <c r="C9" s="45"/>
      <c r="D9" s="57" t="s">
        <v>25</v>
      </c>
      <c r="E9" s="82">
        <f t="shared" si="5"/>
        <v>10235600</v>
      </c>
      <c r="F9" s="83">
        <f t="shared" si="5"/>
        <v>10473775</v>
      </c>
      <c r="G9" s="83">
        <f t="shared" si="5"/>
        <v>10418488</v>
      </c>
      <c r="H9" s="31">
        <f t="shared" si="0"/>
        <v>99.47213874653599</v>
      </c>
      <c r="I9" s="84">
        <f>SUM(N9,S9)</f>
        <v>10090497</v>
      </c>
      <c r="J9" s="85">
        <v>1841900</v>
      </c>
      <c r="K9" s="83">
        <v>2037187</v>
      </c>
      <c r="L9" s="83">
        <v>1981900</v>
      </c>
      <c r="M9" s="31">
        <f t="shared" si="2"/>
        <v>97.286110700686777</v>
      </c>
      <c r="N9" s="83">
        <v>1739400</v>
      </c>
      <c r="O9" s="82">
        <v>8393700</v>
      </c>
      <c r="P9" s="83">
        <v>8436588</v>
      </c>
      <c r="Q9" s="83">
        <v>8436588</v>
      </c>
      <c r="R9" s="31">
        <f t="shared" si="3"/>
        <v>100</v>
      </c>
      <c r="S9" s="83">
        <v>8351097</v>
      </c>
      <c r="T9" s="392"/>
      <c r="U9" s="393"/>
      <c r="V9" s="393"/>
      <c r="W9" s="328" t="e">
        <f t="shared" si="4"/>
        <v>#DIV/0!</v>
      </c>
      <c r="X9" s="394"/>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c r="K10" s="87"/>
      <c r="L10" s="87"/>
      <c r="M10" s="151" t="e">
        <f t="shared" si="2"/>
        <v>#DIV/0!</v>
      </c>
      <c r="N10" s="87"/>
      <c r="O10" s="87"/>
      <c r="P10" s="87"/>
      <c r="Q10" s="87"/>
      <c r="R10" s="152" t="e">
        <f t="shared" si="3"/>
        <v>#DIV/0!</v>
      </c>
      <c r="S10" s="87"/>
      <c r="T10" s="395"/>
      <c r="U10" s="395"/>
      <c r="V10" s="395"/>
      <c r="W10" s="387" t="e">
        <f t="shared" si="4"/>
        <v>#DIV/0!</v>
      </c>
      <c r="X10" s="395"/>
    </row>
    <row r="11" spans="1:24" s="6" customFormat="1" ht="9.9499999999999993" customHeight="1" x14ac:dyDescent="0.2">
      <c r="A11" s="33" t="s">
        <v>6</v>
      </c>
      <c r="B11" s="826" t="s">
        <v>9</v>
      </c>
      <c r="C11" s="826"/>
      <c r="D11" s="23" t="s">
        <v>25</v>
      </c>
      <c r="E11" s="67">
        <f>SUM(E12:E30)</f>
        <v>11412600</v>
      </c>
      <c r="F11" s="67">
        <f>SUM(F12:F30)</f>
        <v>11650775</v>
      </c>
      <c r="G11" s="67">
        <f>SUM(G12:G30)</f>
        <v>11480080</v>
      </c>
      <c r="H11" s="28">
        <f t="shared" si="0"/>
        <v>98.534904330398618</v>
      </c>
      <c r="I11" s="68">
        <f>SUM(I12:I30)</f>
        <v>11045799</v>
      </c>
      <c r="J11" s="67">
        <f>SUM(J12:J30)</f>
        <v>3018900</v>
      </c>
      <c r="K11" s="67">
        <f>SUM(K12:K30)</f>
        <v>3214187</v>
      </c>
      <c r="L11" s="67">
        <f>SUM(L12:L30)</f>
        <v>3043492</v>
      </c>
      <c r="M11" s="151">
        <f t="shared" si="2"/>
        <v>94.689325792183226</v>
      </c>
      <c r="N11" s="67">
        <f>SUM(N12:N30)</f>
        <v>2694702</v>
      </c>
      <c r="O11" s="67">
        <f>SUM(O12:O30)</f>
        <v>8393700</v>
      </c>
      <c r="P11" s="67">
        <f>SUM(P12:P30)</f>
        <v>8436588</v>
      </c>
      <c r="Q11" s="67">
        <f>SUM(Q12:Q30)</f>
        <v>8436588</v>
      </c>
      <c r="R11" s="152">
        <f t="shared" si="3"/>
        <v>100</v>
      </c>
      <c r="S11" s="67">
        <f>SUM(S12:S30)</f>
        <v>8351097</v>
      </c>
      <c r="T11" s="330">
        <f>SUM(T12:T30)</f>
        <v>0</v>
      </c>
      <c r="U11" s="330">
        <f>SUM(U12:U30)</f>
        <v>0</v>
      </c>
      <c r="V11" s="330">
        <f>SUM(V12:V30)</f>
        <v>0</v>
      </c>
      <c r="W11" s="387" t="e">
        <f t="shared" si="4"/>
        <v>#DIV/0!</v>
      </c>
      <c r="X11" s="330">
        <f>SUM(X12:X30)</f>
        <v>0</v>
      </c>
    </row>
    <row r="12" spans="1:24" s="6" customFormat="1" ht="9.9499999999999993" customHeight="1" x14ac:dyDescent="0.2">
      <c r="A12" s="37" t="s">
        <v>8</v>
      </c>
      <c r="B12" s="831" t="s">
        <v>28</v>
      </c>
      <c r="C12" s="832"/>
      <c r="D12" s="58" t="s">
        <v>25</v>
      </c>
      <c r="E12" s="70">
        <f t="shared" ref="E12:I27" si="6">SUM(J12,O12)</f>
        <v>782370</v>
      </c>
      <c r="F12" s="71">
        <f t="shared" si="6"/>
        <v>796586</v>
      </c>
      <c r="G12" s="71">
        <f t="shared" si="6"/>
        <v>718008</v>
      </c>
      <c r="H12" s="10">
        <f t="shared" si="0"/>
        <v>90.135653903031184</v>
      </c>
      <c r="I12" s="72">
        <f t="shared" si="6"/>
        <v>707827</v>
      </c>
      <c r="J12" s="89">
        <v>762370</v>
      </c>
      <c r="K12" s="90">
        <v>772370</v>
      </c>
      <c r="L12" s="90">
        <v>693792</v>
      </c>
      <c r="M12" s="11">
        <f t="shared" si="2"/>
        <v>89.826378549140955</v>
      </c>
      <c r="N12" s="90">
        <v>688112</v>
      </c>
      <c r="O12" s="92">
        <v>20000</v>
      </c>
      <c r="P12" s="90">
        <v>24216</v>
      </c>
      <c r="Q12" s="90">
        <v>24216</v>
      </c>
      <c r="R12" s="11">
        <f t="shared" ref="R12:R30" si="7">Q12/P12*100</f>
        <v>100</v>
      </c>
      <c r="S12" s="90">
        <v>19715</v>
      </c>
      <c r="T12" s="396"/>
      <c r="U12" s="397"/>
      <c r="V12" s="397"/>
      <c r="W12" s="390" t="e">
        <f t="shared" si="4"/>
        <v>#DIV/0!</v>
      </c>
      <c r="X12" s="398"/>
    </row>
    <row r="13" spans="1:24" s="6" customFormat="1" ht="9.9499999999999993" customHeight="1" x14ac:dyDescent="0.2">
      <c r="A13" s="38" t="s">
        <v>10</v>
      </c>
      <c r="B13" s="815" t="s">
        <v>29</v>
      </c>
      <c r="C13" s="816"/>
      <c r="D13" s="56" t="s">
        <v>25</v>
      </c>
      <c r="E13" s="77">
        <f t="shared" si="6"/>
        <v>1160000</v>
      </c>
      <c r="F13" s="78">
        <f t="shared" si="6"/>
        <v>1070000</v>
      </c>
      <c r="G13" s="78">
        <f t="shared" si="6"/>
        <v>1068675</v>
      </c>
      <c r="H13" s="11">
        <f t="shared" si="0"/>
        <v>99.876168224299064</v>
      </c>
      <c r="I13" s="79">
        <f t="shared" si="6"/>
        <v>1157180</v>
      </c>
      <c r="J13" s="95">
        <v>1160000</v>
      </c>
      <c r="K13" s="78">
        <v>1070000</v>
      </c>
      <c r="L13" s="78">
        <v>1068675</v>
      </c>
      <c r="M13" s="11">
        <f t="shared" si="2"/>
        <v>99.876168224299064</v>
      </c>
      <c r="N13" s="78">
        <v>1157180</v>
      </c>
      <c r="O13" s="77"/>
      <c r="P13" s="78"/>
      <c r="Q13" s="78"/>
      <c r="R13" s="11" t="e">
        <f t="shared" si="7"/>
        <v>#DIV/0!</v>
      </c>
      <c r="S13" s="78"/>
      <c r="T13" s="119"/>
      <c r="U13" s="97"/>
      <c r="V13" s="97"/>
      <c r="W13" s="321" t="e">
        <f t="shared" si="4"/>
        <v>#DIV/0!</v>
      </c>
      <c r="X13" s="123"/>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c r="K14" s="78"/>
      <c r="L14" s="78"/>
      <c r="M14" s="11" t="e">
        <f t="shared" si="2"/>
        <v>#DIV/0!</v>
      </c>
      <c r="N14" s="78"/>
      <c r="O14" s="77"/>
      <c r="P14" s="78"/>
      <c r="Q14" s="78"/>
      <c r="R14" s="11" t="e">
        <f t="shared" si="7"/>
        <v>#DIV/0!</v>
      </c>
      <c r="S14" s="78"/>
      <c r="T14" s="119"/>
      <c r="U14" s="97"/>
      <c r="V14" s="97"/>
      <c r="W14" s="321" t="e">
        <f t="shared" si="4"/>
        <v>#DIV/0!</v>
      </c>
      <c r="X14" s="123"/>
    </row>
    <row r="15" spans="1:24" s="6" customFormat="1" ht="9.9499999999999993" customHeight="1" x14ac:dyDescent="0.2">
      <c r="A15" s="38" t="s">
        <v>12</v>
      </c>
      <c r="B15" s="815" t="s">
        <v>68</v>
      </c>
      <c r="C15" s="816"/>
      <c r="D15" s="56" t="s">
        <v>25</v>
      </c>
      <c r="E15" s="77">
        <f t="shared" si="6"/>
        <v>410000</v>
      </c>
      <c r="F15" s="78">
        <f t="shared" si="6"/>
        <v>540000</v>
      </c>
      <c r="G15" s="78">
        <f t="shared" si="6"/>
        <v>498873</v>
      </c>
      <c r="H15" s="11">
        <f t="shared" si="0"/>
        <v>92.38388888888889</v>
      </c>
      <c r="I15" s="79">
        <f t="shared" si="6"/>
        <v>343345</v>
      </c>
      <c r="J15" s="95">
        <v>410000</v>
      </c>
      <c r="K15" s="78">
        <v>540000</v>
      </c>
      <c r="L15" s="78">
        <v>498873</v>
      </c>
      <c r="M15" s="11">
        <f t="shared" si="2"/>
        <v>92.38388888888889</v>
      </c>
      <c r="N15" s="78">
        <v>343345</v>
      </c>
      <c r="O15" s="77"/>
      <c r="P15" s="78"/>
      <c r="Q15" s="78"/>
      <c r="R15" s="11" t="e">
        <f t="shared" si="7"/>
        <v>#DIV/0!</v>
      </c>
      <c r="S15" s="78"/>
      <c r="T15" s="119"/>
      <c r="U15" s="97"/>
      <c r="V15" s="97"/>
      <c r="W15" s="321" t="e">
        <f t="shared" si="4"/>
        <v>#DIV/0!</v>
      </c>
      <c r="X15" s="123"/>
    </row>
    <row r="16" spans="1:24" s="6" customFormat="1" ht="9.9499999999999993" customHeight="1" x14ac:dyDescent="0.2">
      <c r="A16" s="38" t="s">
        <v>13</v>
      </c>
      <c r="B16" s="815" t="s">
        <v>30</v>
      </c>
      <c r="C16" s="816"/>
      <c r="D16" s="56" t="s">
        <v>25</v>
      </c>
      <c r="E16" s="77">
        <f t="shared" si="6"/>
        <v>1000</v>
      </c>
      <c r="F16" s="78">
        <f t="shared" si="6"/>
        <v>1000</v>
      </c>
      <c r="G16" s="78">
        <f t="shared" si="6"/>
        <v>853</v>
      </c>
      <c r="H16" s="11">
        <f t="shared" si="0"/>
        <v>85.3</v>
      </c>
      <c r="I16" s="79">
        <f t="shared" si="6"/>
        <v>864</v>
      </c>
      <c r="J16" s="95">
        <v>1000</v>
      </c>
      <c r="K16" s="78">
        <v>1000</v>
      </c>
      <c r="L16" s="78">
        <v>853</v>
      </c>
      <c r="M16" s="11">
        <f t="shared" si="2"/>
        <v>85.3</v>
      </c>
      <c r="N16" s="78">
        <v>864</v>
      </c>
      <c r="O16" s="77"/>
      <c r="P16" s="78"/>
      <c r="Q16" s="78"/>
      <c r="R16" s="11" t="e">
        <f t="shared" si="7"/>
        <v>#DIV/0!</v>
      </c>
      <c r="S16" s="78"/>
      <c r="T16" s="119"/>
      <c r="U16" s="97"/>
      <c r="V16" s="97"/>
      <c r="W16" s="321" t="e">
        <f t="shared" si="4"/>
        <v>#DIV/0!</v>
      </c>
      <c r="X16" s="123"/>
    </row>
    <row r="17" spans="1:24" s="6" customFormat="1" ht="9.9499999999999993" customHeight="1" x14ac:dyDescent="0.2">
      <c r="A17" s="38" t="s">
        <v>14</v>
      </c>
      <c r="B17" s="46" t="s">
        <v>49</v>
      </c>
      <c r="C17" s="47"/>
      <c r="D17" s="56" t="s">
        <v>25</v>
      </c>
      <c r="E17" s="77">
        <f t="shared" si="6"/>
        <v>0</v>
      </c>
      <c r="F17" s="78">
        <f t="shared" si="6"/>
        <v>0</v>
      </c>
      <c r="G17" s="78">
        <f t="shared" si="6"/>
        <v>0</v>
      </c>
      <c r="H17" s="11" t="e">
        <f t="shared" si="0"/>
        <v>#DIV/0!</v>
      </c>
      <c r="I17" s="79">
        <f t="shared" si="6"/>
        <v>0</v>
      </c>
      <c r="J17" s="95"/>
      <c r="K17" s="78"/>
      <c r="L17" s="78"/>
      <c r="M17" s="11" t="e">
        <f t="shared" si="2"/>
        <v>#DIV/0!</v>
      </c>
      <c r="N17" s="78"/>
      <c r="O17" s="77"/>
      <c r="P17" s="78"/>
      <c r="Q17" s="78"/>
      <c r="R17" s="11" t="e">
        <f t="shared" si="7"/>
        <v>#DIV/0!</v>
      </c>
      <c r="S17" s="78"/>
      <c r="T17" s="119"/>
      <c r="U17" s="97"/>
      <c r="V17" s="97"/>
      <c r="W17" s="321" t="e">
        <f t="shared" si="4"/>
        <v>#DIV/0!</v>
      </c>
      <c r="X17" s="123"/>
    </row>
    <row r="18" spans="1:24" s="6" customFormat="1" ht="9.9499999999999993" customHeight="1" x14ac:dyDescent="0.2">
      <c r="A18" s="38" t="s">
        <v>15</v>
      </c>
      <c r="B18" s="815" t="s">
        <v>31</v>
      </c>
      <c r="C18" s="816"/>
      <c r="D18" s="56" t="s">
        <v>25</v>
      </c>
      <c r="E18" s="77">
        <f t="shared" si="6"/>
        <v>392100</v>
      </c>
      <c r="F18" s="78">
        <f t="shared" si="6"/>
        <v>389110</v>
      </c>
      <c r="G18" s="78">
        <f t="shared" si="6"/>
        <v>384541</v>
      </c>
      <c r="H18" s="11">
        <f t="shared" si="0"/>
        <v>98.82578191256971</v>
      </c>
      <c r="I18" s="79">
        <f t="shared" si="6"/>
        <v>375640</v>
      </c>
      <c r="J18" s="95">
        <v>390100</v>
      </c>
      <c r="K18" s="78">
        <v>388330</v>
      </c>
      <c r="L18" s="78">
        <v>383761</v>
      </c>
      <c r="M18" s="11">
        <f t="shared" si="2"/>
        <v>98.823423377024696</v>
      </c>
      <c r="N18" s="78">
        <v>375640</v>
      </c>
      <c r="O18" s="77">
        <v>2000</v>
      </c>
      <c r="P18" s="78">
        <v>780</v>
      </c>
      <c r="Q18" s="78">
        <v>780</v>
      </c>
      <c r="R18" s="11">
        <f t="shared" si="7"/>
        <v>100</v>
      </c>
      <c r="S18" s="78"/>
      <c r="T18" s="119"/>
      <c r="U18" s="97"/>
      <c r="V18" s="97"/>
      <c r="W18" s="321" t="e">
        <f t="shared" si="4"/>
        <v>#DIV/0!</v>
      </c>
      <c r="X18" s="123"/>
    </row>
    <row r="19" spans="1:24" s="12" customFormat="1" ht="9.9499999999999993" customHeight="1" x14ac:dyDescent="0.2">
      <c r="A19" s="38" t="s">
        <v>16</v>
      </c>
      <c r="B19" s="815" t="s">
        <v>32</v>
      </c>
      <c r="C19" s="816"/>
      <c r="D19" s="56" t="s">
        <v>25</v>
      </c>
      <c r="E19" s="77">
        <f t="shared" si="6"/>
        <v>6149100</v>
      </c>
      <c r="F19" s="78">
        <f t="shared" si="6"/>
        <v>6228534</v>
      </c>
      <c r="G19" s="78">
        <f t="shared" si="6"/>
        <v>6228534</v>
      </c>
      <c r="H19" s="11">
        <f t="shared" si="0"/>
        <v>100</v>
      </c>
      <c r="I19" s="79">
        <f t="shared" si="6"/>
        <v>6144063</v>
      </c>
      <c r="J19" s="96"/>
      <c r="K19" s="78">
        <v>30000</v>
      </c>
      <c r="L19" s="78">
        <v>30000</v>
      </c>
      <c r="M19" s="11">
        <f t="shared" si="2"/>
        <v>100</v>
      </c>
      <c r="N19" s="78"/>
      <c r="O19" s="77">
        <v>6149100</v>
      </c>
      <c r="P19" s="78">
        <v>6198534</v>
      </c>
      <c r="Q19" s="78">
        <v>6198534</v>
      </c>
      <c r="R19" s="11">
        <f t="shared" si="7"/>
        <v>100</v>
      </c>
      <c r="S19" s="78">
        <v>6144063</v>
      </c>
      <c r="T19" s="119"/>
      <c r="U19" s="97"/>
      <c r="V19" s="97"/>
      <c r="W19" s="321" t="e">
        <f t="shared" si="4"/>
        <v>#DIV/0!</v>
      </c>
      <c r="X19" s="123"/>
    </row>
    <row r="20" spans="1:24" s="6" customFormat="1" ht="9.9499999999999993" customHeight="1" x14ac:dyDescent="0.2">
      <c r="A20" s="38" t="s">
        <v>17</v>
      </c>
      <c r="B20" s="815" t="s">
        <v>50</v>
      </c>
      <c r="C20" s="816"/>
      <c r="D20" s="56" t="s">
        <v>25</v>
      </c>
      <c r="E20" s="77">
        <f t="shared" si="6"/>
        <v>2152200</v>
      </c>
      <c r="F20" s="78">
        <f t="shared" si="6"/>
        <v>2145356</v>
      </c>
      <c r="G20" s="78">
        <f t="shared" si="6"/>
        <v>2145356</v>
      </c>
      <c r="H20" s="11">
        <f t="shared" si="0"/>
        <v>100</v>
      </c>
      <c r="I20" s="79">
        <f t="shared" si="6"/>
        <v>2114523</v>
      </c>
      <c r="J20" s="95"/>
      <c r="K20" s="78">
        <v>10213</v>
      </c>
      <c r="L20" s="78">
        <v>10213</v>
      </c>
      <c r="M20" s="11">
        <f t="shared" si="2"/>
        <v>100</v>
      </c>
      <c r="N20" s="78"/>
      <c r="O20" s="77">
        <v>2152200</v>
      </c>
      <c r="P20" s="78">
        <v>2135143</v>
      </c>
      <c r="Q20" s="78">
        <v>2135143</v>
      </c>
      <c r="R20" s="11">
        <f t="shared" si="7"/>
        <v>100</v>
      </c>
      <c r="S20" s="78">
        <v>2114523</v>
      </c>
      <c r="T20" s="119"/>
      <c r="U20" s="97"/>
      <c r="V20" s="97"/>
      <c r="W20" s="321" t="e">
        <f t="shared" si="4"/>
        <v>#DIV/0!</v>
      </c>
      <c r="X20" s="123"/>
    </row>
    <row r="21" spans="1:24" s="6" customFormat="1" ht="9.9499999999999993" customHeight="1" x14ac:dyDescent="0.2">
      <c r="A21" s="38" t="s">
        <v>18</v>
      </c>
      <c r="B21" s="815" t="s">
        <v>51</v>
      </c>
      <c r="C21" s="816"/>
      <c r="D21" s="56" t="s">
        <v>25</v>
      </c>
      <c r="E21" s="77">
        <f t="shared" si="6"/>
        <v>65400</v>
      </c>
      <c r="F21" s="78">
        <f t="shared" si="6"/>
        <v>91023</v>
      </c>
      <c r="G21" s="78">
        <f t="shared" si="6"/>
        <v>91023</v>
      </c>
      <c r="H21" s="11">
        <f t="shared" si="0"/>
        <v>100</v>
      </c>
      <c r="I21" s="79">
        <f t="shared" si="6"/>
        <v>78203</v>
      </c>
      <c r="J21" s="95"/>
      <c r="K21" s="78">
        <v>15074</v>
      </c>
      <c r="L21" s="78">
        <v>15074</v>
      </c>
      <c r="M21" s="11">
        <f t="shared" si="2"/>
        <v>100</v>
      </c>
      <c r="N21" s="78">
        <v>17000</v>
      </c>
      <c r="O21" s="77">
        <v>65400</v>
      </c>
      <c r="P21" s="78">
        <v>75949</v>
      </c>
      <c r="Q21" s="78">
        <v>75949</v>
      </c>
      <c r="R21" s="11">
        <f t="shared" si="7"/>
        <v>100</v>
      </c>
      <c r="S21" s="78">
        <v>61203</v>
      </c>
      <c r="T21" s="119"/>
      <c r="U21" s="97"/>
      <c r="V21" s="97"/>
      <c r="W21" s="321" t="e">
        <f t="shared" si="4"/>
        <v>#DIV/0!</v>
      </c>
      <c r="X21" s="123"/>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c r="K22" s="78"/>
      <c r="L22" s="78"/>
      <c r="M22" s="11" t="e">
        <f t="shared" si="2"/>
        <v>#DIV/0!</v>
      </c>
      <c r="N22" s="78"/>
      <c r="O22" s="77"/>
      <c r="P22" s="78"/>
      <c r="Q22" s="78"/>
      <c r="R22" s="11" t="e">
        <f t="shared" si="7"/>
        <v>#DIV/0!</v>
      </c>
      <c r="S22" s="78"/>
      <c r="T22" s="119"/>
      <c r="U22" s="97"/>
      <c r="V22" s="97"/>
      <c r="W22" s="321" t="e">
        <f t="shared" si="4"/>
        <v>#DIV/0!</v>
      </c>
      <c r="X22" s="123"/>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18488</v>
      </c>
      <c r="J23" s="95"/>
      <c r="K23" s="78"/>
      <c r="L23" s="78"/>
      <c r="M23" s="11" t="e">
        <f t="shared" si="2"/>
        <v>#DIV/0!</v>
      </c>
      <c r="N23" s="78">
        <v>18488</v>
      </c>
      <c r="O23" s="77"/>
      <c r="P23" s="78"/>
      <c r="Q23" s="78"/>
      <c r="R23" s="11" t="e">
        <f t="shared" si="7"/>
        <v>#DIV/0!</v>
      </c>
      <c r="S23" s="78"/>
      <c r="T23" s="119"/>
      <c r="U23" s="97"/>
      <c r="V23" s="97"/>
      <c r="W23" s="321" t="e">
        <f t="shared" si="4"/>
        <v>#DIV/0!</v>
      </c>
      <c r="X23" s="123"/>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1" t="e">
        <f t="shared" si="2"/>
        <v>#DIV/0!</v>
      </c>
      <c r="N24" s="78"/>
      <c r="O24" s="77"/>
      <c r="P24" s="78"/>
      <c r="Q24" s="78"/>
      <c r="R24" s="11" t="e">
        <f t="shared" si="7"/>
        <v>#DIV/0!</v>
      </c>
      <c r="S24" s="78"/>
      <c r="T24" s="119"/>
      <c r="U24" s="97"/>
      <c r="V24" s="97"/>
      <c r="W24" s="321" t="e">
        <f t="shared" si="4"/>
        <v>#DIV/0!</v>
      </c>
      <c r="X24" s="123"/>
    </row>
    <row r="25" spans="1:24" s="6" customFormat="1" ht="9.9499999999999993" customHeight="1" x14ac:dyDescent="0.2">
      <c r="A25" s="39" t="s">
        <v>22</v>
      </c>
      <c r="B25" s="48" t="s">
        <v>71</v>
      </c>
      <c r="C25" s="49"/>
      <c r="D25" s="56" t="s">
        <v>25</v>
      </c>
      <c r="E25" s="77">
        <f t="shared" si="6"/>
        <v>0</v>
      </c>
      <c r="F25" s="78">
        <f t="shared" si="6"/>
        <v>1770</v>
      </c>
      <c r="G25" s="78">
        <f t="shared" si="6"/>
        <v>662</v>
      </c>
      <c r="H25" s="11">
        <f t="shared" si="0"/>
        <v>37.401129943502823</v>
      </c>
      <c r="I25" s="79">
        <f t="shared" si="6"/>
        <v>69017</v>
      </c>
      <c r="J25" s="95"/>
      <c r="K25" s="98">
        <v>1770</v>
      </c>
      <c r="L25" s="98">
        <v>662</v>
      </c>
      <c r="M25" s="11">
        <f t="shared" si="2"/>
        <v>37.401129943502823</v>
      </c>
      <c r="N25" s="98">
        <v>69017</v>
      </c>
      <c r="O25" s="100"/>
      <c r="P25" s="98"/>
      <c r="Q25" s="98"/>
      <c r="R25" s="11" t="e">
        <f t="shared" si="7"/>
        <v>#DIV/0!</v>
      </c>
      <c r="S25" s="98"/>
      <c r="T25" s="337"/>
      <c r="U25" s="338"/>
      <c r="V25" s="338"/>
      <c r="W25" s="321" t="e">
        <f t="shared" si="4"/>
        <v>#DIV/0!</v>
      </c>
      <c r="X25" s="322"/>
    </row>
    <row r="26" spans="1:24" s="14" customFormat="1" ht="9.9499999999999993" customHeight="1" x14ac:dyDescent="0.2">
      <c r="A26" s="38" t="s">
        <v>23</v>
      </c>
      <c r="B26" s="815" t="s">
        <v>72</v>
      </c>
      <c r="C26" s="816"/>
      <c r="D26" s="56" t="s">
        <v>25</v>
      </c>
      <c r="E26" s="77">
        <f t="shared" si="6"/>
        <v>69700</v>
      </c>
      <c r="F26" s="78">
        <f t="shared" si="6"/>
        <v>69700</v>
      </c>
      <c r="G26" s="78">
        <f t="shared" si="6"/>
        <v>40168</v>
      </c>
      <c r="H26" s="11">
        <f t="shared" si="0"/>
        <v>57.629842180774752</v>
      </c>
      <c r="I26" s="79">
        <f t="shared" si="6"/>
        <v>24828</v>
      </c>
      <c r="J26" s="95">
        <v>69700</v>
      </c>
      <c r="K26" s="103">
        <v>69700</v>
      </c>
      <c r="L26" s="103">
        <v>40168</v>
      </c>
      <c r="M26" s="11">
        <f t="shared" si="2"/>
        <v>57.629842180774752</v>
      </c>
      <c r="N26" s="103">
        <v>24828</v>
      </c>
      <c r="O26" s="102"/>
      <c r="P26" s="103"/>
      <c r="Q26" s="103"/>
      <c r="R26" s="11" t="e">
        <f t="shared" si="7"/>
        <v>#DIV/0!</v>
      </c>
      <c r="S26" s="103"/>
      <c r="T26" s="399"/>
      <c r="U26" s="400"/>
      <c r="V26" s="400"/>
      <c r="W26" s="321" t="e">
        <f t="shared" si="4"/>
        <v>#DIV/0!</v>
      </c>
      <c r="X26" s="323"/>
    </row>
    <row r="27" spans="1:24" s="16" customFormat="1" ht="9.9499999999999993" customHeight="1" x14ac:dyDescent="0.2">
      <c r="A27" s="38" t="s">
        <v>45</v>
      </c>
      <c r="B27" s="46" t="s">
        <v>73</v>
      </c>
      <c r="C27" s="47"/>
      <c r="D27" s="56" t="s">
        <v>25</v>
      </c>
      <c r="E27" s="77">
        <f t="shared" si="6"/>
        <v>230500</v>
      </c>
      <c r="F27" s="78">
        <f t="shared" si="6"/>
        <v>317466</v>
      </c>
      <c r="G27" s="78">
        <f t="shared" si="6"/>
        <v>303158</v>
      </c>
      <c r="H27" s="11">
        <f t="shared" si="0"/>
        <v>95.493060674213936</v>
      </c>
      <c r="I27" s="79">
        <f t="shared" si="6"/>
        <v>11593</v>
      </c>
      <c r="J27" s="95">
        <v>225500</v>
      </c>
      <c r="K27" s="103">
        <v>315500</v>
      </c>
      <c r="L27" s="103">
        <v>301192</v>
      </c>
      <c r="M27" s="11">
        <f t="shared" si="2"/>
        <v>95.464976228209181</v>
      </c>
      <c r="N27" s="103"/>
      <c r="O27" s="102">
        <v>5000</v>
      </c>
      <c r="P27" s="103">
        <v>1966</v>
      </c>
      <c r="Q27" s="103">
        <v>1966</v>
      </c>
      <c r="R27" s="11">
        <f t="shared" si="7"/>
        <v>100</v>
      </c>
      <c r="S27" s="103">
        <v>11593</v>
      </c>
      <c r="T27" s="399"/>
      <c r="U27" s="400"/>
      <c r="V27" s="400"/>
      <c r="W27" s="321" t="e">
        <f t="shared" si="4"/>
        <v>#DIV/0!</v>
      </c>
      <c r="X27" s="323"/>
    </row>
    <row r="28" spans="1:24" s="14" customFormat="1" ht="9.9499999999999993" customHeight="1" x14ac:dyDescent="0.2">
      <c r="A28" s="38" t="s">
        <v>53</v>
      </c>
      <c r="B28" s="815" t="s">
        <v>74</v>
      </c>
      <c r="C28" s="816"/>
      <c r="D28" s="56" t="s">
        <v>25</v>
      </c>
      <c r="E28" s="77">
        <f t="shared" ref="E28:G30" si="8">SUM(J28,O28)</f>
        <v>230</v>
      </c>
      <c r="F28" s="78">
        <f t="shared" si="8"/>
        <v>230</v>
      </c>
      <c r="G28" s="78">
        <f t="shared" si="8"/>
        <v>229</v>
      </c>
      <c r="H28" s="11">
        <f t="shared" si="0"/>
        <v>99.565217391304344</v>
      </c>
      <c r="I28" s="79">
        <f>SUM(N28,S28)</f>
        <v>228</v>
      </c>
      <c r="J28" s="95">
        <v>230</v>
      </c>
      <c r="K28" s="103">
        <v>230</v>
      </c>
      <c r="L28" s="103">
        <v>229</v>
      </c>
      <c r="M28" s="11">
        <f t="shared" si="2"/>
        <v>99.565217391304344</v>
      </c>
      <c r="N28" s="103">
        <v>228</v>
      </c>
      <c r="O28" s="102"/>
      <c r="P28" s="103"/>
      <c r="Q28" s="103"/>
      <c r="R28" s="11" t="e">
        <f t="shared" si="7"/>
        <v>#DIV/0!</v>
      </c>
      <c r="S28" s="103"/>
      <c r="T28" s="399"/>
      <c r="U28" s="400"/>
      <c r="V28" s="400"/>
      <c r="W28" s="321" t="e">
        <f t="shared" si="4"/>
        <v>#DIV/0!</v>
      </c>
      <c r="X28" s="323"/>
    </row>
    <row r="29" spans="1:24" s="6" customFormat="1" ht="9.75" x14ac:dyDescent="0.2">
      <c r="A29" s="38" t="s">
        <v>54</v>
      </c>
      <c r="B29" s="46" t="s">
        <v>55</v>
      </c>
      <c r="C29" s="47"/>
      <c r="D29" s="56" t="s">
        <v>25</v>
      </c>
      <c r="E29" s="77">
        <f t="shared" si="8"/>
        <v>0</v>
      </c>
      <c r="F29" s="78">
        <f t="shared" si="8"/>
        <v>0</v>
      </c>
      <c r="G29" s="78">
        <f t="shared" si="8"/>
        <v>0</v>
      </c>
      <c r="H29" s="11" t="e">
        <f t="shared" si="0"/>
        <v>#DIV/0!</v>
      </c>
      <c r="I29" s="79">
        <f>SUM(N29,S29)</f>
        <v>0</v>
      </c>
      <c r="J29" s="95"/>
      <c r="K29" s="103"/>
      <c r="L29" s="103"/>
      <c r="M29" s="11" t="e">
        <f t="shared" si="2"/>
        <v>#DIV/0!</v>
      </c>
      <c r="N29" s="103"/>
      <c r="O29" s="102"/>
      <c r="P29" s="103"/>
      <c r="Q29" s="103"/>
      <c r="R29" s="11" t="e">
        <f t="shared" si="7"/>
        <v>#DIV/0!</v>
      </c>
      <c r="S29" s="103"/>
      <c r="T29" s="399"/>
      <c r="U29" s="400"/>
      <c r="V29" s="400"/>
      <c r="W29" s="321" t="e">
        <f t="shared" si="4"/>
        <v>#DIV/0!</v>
      </c>
      <c r="X29" s="323"/>
    </row>
    <row r="30" spans="1:24" s="27" customFormat="1" ht="9.75" x14ac:dyDescent="0.2">
      <c r="A30" s="40" t="s">
        <v>56</v>
      </c>
      <c r="B30" s="44" t="s">
        <v>75</v>
      </c>
      <c r="C30" s="50"/>
      <c r="D30" s="59" t="s">
        <v>25</v>
      </c>
      <c r="E30" s="82">
        <f t="shared" si="8"/>
        <v>0</v>
      </c>
      <c r="F30" s="83">
        <f t="shared" si="8"/>
        <v>0</v>
      </c>
      <c r="G30" s="83">
        <f t="shared" si="8"/>
        <v>0</v>
      </c>
      <c r="H30" s="31" t="e">
        <f t="shared" si="0"/>
        <v>#DIV/0!</v>
      </c>
      <c r="I30" s="84">
        <f>SUM(N30,S30)</f>
        <v>0</v>
      </c>
      <c r="J30" s="106"/>
      <c r="K30" s="107"/>
      <c r="L30" s="107"/>
      <c r="M30" s="11" t="e">
        <f t="shared" si="2"/>
        <v>#DIV/0!</v>
      </c>
      <c r="N30" s="107"/>
      <c r="O30" s="109"/>
      <c r="P30" s="107"/>
      <c r="Q30" s="107"/>
      <c r="R30" s="11" t="e">
        <f t="shared" si="7"/>
        <v>#DIV/0!</v>
      </c>
      <c r="S30" s="107"/>
      <c r="T30" s="401"/>
      <c r="U30" s="402"/>
      <c r="V30" s="402"/>
      <c r="W30" s="328" t="e">
        <f t="shared" si="4"/>
        <v>#DIV/0!</v>
      </c>
      <c r="X30" s="329"/>
    </row>
    <row r="31" spans="1:24" s="27" customFormat="1" ht="9.75" x14ac:dyDescent="0.2">
      <c r="A31" s="33" t="s">
        <v>57</v>
      </c>
      <c r="B31" s="817" t="s">
        <v>58</v>
      </c>
      <c r="C31" s="818"/>
      <c r="D31" s="22" t="s">
        <v>25</v>
      </c>
      <c r="E31" s="67">
        <f>SUM(E6-E11)</f>
        <v>0</v>
      </c>
      <c r="F31" s="67">
        <f>SUM(F6-F11)</f>
        <v>0</v>
      </c>
      <c r="G31" s="67">
        <f>SUM(G6-G11)</f>
        <v>103705</v>
      </c>
      <c r="H31" s="21" t="e">
        <f t="shared" si="0"/>
        <v>#DIV/0!</v>
      </c>
      <c r="I31" s="68">
        <f>SUM(I6-I11)</f>
        <v>117313</v>
      </c>
      <c r="J31" s="67">
        <f>SUM(J6-J11)</f>
        <v>0</v>
      </c>
      <c r="K31" s="67">
        <f>SUM(K6-K11)</f>
        <v>0</v>
      </c>
      <c r="L31" s="67">
        <f>SUM(L6-L11)</f>
        <v>103705</v>
      </c>
      <c r="M31" s="151" t="e">
        <f t="shared" si="2"/>
        <v>#DIV/0!</v>
      </c>
      <c r="N31" s="67">
        <f>SUM(N6-N11)</f>
        <v>117313</v>
      </c>
      <c r="O31" s="67">
        <f>SUM(O6-O11)</f>
        <v>0</v>
      </c>
      <c r="P31" s="67">
        <f>SUM(P6-P11)</f>
        <v>0</v>
      </c>
      <c r="Q31" s="67">
        <f>SUM(Q6-Q11)</f>
        <v>0</v>
      </c>
      <c r="R31" s="152" t="e">
        <f>Q31/P31*100</f>
        <v>#DIV/0!</v>
      </c>
      <c r="S31" s="67">
        <f>SUM(S6-S11)</f>
        <v>0</v>
      </c>
      <c r="T31" s="330">
        <f>SUM(T6-T11)</f>
        <v>0</v>
      </c>
      <c r="U31" s="330">
        <f>SUM(U6-U11)</f>
        <v>0</v>
      </c>
      <c r="V31" s="330">
        <f>SUM(V6-V11)</f>
        <v>0</v>
      </c>
      <c r="W31" s="331" t="e">
        <f t="shared" si="4"/>
        <v>#DIV/0!</v>
      </c>
      <c r="X31" s="330">
        <f>SUM(X6-X11)</f>
        <v>0</v>
      </c>
    </row>
    <row r="32" spans="1:24" s="27" customFormat="1" ht="9.75" x14ac:dyDescent="0.2">
      <c r="A32" s="41" t="s">
        <v>59</v>
      </c>
      <c r="B32" s="60" t="s">
        <v>76</v>
      </c>
      <c r="C32" s="61"/>
      <c r="D32" s="22" t="s">
        <v>25</v>
      </c>
      <c r="E32" s="130">
        <f>SUM(J32,O32)</f>
        <v>0</v>
      </c>
      <c r="F32" s="131">
        <f>SUM(K32,P32)</f>
        <v>0</v>
      </c>
      <c r="G32" s="131">
        <f>SUM(L32,Q32)</f>
        <v>0</v>
      </c>
      <c r="H32" s="26" t="e">
        <f t="shared" si="0"/>
        <v>#DIV/0!</v>
      </c>
      <c r="I32" s="132">
        <f>SUM(N32,S32)</f>
        <v>0</v>
      </c>
      <c r="J32" s="112"/>
      <c r="K32" s="113"/>
      <c r="L32" s="113"/>
      <c r="M32" s="10" t="e">
        <f t="shared" si="2"/>
        <v>#DIV/0!</v>
      </c>
      <c r="N32" s="113"/>
      <c r="O32" s="115"/>
      <c r="P32" s="113"/>
      <c r="Q32" s="113"/>
      <c r="R32" s="31" t="e">
        <f>Q32/P32*100</f>
        <v>#DIV/0!</v>
      </c>
      <c r="S32" s="113"/>
      <c r="T32" s="332"/>
      <c r="U32" s="333"/>
      <c r="V32" s="333"/>
      <c r="W32" s="334" t="e">
        <f t="shared" si="4"/>
        <v>#DIV/0!</v>
      </c>
      <c r="X32" s="335"/>
    </row>
    <row r="33" spans="1:24" s="27" customFormat="1" ht="9.75" x14ac:dyDescent="0.2">
      <c r="A33" s="33" t="s">
        <v>60</v>
      </c>
      <c r="B33" s="24" t="s">
        <v>61</v>
      </c>
      <c r="C33" s="25"/>
      <c r="D33" s="22" t="s">
        <v>25</v>
      </c>
      <c r="E33" s="67">
        <f>E31-E32</f>
        <v>0</v>
      </c>
      <c r="F33" s="67">
        <f>F31-F32</f>
        <v>0</v>
      </c>
      <c r="G33" s="67">
        <f>G31-G32</f>
        <v>103705</v>
      </c>
      <c r="H33" s="29" t="e">
        <f t="shared" si="0"/>
        <v>#DIV/0!</v>
      </c>
      <c r="I33" s="68">
        <f>I31-I32</f>
        <v>117313</v>
      </c>
      <c r="J33" s="67">
        <f>J31-J32</f>
        <v>0</v>
      </c>
      <c r="K33" s="67">
        <f>K31-K32</f>
        <v>0</v>
      </c>
      <c r="L33" s="67">
        <f>L31-L32</f>
        <v>103705</v>
      </c>
      <c r="M33" s="151" t="e">
        <f t="shared" si="2"/>
        <v>#DIV/0!</v>
      </c>
      <c r="N33" s="67">
        <f>N31-N32</f>
        <v>117313</v>
      </c>
      <c r="O33" s="67">
        <f>O31-O32</f>
        <v>0</v>
      </c>
      <c r="P33" s="67">
        <f>P31-P32</f>
        <v>0</v>
      </c>
      <c r="Q33" s="67">
        <f>Q31-Q32</f>
        <v>0</v>
      </c>
      <c r="R33" s="152" t="e">
        <f>Q33/P33*100</f>
        <v>#DIV/0!</v>
      </c>
      <c r="S33" s="67">
        <f>S31-S32</f>
        <v>0</v>
      </c>
      <c r="T33" s="330">
        <f>T31-T32</f>
        <v>0</v>
      </c>
      <c r="U33" s="330">
        <f>U31-U32</f>
        <v>0</v>
      </c>
      <c r="V33" s="330">
        <f>V31-V32</f>
        <v>0</v>
      </c>
      <c r="W33" s="331" t="e">
        <f t="shared" si="4"/>
        <v>#DIV/0!</v>
      </c>
      <c r="X33" s="330">
        <f>X31-X32</f>
        <v>0</v>
      </c>
    </row>
    <row r="34" spans="1:24" s="136" customFormat="1" ht="9" x14ac:dyDescent="0.2">
      <c r="A34" s="42" t="s">
        <v>62</v>
      </c>
      <c r="B34" s="813" t="s">
        <v>24</v>
      </c>
      <c r="C34" s="814"/>
      <c r="D34" s="62" t="s">
        <v>25</v>
      </c>
      <c r="E34" s="207">
        <v>17669</v>
      </c>
      <c r="F34" s="208">
        <v>17669</v>
      </c>
      <c r="G34" s="208">
        <v>17812</v>
      </c>
      <c r="H34" s="13">
        <f t="shared" si="0"/>
        <v>100.80932707000963</v>
      </c>
      <c r="I34" s="208">
        <v>16065</v>
      </c>
      <c r="J34" s="804"/>
      <c r="K34" s="805"/>
      <c r="L34" s="805"/>
      <c r="M34" s="805"/>
      <c r="N34" s="805"/>
      <c r="O34" s="805"/>
      <c r="P34" s="805"/>
      <c r="Q34" s="805"/>
      <c r="R34" s="805"/>
      <c r="S34" s="805"/>
      <c r="T34" s="805"/>
      <c r="U34" s="805"/>
      <c r="V34" s="805"/>
      <c r="W34" s="805"/>
      <c r="X34" s="806"/>
    </row>
    <row r="35" spans="1:24" s="136" customFormat="1" ht="9" x14ac:dyDescent="0.2">
      <c r="A35" s="32" t="s">
        <v>63</v>
      </c>
      <c r="B35" s="797" t="s">
        <v>33</v>
      </c>
      <c r="C35" s="798"/>
      <c r="D35" s="63" t="s">
        <v>26</v>
      </c>
      <c r="E35" s="233">
        <v>26</v>
      </c>
      <c r="F35" s="234">
        <v>26</v>
      </c>
      <c r="G35" s="234">
        <v>26</v>
      </c>
      <c r="H35" s="15">
        <f t="shared" si="0"/>
        <v>100</v>
      </c>
      <c r="I35" s="234">
        <v>26</v>
      </c>
      <c r="J35" s="804"/>
      <c r="K35" s="805"/>
      <c r="L35" s="805"/>
      <c r="M35" s="805"/>
      <c r="N35" s="805"/>
      <c r="O35" s="805"/>
      <c r="P35" s="805"/>
      <c r="Q35" s="805"/>
      <c r="R35" s="805"/>
      <c r="S35" s="805"/>
      <c r="T35" s="805"/>
      <c r="U35" s="805"/>
      <c r="V35" s="805"/>
      <c r="W35" s="805"/>
      <c r="X35" s="806"/>
    </row>
    <row r="36" spans="1:24" s="136" customFormat="1" ht="9" x14ac:dyDescent="0.2">
      <c r="A36" s="43" t="s">
        <v>64</v>
      </c>
      <c r="B36" s="799" t="s">
        <v>27</v>
      </c>
      <c r="C36" s="800"/>
      <c r="D36" s="64" t="s">
        <v>26</v>
      </c>
      <c r="E36" s="210">
        <v>29</v>
      </c>
      <c r="F36" s="211">
        <v>29</v>
      </c>
      <c r="G36" s="211">
        <v>29</v>
      </c>
      <c r="H36" s="17">
        <f t="shared" si="0"/>
        <v>100</v>
      </c>
      <c r="I36" s="211">
        <v>29</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53"/>
      <c r="K37" s="54"/>
      <c r="L37" s="54"/>
      <c r="M37" s="30" t="e">
        <f>L37/K37*100</f>
        <v>#DIV/0!</v>
      </c>
      <c r="N37" s="801"/>
      <c r="O37" s="802"/>
      <c r="P37" s="802"/>
      <c r="Q37" s="802"/>
      <c r="R37" s="802"/>
      <c r="S37" s="802"/>
      <c r="T37" s="802"/>
      <c r="U37" s="802"/>
      <c r="V37" s="802"/>
      <c r="W37" s="802"/>
      <c r="X37" s="803"/>
    </row>
    <row r="38" spans="1:24" s="136" customFormat="1" x14ac:dyDescent="0.15">
      <c r="A38" s="137"/>
      <c r="P38" s="138"/>
    </row>
    <row r="39" spans="1:24" s="136" customFormat="1" x14ac:dyDescent="0.15">
      <c r="A39" s="137"/>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sheetData>
  <mergeCells count="43">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E37:I37"/>
    <mergeCell ref="N37:X37"/>
    <mergeCell ref="B21:C21"/>
    <mergeCell ref="B22:C22"/>
    <mergeCell ref="B34:C34"/>
    <mergeCell ref="B26:C26"/>
    <mergeCell ref="B28:C28"/>
    <mergeCell ref="B31:C31"/>
    <mergeCell ref="J34:X36"/>
    <mergeCell ref="B35:C35"/>
    <mergeCell ref="B36:C36"/>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7"/>
  <sheetViews>
    <sheetView tabSelected="1" zoomScaleNormal="100" workbookViewId="0"/>
  </sheetViews>
  <sheetFormatPr defaultRowHeight="12.75" x14ac:dyDescent="0.2"/>
  <cols>
    <col min="1" max="1" width="93.75" style="66" customWidth="1"/>
    <col min="2" max="2" width="23.5" style="66" customWidth="1"/>
    <col min="3" max="5" width="25.75" style="66" customWidth="1"/>
    <col min="6" max="6" width="22.75" style="66" customWidth="1"/>
    <col min="7" max="9" width="10" style="66"/>
  </cols>
  <sheetData>
    <row r="1" spans="1:9" s="127" customFormat="1" ht="18.75" x14ac:dyDescent="0.3">
      <c r="A1" s="127" t="s">
        <v>119</v>
      </c>
    </row>
    <row r="2" spans="1:9" s="128" customFormat="1" x14ac:dyDescent="0.2"/>
    <row r="3" spans="1:9" s="175" customFormat="1" ht="10.5" x14ac:dyDescent="0.15">
      <c r="A3" s="750" t="s">
        <v>133</v>
      </c>
      <c r="B3" s="750"/>
      <c r="C3" s="750"/>
      <c r="D3" s="750"/>
      <c r="E3" s="750"/>
      <c r="F3" s="750"/>
      <c r="G3" s="750"/>
      <c r="H3" s="750"/>
      <c r="I3" s="750"/>
    </row>
    <row r="4" spans="1:9" s="176" customFormat="1" ht="11.25" x14ac:dyDescent="0.2"/>
    <row r="5" spans="1:9" s="177" customFormat="1" ht="9.75" x14ac:dyDescent="0.2">
      <c r="A5" s="751" t="s">
        <v>77</v>
      </c>
      <c r="B5" s="752"/>
      <c r="C5" s="341" t="s">
        <v>25</v>
      </c>
      <c r="D5" s="753" t="s">
        <v>112</v>
      </c>
      <c r="E5" s="753"/>
      <c r="F5" s="753"/>
      <c r="G5" s="753"/>
      <c r="H5" s="753"/>
      <c r="I5" s="753"/>
    </row>
    <row r="6" spans="1:9" s="176" customFormat="1" ht="15" customHeight="1" x14ac:dyDescent="0.2">
      <c r="A6" s="754" t="s">
        <v>134</v>
      </c>
      <c r="B6" s="754"/>
      <c r="C6" s="193">
        <f>SUM(C7:C9)</f>
        <v>115700.73999999999</v>
      </c>
      <c r="D6" s="755"/>
      <c r="E6" s="756"/>
      <c r="F6" s="756"/>
      <c r="G6" s="756"/>
      <c r="H6" s="756"/>
      <c r="I6" s="756"/>
    </row>
    <row r="7" spans="1:9" s="176" customFormat="1" ht="15" customHeight="1" x14ac:dyDescent="0.2">
      <c r="A7" s="745" t="s">
        <v>78</v>
      </c>
      <c r="B7" s="746"/>
      <c r="C7" s="178">
        <v>38471.339999999997</v>
      </c>
      <c r="D7" s="915" t="s">
        <v>223</v>
      </c>
      <c r="E7" s="915"/>
      <c r="F7" s="915"/>
      <c r="G7" s="915"/>
      <c r="H7" s="915"/>
      <c r="I7" s="915"/>
    </row>
    <row r="8" spans="1:9" s="175" customFormat="1" ht="15" customHeight="1" x14ac:dyDescent="0.15">
      <c r="A8" s="764" t="s">
        <v>113</v>
      </c>
      <c r="B8" s="765"/>
      <c r="C8" s="179">
        <v>77229.399999999994</v>
      </c>
      <c r="D8" s="915" t="s">
        <v>224</v>
      </c>
      <c r="E8" s="915"/>
      <c r="F8" s="915"/>
      <c r="G8" s="915"/>
      <c r="H8" s="915"/>
      <c r="I8" s="915"/>
    </row>
    <row r="9" spans="1:9" s="175" customFormat="1" ht="15" customHeight="1" x14ac:dyDescent="0.15">
      <c r="A9" s="764" t="s">
        <v>114</v>
      </c>
      <c r="B9" s="765"/>
      <c r="C9" s="179">
        <v>0</v>
      </c>
      <c r="D9" s="778"/>
      <c r="E9" s="779"/>
      <c r="F9" s="779"/>
      <c r="G9" s="779"/>
      <c r="H9" s="779"/>
      <c r="I9" s="780"/>
    </row>
    <row r="10" spans="1:9" s="176" customFormat="1" ht="11.25" x14ac:dyDescent="0.2">
      <c r="C10" s="180"/>
    </row>
    <row r="11" spans="1:9" s="176" customFormat="1" ht="11.25" x14ac:dyDescent="0.2">
      <c r="A11" s="750" t="s">
        <v>135</v>
      </c>
      <c r="B11" s="750"/>
      <c r="C11" s="750"/>
      <c r="D11" s="750"/>
      <c r="E11" s="750"/>
      <c r="F11" s="750"/>
      <c r="G11" s="750"/>
      <c r="H11" s="750"/>
      <c r="I11" s="750"/>
    </row>
    <row r="12" spans="1:9" s="176" customFormat="1" ht="11.25" x14ac:dyDescent="0.2">
      <c r="C12" s="180"/>
      <c r="D12" s="216"/>
      <c r="E12" s="216"/>
      <c r="F12" s="216"/>
      <c r="G12" s="216"/>
      <c r="H12" s="216"/>
      <c r="I12" s="216"/>
    </row>
    <row r="13" spans="1:9" s="181" customFormat="1" ht="9.75" x14ac:dyDescent="0.2">
      <c r="A13" s="341" t="s">
        <v>77</v>
      </c>
      <c r="B13" s="341" t="s">
        <v>79</v>
      </c>
      <c r="C13" s="341" t="s">
        <v>25</v>
      </c>
      <c r="D13" s="407"/>
      <c r="E13" s="408"/>
      <c r="F13" s="408"/>
      <c r="G13" s="408"/>
      <c r="H13" s="408"/>
      <c r="I13" s="408"/>
    </row>
    <row r="14" spans="1:9" s="176" customFormat="1" ht="15" customHeight="1" x14ac:dyDescent="0.2">
      <c r="A14" s="182" t="s">
        <v>136</v>
      </c>
      <c r="B14" s="409"/>
      <c r="C14" s="205">
        <v>0</v>
      </c>
      <c r="D14" s="410"/>
      <c r="E14" s="411"/>
      <c r="F14" s="411"/>
      <c r="G14" s="411"/>
      <c r="H14" s="411"/>
      <c r="I14" s="411"/>
    </row>
    <row r="15" spans="1:9" s="176" customFormat="1" ht="15" customHeight="1" x14ac:dyDescent="0.2">
      <c r="A15" s="783" t="s">
        <v>137</v>
      </c>
      <c r="B15" s="184" t="s">
        <v>80</v>
      </c>
      <c r="C15" s="185">
        <v>105700.74</v>
      </c>
      <c r="D15" s="412"/>
      <c r="E15" s="413"/>
      <c r="F15" s="413"/>
      <c r="G15" s="413"/>
      <c r="H15" s="413"/>
      <c r="I15" s="413"/>
    </row>
    <row r="16" spans="1:9" s="176" customFormat="1" ht="15" customHeight="1" x14ac:dyDescent="0.2">
      <c r="A16" s="784"/>
      <c r="B16" s="183" t="s">
        <v>81</v>
      </c>
      <c r="C16" s="414">
        <v>10000</v>
      </c>
      <c r="D16" s="415"/>
      <c r="E16" s="416"/>
      <c r="F16" s="416"/>
      <c r="G16" s="416"/>
      <c r="H16" s="416"/>
      <c r="I16" s="416"/>
    </row>
    <row r="17" spans="1:9" s="176" customFormat="1" ht="15" customHeight="1" x14ac:dyDescent="0.2">
      <c r="A17" s="406" t="s">
        <v>134</v>
      </c>
      <c r="B17" s="417"/>
      <c r="C17" s="423">
        <f>SUM(C14:C16)</f>
        <v>115700.74</v>
      </c>
      <c r="D17" s="418"/>
      <c r="E17" s="418"/>
      <c r="F17" s="418"/>
      <c r="G17" s="418"/>
      <c r="H17" s="418"/>
      <c r="I17" s="418"/>
    </row>
    <row r="18" spans="1:9" s="206" customFormat="1" ht="11.25" x14ac:dyDescent="0.2">
      <c r="A18" s="419"/>
      <c r="C18" s="232"/>
      <c r="D18" s="420"/>
      <c r="E18" s="420"/>
      <c r="F18" s="420"/>
      <c r="G18" s="420"/>
      <c r="H18" s="420"/>
      <c r="I18" s="420"/>
    </row>
    <row r="19" spans="1:9" s="176" customFormat="1" ht="11.25" x14ac:dyDescent="0.2">
      <c r="A19" s="750" t="s">
        <v>138</v>
      </c>
      <c r="B19" s="750"/>
      <c r="C19" s="750"/>
      <c r="D19" s="750"/>
      <c r="E19" s="750"/>
      <c r="F19" s="750"/>
      <c r="G19" s="750"/>
      <c r="H19" s="750"/>
      <c r="I19" s="750"/>
    </row>
    <row r="20" spans="1:9" s="176" customFormat="1" ht="11.25" x14ac:dyDescent="0.2">
      <c r="C20" s="180"/>
    </row>
    <row r="21" spans="1:9" s="188" customFormat="1" ht="9.75" x14ac:dyDescent="0.2">
      <c r="A21" s="341" t="s">
        <v>79</v>
      </c>
      <c r="B21" s="341" t="s">
        <v>139</v>
      </c>
      <c r="C21" s="342" t="s">
        <v>140</v>
      </c>
      <c r="D21" s="341" t="s">
        <v>141</v>
      </c>
      <c r="E21" s="341" t="s">
        <v>142</v>
      </c>
      <c r="F21" s="753" t="s">
        <v>115</v>
      </c>
      <c r="G21" s="753"/>
      <c r="H21" s="753"/>
      <c r="I21" s="753"/>
    </row>
    <row r="22" spans="1:9" s="176" customFormat="1" ht="23.25" customHeight="1" x14ac:dyDescent="0.2">
      <c r="A22" s="187" t="s">
        <v>116</v>
      </c>
      <c r="B22" s="189">
        <v>228291.56</v>
      </c>
      <c r="C22" s="189">
        <v>134572.94</v>
      </c>
      <c r="D22" s="189">
        <v>118978</v>
      </c>
      <c r="E22" s="189">
        <f>B22+C22-D22</f>
        <v>243886.5</v>
      </c>
      <c r="F22" s="785" t="s">
        <v>225</v>
      </c>
      <c r="G22" s="786"/>
      <c r="H22" s="786"/>
      <c r="I22" s="787"/>
    </row>
    <row r="23" spans="1:9" s="176" customFormat="1" ht="14.25" customHeight="1" x14ac:dyDescent="0.2">
      <c r="A23" s="184" t="s">
        <v>143</v>
      </c>
      <c r="B23" s="190">
        <v>101429.1</v>
      </c>
      <c r="C23" s="190">
        <v>157446</v>
      </c>
      <c r="D23" s="190">
        <v>167173</v>
      </c>
      <c r="E23" s="190">
        <f>B23+C23-D23</f>
        <v>91702.1</v>
      </c>
      <c r="F23" s="747" t="s">
        <v>226</v>
      </c>
      <c r="G23" s="795"/>
      <c r="H23" s="795"/>
      <c r="I23" s="796"/>
    </row>
    <row r="24" spans="1:9" s="176" customFormat="1" ht="25.5" customHeight="1" x14ac:dyDescent="0.2">
      <c r="A24" s="184" t="s">
        <v>81</v>
      </c>
      <c r="B24" s="190">
        <v>121930.67</v>
      </c>
      <c r="C24" s="190">
        <v>0</v>
      </c>
      <c r="D24" s="190">
        <v>50000</v>
      </c>
      <c r="E24" s="190">
        <f>B24+C24-D24</f>
        <v>71930.67</v>
      </c>
      <c r="F24" s="747" t="s">
        <v>227</v>
      </c>
      <c r="G24" s="795"/>
      <c r="H24" s="795"/>
      <c r="I24" s="796"/>
    </row>
    <row r="25" spans="1:9" s="176" customFormat="1" ht="24" customHeight="1" x14ac:dyDescent="0.2">
      <c r="A25" s="183" t="s">
        <v>82</v>
      </c>
      <c r="B25" s="191">
        <v>82834.23</v>
      </c>
      <c r="C25" s="191">
        <v>88631</v>
      </c>
      <c r="D25" s="191">
        <v>66584</v>
      </c>
      <c r="E25" s="191">
        <f>B25+C25-D25</f>
        <v>104881.22999999998</v>
      </c>
      <c r="F25" s="759" t="s">
        <v>228</v>
      </c>
      <c r="G25" s="848"/>
      <c r="H25" s="848"/>
      <c r="I25" s="849"/>
    </row>
    <row r="26" spans="1:9" s="175" customFormat="1" ht="10.5" x14ac:dyDescent="0.15">
      <c r="A26" s="192" t="s">
        <v>34</v>
      </c>
      <c r="B26" s="193">
        <f>SUM(B22:B25)</f>
        <v>534485.56000000006</v>
      </c>
      <c r="C26" s="193">
        <f>SUM(C22:C25)</f>
        <v>380649.94</v>
      </c>
      <c r="D26" s="193">
        <f>SUM(D22:D25)</f>
        <v>402735</v>
      </c>
      <c r="E26" s="193">
        <f>SUM(E22:E25)</f>
        <v>512400.49999999994</v>
      </c>
      <c r="F26" s="762"/>
      <c r="G26" s="762"/>
      <c r="H26" s="762"/>
      <c r="I26" s="763"/>
    </row>
    <row r="27" spans="1:9" s="176" customFormat="1" ht="11.25" x14ac:dyDescent="0.2">
      <c r="C27" s="180"/>
    </row>
    <row r="28" spans="1:9" s="176" customFormat="1" ht="11.25" x14ac:dyDescent="0.2">
      <c r="A28" s="750" t="s">
        <v>144</v>
      </c>
      <c r="B28" s="750"/>
      <c r="C28" s="750"/>
      <c r="D28" s="750"/>
      <c r="E28" s="750"/>
      <c r="F28" s="750"/>
      <c r="G28" s="750"/>
      <c r="H28" s="750"/>
      <c r="I28" s="750"/>
    </row>
    <row r="29" spans="1:9" s="176" customFormat="1" ht="11.25" x14ac:dyDescent="0.2">
      <c r="C29" s="180"/>
    </row>
    <row r="30" spans="1:9" s="176" customFormat="1" ht="11.25" x14ac:dyDescent="0.2">
      <c r="A30" s="341" t="s">
        <v>83</v>
      </c>
      <c r="B30" s="341" t="s">
        <v>25</v>
      </c>
      <c r="C30" s="342" t="s">
        <v>84</v>
      </c>
      <c r="D30" s="753" t="s">
        <v>117</v>
      </c>
      <c r="E30" s="753"/>
      <c r="F30" s="753"/>
      <c r="G30" s="753"/>
      <c r="H30" s="753"/>
      <c r="I30" s="753"/>
    </row>
    <row r="31" spans="1:9" s="176" customFormat="1" ht="15" customHeight="1" x14ac:dyDescent="0.2">
      <c r="A31" s="194"/>
      <c r="B31" s="189">
        <v>0</v>
      </c>
      <c r="C31" s="195"/>
      <c r="D31" s="916"/>
      <c r="E31" s="917"/>
      <c r="F31" s="917"/>
      <c r="G31" s="917"/>
      <c r="H31" s="917"/>
      <c r="I31" s="918"/>
    </row>
    <row r="32" spans="1:9" s="175" customFormat="1" ht="11.25" x14ac:dyDescent="0.2">
      <c r="A32" s="192" t="s">
        <v>34</v>
      </c>
      <c r="B32" s="193">
        <f>SUM(B31:B31)</f>
        <v>0</v>
      </c>
      <c r="C32" s="776"/>
      <c r="D32" s="776"/>
      <c r="E32" s="776"/>
      <c r="F32" s="776"/>
      <c r="G32" s="776"/>
      <c r="H32" s="776"/>
      <c r="I32" s="777"/>
    </row>
    <row r="33" spans="1:9" s="176" customFormat="1" ht="11.25" x14ac:dyDescent="0.2">
      <c r="C33" s="180"/>
    </row>
    <row r="34" spans="1:9" s="176" customFormat="1" ht="11.25" x14ac:dyDescent="0.2">
      <c r="A34" s="750" t="s">
        <v>145</v>
      </c>
      <c r="B34" s="750"/>
      <c r="C34" s="750"/>
      <c r="D34" s="750"/>
      <c r="E34" s="750"/>
      <c r="F34" s="750"/>
      <c r="G34" s="750"/>
      <c r="H34" s="750"/>
      <c r="I34" s="750"/>
    </row>
    <row r="35" spans="1:9" s="176" customFormat="1" ht="11.25" x14ac:dyDescent="0.2">
      <c r="C35" s="180"/>
    </row>
    <row r="36" spans="1:9" s="176" customFormat="1" ht="11.25" x14ac:dyDescent="0.2">
      <c r="A36" s="341" t="s">
        <v>83</v>
      </c>
      <c r="B36" s="341" t="s">
        <v>25</v>
      </c>
      <c r="C36" s="342" t="s">
        <v>84</v>
      </c>
      <c r="D36" s="753" t="s">
        <v>117</v>
      </c>
      <c r="E36" s="753"/>
      <c r="F36" s="753"/>
      <c r="G36" s="753"/>
      <c r="H36" s="753"/>
      <c r="I36" s="792"/>
    </row>
    <row r="37" spans="1:9" s="176" customFormat="1" ht="15" customHeight="1" x14ac:dyDescent="0.2">
      <c r="A37" s="194"/>
      <c r="B37" s="189">
        <v>0</v>
      </c>
      <c r="C37" s="195"/>
      <c r="D37" s="916"/>
      <c r="E37" s="917"/>
      <c r="F37" s="917"/>
      <c r="G37" s="917"/>
      <c r="H37" s="917"/>
      <c r="I37" s="918"/>
    </row>
    <row r="38" spans="1:9" s="175" customFormat="1" ht="10.5" x14ac:dyDescent="0.15">
      <c r="A38" s="192" t="s">
        <v>34</v>
      </c>
      <c r="B38" s="193">
        <f>SUM(B37:B37)</f>
        <v>0</v>
      </c>
      <c r="C38" s="793"/>
      <c r="D38" s="793"/>
      <c r="E38" s="793"/>
      <c r="F38" s="793"/>
      <c r="G38" s="793"/>
      <c r="H38" s="793"/>
      <c r="I38" s="793"/>
    </row>
    <row r="39" spans="1:9" s="176" customFormat="1" ht="11.25" x14ac:dyDescent="0.2">
      <c r="C39" s="180"/>
    </row>
    <row r="40" spans="1:9" s="176" customFormat="1" ht="11.25" x14ac:dyDescent="0.2">
      <c r="A40" s="750" t="s">
        <v>146</v>
      </c>
      <c r="B40" s="750"/>
      <c r="C40" s="750"/>
      <c r="D40" s="750"/>
      <c r="E40" s="750"/>
      <c r="F40" s="750"/>
      <c r="G40" s="750"/>
      <c r="H40" s="750"/>
      <c r="I40" s="750"/>
    </row>
    <row r="41" spans="1:9" s="176" customFormat="1" ht="11.25" x14ac:dyDescent="0.2">
      <c r="C41" s="180"/>
    </row>
    <row r="42" spans="1:9" s="176" customFormat="1" ht="11.25" x14ac:dyDescent="0.2">
      <c r="A42" s="341" t="s">
        <v>25</v>
      </c>
      <c r="B42" s="342" t="s">
        <v>147</v>
      </c>
      <c r="C42" s="781" t="s">
        <v>85</v>
      </c>
      <c r="D42" s="781"/>
      <c r="E42" s="781"/>
      <c r="F42" s="781"/>
      <c r="G42" s="781"/>
      <c r="H42" s="781"/>
      <c r="I42" s="782"/>
    </row>
    <row r="43" spans="1:9" s="176" customFormat="1" ht="11.25" x14ac:dyDescent="0.2">
      <c r="A43" s="467">
        <v>37721</v>
      </c>
      <c r="B43" s="467">
        <v>37721</v>
      </c>
      <c r="C43" s="905" t="s">
        <v>204</v>
      </c>
      <c r="D43" s="905"/>
      <c r="E43" s="905"/>
      <c r="F43" s="905"/>
      <c r="G43" s="905"/>
      <c r="H43" s="905"/>
      <c r="I43" s="905"/>
    </row>
    <row r="44" spans="1:9" s="176" customFormat="1" ht="11.25" x14ac:dyDescent="0.2">
      <c r="A44" s="190">
        <v>2000</v>
      </c>
      <c r="B44" s="190">
        <v>2000</v>
      </c>
      <c r="C44" s="912" t="s">
        <v>205</v>
      </c>
      <c r="D44" s="913"/>
      <c r="E44" s="913"/>
      <c r="F44" s="913"/>
      <c r="G44" s="913"/>
      <c r="H44" s="913"/>
      <c r="I44" s="914"/>
    </row>
    <row r="45" spans="1:9" s="176" customFormat="1" ht="11.25" x14ac:dyDescent="0.2">
      <c r="A45" s="190">
        <v>5000</v>
      </c>
      <c r="B45" s="190">
        <v>5000</v>
      </c>
      <c r="C45" s="912" t="s">
        <v>206</v>
      </c>
      <c r="D45" s="913"/>
      <c r="E45" s="913"/>
      <c r="F45" s="913"/>
      <c r="G45" s="913"/>
      <c r="H45" s="913"/>
      <c r="I45" s="914"/>
    </row>
    <row r="46" spans="1:9" s="176" customFormat="1" ht="11.25" x14ac:dyDescent="0.2">
      <c r="A46" s="190">
        <v>1600</v>
      </c>
      <c r="B46" s="190"/>
      <c r="C46" s="906"/>
      <c r="D46" s="907"/>
      <c r="E46" s="907"/>
      <c r="F46" s="907"/>
      <c r="G46" s="907"/>
      <c r="H46" s="907"/>
      <c r="I46" s="908"/>
    </row>
    <row r="47" spans="1:9" s="176" customFormat="1" ht="11.25" x14ac:dyDescent="0.2">
      <c r="A47" s="190">
        <v>2500</v>
      </c>
      <c r="B47" s="190">
        <v>2257</v>
      </c>
      <c r="C47" s="912" t="s">
        <v>207</v>
      </c>
      <c r="D47" s="913"/>
      <c r="E47" s="913"/>
      <c r="F47" s="913"/>
      <c r="G47" s="913"/>
      <c r="H47" s="913"/>
      <c r="I47" s="914"/>
    </row>
    <row r="48" spans="1:9" s="176" customFormat="1" ht="11.25" x14ac:dyDescent="0.2">
      <c r="A48" s="190">
        <v>20000</v>
      </c>
      <c r="B48" s="190">
        <v>20000</v>
      </c>
      <c r="C48" s="912" t="s">
        <v>206</v>
      </c>
      <c r="D48" s="913"/>
      <c r="E48" s="913"/>
      <c r="F48" s="913"/>
      <c r="G48" s="913"/>
      <c r="H48" s="913"/>
      <c r="I48" s="914"/>
    </row>
    <row r="49" spans="1:9" s="176" customFormat="1" ht="11.25" x14ac:dyDescent="0.2">
      <c r="A49" s="190">
        <v>5000</v>
      </c>
      <c r="B49" s="190"/>
      <c r="C49" s="906"/>
      <c r="D49" s="907"/>
      <c r="E49" s="907"/>
      <c r="F49" s="907"/>
      <c r="G49" s="907"/>
      <c r="H49" s="907"/>
      <c r="I49" s="908"/>
    </row>
    <row r="50" spans="1:9" s="176" customFormat="1" ht="11.25" x14ac:dyDescent="0.2">
      <c r="A50" s="190">
        <v>10000</v>
      </c>
      <c r="B50" s="190">
        <v>10000</v>
      </c>
      <c r="C50" s="912" t="s">
        <v>208</v>
      </c>
      <c r="D50" s="913"/>
      <c r="E50" s="913"/>
      <c r="F50" s="913"/>
      <c r="G50" s="913"/>
      <c r="H50" s="913"/>
      <c r="I50" s="914"/>
    </row>
    <row r="51" spans="1:9" s="176" customFormat="1" ht="11.25" x14ac:dyDescent="0.2">
      <c r="A51" s="190">
        <v>3000</v>
      </c>
      <c r="B51" s="190"/>
      <c r="C51" s="906"/>
      <c r="D51" s="907"/>
      <c r="E51" s="907"/>
      <c r="F51" s="907"/>
      <c r="G51" s="907"/>
      <c r="H51" s="907"/>
      <c r="I51" s="908"/>
    </row>
    <row r="52" spans="1:9" s="176" customFormat="1" ht="11.25" x14ac:dyDescent="0.2">
      <c r="A52" s="190">
        <v>5000</v>
      </c>
      <c r="B52" s="190"/>
      <c r="C52" s="906"/>
      <c r="D52" s="907"/>
      <c r="E52" s="907"/>
      <c r="F52" s="907"/>
      <c r="G52" s="907"/>
      <c r="H52" s="907"/>
      <c r="I52" s="908"/>
    </row>
    <row r="53" spans="1:9" s="176" customFormat="1" ht="11.25" x14ac:dyDescent="0.2">
      <c r="A53" s="468">
        <v>2000</v>
      </c>
      <c r="B53" s="468">
        <v>2000</v>
      </c>
      <c r="C53" s="909" t="s">
        <v>205</v>
      </c>
      <c r="D53" s="910"/>
      <c r="E53" s="910"/>
      <c r="F53" s="910"/>
      <c r="G53" s="910"/>
      <c r="H53" s="910"/>
      <c r="I53" s="911"/>
    </row>
    <row r="54" spans="1:9" s="175" customFormat="1" ht="10.5" x14ac:dyDescent="0.15">
      <c r="A54" s="193">
        <f>SUM(A43:A53)</f>
        <v>93821</v>
      </c>
      <c r="B54" s="193">
        <f>SUM(B43:B53)</f>
        <v>78978</v>
      </c>
      <c r="C54" s="770" t="s">
        <v>34</v>
      </c>
      <c r="D54" s="770"/>
      <c r="E54" s="770"/>
      <c r="F54" s="770"/>
      <c r="G54" s="770"/>
      <c r="H54" s="770"/>
      <c r="I54" s="771"/>
    </row>
    <row r="55" spans="1:9" s="176" customFormat="1" ht="11.25" x14ac:dyDescent="0.2">
      <c r="C55" s="180"/>
    </row>
    <row r="56" spans="1:9" s="176" customFormat="1" ht="11.25" x14ac:dyDescent="0.2">
      <c r="A56" s="750" t="s">
        <v>148</v>
      </c>
      <c r="B56" s="750"/>
      <c r="C56" s="750"/>
      <c r="D56" s="750"/>
      <c r="E56" s="750"/>
      <c r="F56" s="750"/>
      <c r="G56" s="750"/>
      <c r="H56" s="750"/>
      <c r="I56" s="750"/>
    </row>
    <row r="57" spans="1:9" s="176" customFormat="1" ht="11.25" x14ac:dyDescent="0.2">
      <c r="C57" s="180"/>
    </row>
    <row r="58" spans="1:9" s="197" customFormat="1" ht="11.25" x14ac:dyDescent="0.2">
      <c r="A58" s="753" t="s">
        <v>86</v>
      </c>
      <c r="B58" s="753"/>
      <c r="C58" s="342" t="s">
        <v>87</v>
      </c>
      <c r="D58" s="341" t="s">
        <v>88</v>
      </c>
      <c r="E58" s="341" t="s">
        <v>25</v>
      </c>
    </row>
    <row r="59" spans="1:9" s="176" customFormat="1" ht="11.25" x14ac:dyDescent="0.2">
      <c r="A59" s="883" t="s">
        <v>248</v>
      </c>
      <c r="B59" s="883"/>
      <c r="C59" s="466" t="s">
        <v>209</v>
      </c>
      <c r="D59" s="466" t="s">
        <v>209</v>
      </c>
      <c r="E59" s="235">
        <v>-83100</v>
      </c>
    </row>
    <row r="60" spans="1:9" s="176" customFormat="1" ht="11.25" x14ac:dyDescent="0.2">
      <c r="A60" s="901" t="s">
        <v>210</v>
      </c>
      <c r="B60" s="901"/>
      <c r="C60" s="469" t="s">
        <v>209</v>
      </c>
      <c r="D60" s="469" t="s">
        <v>209</v>
      </c>
      <c r="E60" s="200">
        <v>83100</v>
      </c>
    </row>
    <row r="61" spans="1:9" s="176" customFormat="1" ht="11.25" x14ac:dyDescent="0.2">
      <c r="A61" s="901"/>
      <c r="B61" s="901"/>
      <c r="C61" s="469"/>
      <c r="D61" s="469"/>
      <c r="E61" s="200"/>
    </row>
    <row r="62" spans="1:9" s="176" customFormat="1" ht="11.25" x14ac:dyDescent="0.2">
      <c r="A62" s="901" t="s">
        <v>211</v>
      </c>
      <c r="B62" s="901"/>
      <c r="C62" s="469" t="s">
        <v>209</v>
      </c>
      <c r="D62" s="469" t="s">
        <v>209</v>
      </c>
      <c r="E62" s="200">
        <v>-5000</v>
      </c>
    </row>
    <row r="63" spans="1:9" s="176" customFormat="1" ht="10.5" customHeight="1" x14ac:dyDescent="0.2">
      <c r="A63" s="901" t="s">
        <v>247</v>
      </c>
      <c r="B63" s="901"/>
      <c r="C63" s="469" t="s">
        <v>209</v>
      </c>
      <c r="D63" s="469" t="s">
        <v>209</v>
      </c>
      <c r="E63" s="200">
        <v>5000</v>
      </c>
    </row>
    <row r="64" spans="1:9" s="176" customFormat="1" ht="11.25" x14ac:dyDescent="0.2">
      <c r="A64" s="901"/>
      <c r="B64" s="901"/>
      <c r="C64" s="469"/>
      <c r="D64" s="469"/>
      <c r="E64" s="200"/>
    </row>
    <row r="65" spans="1:5" s="176" customFormat="1" ht="11.25" x14ac:dyDescent="0.2">
      <c r="A65" s="901" t="s">
        <v>212</v>
      </c>
      <c r="B65" s="901"/>
      <c r="C65" s="469" t="s">
        <v>209</v>
      </c>
      <c r="D65" s="469" t="s">
        <v>209</v>
      </c>
      <c r="E65" s="200">
        <v>-5000</v>
      </c>
    </row>
    <row r="66" spans="1:5" s="176" customFormat="1" ht="11.25" x14ac:dyDescent="0.2">
      <c r="A66" s="901" t="s">
        <v>246</v>
      </c>
      <c r="B66" s="901"/>
      <c r="C66" s="469" t="s">
        <v>209</v>
      </c>
      <c r="D66" s="469" t="s">
        <v>209</v>
      </c>
      <c r="E66" s="200">
        <v>5000</v>
      </c>
    </row>
    <row r="67" spans="1:5" s="176" customFormat="1" ht="11.25" x14ac:dyDescent="0.2">
      <c r="A67" s="901"/>
      <c r="B67" s="901"/>
      <c r="C67" s="469"/>
      <c r="D67" s="469"/>
      <c r="E67" s="200"/>
    </row>
    <row r="68" spans="1:5" s="176" customFormat="1" ht="11.25" x14ac:dyDescent="0.2">
      <c r="A68" s="901" t="s">
        <v>245</v>
      </c>
      <c r="B68" s="901"/>
      <c r="C68" s="469" t="s">
        <v>213</v>
      </c>
      <c r="D68" s="469" t="s">
        <v>214</v>
      </c>
      <c r="E68" s="200">
        <v>-3431</v>
      </c>
    </row>
    <row r="69" spans="1:5" s="176" customFormat="1" ht="11.25" x14ac:dyDescent="0.2">
      <c r="A69" s="901" t="s">
        <v>244</v>
      </c>
      <c r="B69" s="901"/>
      <c r="C69" s="469" t="s">
        <v>213</v>
      </c>
      <c r="D69" s="469" t="s">
        <v>214</v>
      </c>
      <c r="E69" s="200">
        <v>3431</v>
      </c>
    </row>
    <row r="70" spans="1:5" s="176" customFormat="1" ht="11.25" x14ac:dyDescent="0.2">
      <c r="A70" s="901"/>
      <c r="B70" s="901"/>
      <c r="C70" s="469"/>
      <c r="D70" s="469"/>
      <c r="E70" s="200"/>
    </row>
    <row r="71" spans="1:5" s="176" customFormat="1" ht="11.25" x14ac:dyDescent="0.2">
      <c r="A71" s="901" t="s">
        <v>229</v>
      </c>
      <c r="B71" s="901"/>
      <c r="C71" s="469" t="s">
        <v>215</v>
      </c>
      <c r="D71" s="469" t="s">
        <v>214</v>
      </c>
      <c r="E71" s="200">
        <v>120000</v>
      </c>
    </row>
    <row r="72" spans="1:5" s="176" customFormat="1" ht="11.25" x14ac:dyDescent="0.2">
      <c r="A72" s="901" t="s">
        <v>216</v>
      </c>
      <c r="B72" s="901"/>
      <c r="C72" s="469" t="s">
        <v>215</v>
      </c>
      <c r="D72" s="469" t="s">
        <v>214</v>
      </c>
      <c r="E72" s="200">
        <v>120000</v>
      </c>
    </row>
    <row r="73" spans="1:5" s="176" customFormat="1" ht="11.25" x14ac:dyDescent="0.2">
      <c r="A73" s="901"/>
      <c r="B73" s="901"/>
      <c r="C73" s="469"/>
      <c r="D73" s="469"/>
      <c r="E73" s="200"/>
    </row>
    <row r="74" spans="1:5" s="176" customFormat="1" ht="11.25" x14ac:dyDescent="0.2">
      <c r="A74" s="901" t="s">
        <v>243</v>
      </c>
      <c r="B74" s="901"/>
      <c r="C74" s="469" t="s">
        <v>217</v>
      </c>
      <c r="D74" s="469" t="s">
        <v>218</v>
      </c>
      <c r="E74" s="200">
        <v>-19000</v>
      </c>
    </row>
    <row r="75" spans="1:5" s="176" customFormat="1" ht="11.25" x14ac:dyDescent="0.2">
      <c r="A75" s="901" t="s">
        <v>230</v>
      </c>
      <c r="B75" s="901"/>
      <c r="C75" s="469" t="s">
        <v>217</v>
      </c>
      <c r="D75" s="469" t="s">
        <v>218</v>
      </c>
      <c r="E75" s="200">
        <v>19000</v>
      </c>
    </row>
    <row r="76" spans="1:5" s="176" customFormat="1" ht="11.25" x14ac:dyDescent="0.2">
      <c r="A76" s="901"/>
      <c r="B76" s="901"/>
      <c r="C76" s="469"/>
      <c r="D76" s="469"/>
      <c r="E76" s="200"/>
    </row>
    <row r="77" spans="1:5" s="176" customFormat="1" ht="11.25" x14ac:dyDescent="0.2">
      <c r="A77" s="901" t="s">
        <v>242</v>
      </c>
      <c r="B77" s="901"/>
      <c r="C77" s="469" t="s">
        <v>217</v>
      </c>
      <c r="D77" s="469" t="s">
        <v>218</v>
      </c>
      <c r="E77" s="200">
        <v>50000</v>
      </c>
    </row>
    <row r="78" spans="1:5" s="176" customFormat="1" ht="11.25" x14ac:dyDescent="0.2">
      <c r="A78" s="901" t="s">
        <v>231</v>
      </c>
      <c r="B78" s="901"/>
      <c r="C78" s="469" t="s">
        <v>217</v>
      </c>
      <c r="D78" s="469" t="s">
        <v>218</v>
      </c>
      <c r="E78" s="200">
        <v>50000</v>
      </c>
    </row>
    <row r="79" spans="1:5" s="176" customFormat="1" ht="11.25" x14ac:dyDescent="0.2">
      <c r="A79" s="901"/>
      <c r="B79" s="901"/>
      <c r="C79" s="469"/>
      <c r="D79" s="469"/>
      <c r="E79" s="200"/>
    </row>
    <row r="80" spans="1:5" s="176" customFormat="1" ht="11.25" x14ac:dyDescent="0.2">
      <c r="A80" s="901" t="s">
        <v>240</v>
      </c>
      <c r="B80" s="901"/>
      <c r="C80" s="469" t="s">
        <v>219</v>
      </c>
      <c r="D80" s="469" t="s">
        <v>220</v>
      </c>
      <c r="E80" s="200">
        <v>-80000</v>
      </c>
    </row>
    <row r="81" spans="1:5" s="176" customFormat="1" ht="11.25" x14ac:dyDescent="0.2">
      <c r="A81" s="901" t="s">
        <v>241</v>
      </c>
      <c r="B81" s="901"/>
      <c r="C81" s="469" t="s">
        <v>219</v>
      </c>
      <c r="D81" s="469" t="s">
        <v>220</v>
      </c>
      <c r="E81" s="200">
        <v>80000</v>
      </c>
    </row>
    <row r="82" spans="1:5" s="176" customFormat="1" ht="11.25" x14ac:dyDescent="0.2">
      <c r="A82" s="901"/>
      <c r="B82" s="901"/>
      <c r="C82" s="469"/>
      <c r="D82" s="469"/>
      <c r="E82" s="200"/>
    </row>
    <row r="83" spans="1:5" s="176" customFormat="1" ht="11.25" x14ac:dyDescent="0.2">
      <c r="A83" s="901" t="s">
        <v>239</v>
      </c>
      <c r="B83" s="901"/>
      <c r="C83" s="469" t="s">
        <v>221</v>
      </c>
      <c r="D83" s="469" t="s">
        <v>222</v>
      </c>
      <c r="E83" s="200">
        <v>-100000</v>
      </c>
    </row>
    <row r="84" spans="1:5" s="176" customFormat="1" ht="11.25" x14ac:dyDescent="0.2">
      <c r="A84" s="901" t="s">
        <v>238</v>
      </c>
      <c r="B84" s="901"/>
      <c r="C84" s="469" t="s">
        <v>221</v>
      </c>
      <c r="D84" s="469" t="s">
        <v>222</v>
      </c>
      <c r="E84" s="200">
        <v>100000</v>
      </c>
    </row>
    <row r="85" spans="1:5" s="176" customFormat="1" ht="11.25" x14ac:dyDescent="0.2">
      <c r="A85" s="901"/>
      <c r="B85" s="901"/>
      <c r="C85" s="469"/>
      <c r="D85" s="469"/>
      <c r="E85" s="200"/>
    </row>
    <row r="86" spans="1:5" s="176" customFormat="1" ht="11.25" x14ac:dyDescent="0.2">
      <c r="A86" s="901" t="s">
        <v>232</v>
      </c>
      <c r="B86" s="901"/>
      <c r="C86" s="469" t="s">
        <v>218</v>
      </c>
      <c r="D86" s="469" t="s">
        <v>218</v>
      </c>
      <c r="E86" s="200">
        <v>73978</v>
      </c>
    </row>
    <row r="87" spans="1:5" s="176" customFormat="1" ht="11.25" x14ac:dyDescent="0.2">
      <c r="A87" s="901" t="s">
        <v>237</v>
      </c>
      <c r="B87" s="901"/>
      <c r="C87" s="469" t="s">
        <v>218</v>
      </c>
      <c r="D87" s="469" t="s">
        <v>218</v>
      </c>
      <c r="E87" s="200">
        <v>73978</v>
      </c>
    </row>
    <row r="88" spans="1:5" s="176" customFormat="1" ht="11.25" x14ac:dyDescent="0.2">
      <c r="A88" s="901"/>
      <c r="B88" s="901"/>
      <c r="C88" s="469"/>
      <c r="D88" s="469"/>
      <c r="E88" s="200"/>
    </row>
    <row r="89" spans="1:5" s="176" customFormat="1" ht="11.25" x14ac:dyDescent="0.2">
      <c r="A89" s="901" t="s">
        <v>233</v>
      </c>
      <c r="B89" s="901"/>
      <c r="C89" s="469" t="s">
        <v>218</v>
      </c>
      <c r="D89" s="469" t="s">
        <v>218</v>
      </c>
      <c r="E89" s="200">
        <v>132000</v>
      </c>
    </row>
    <row r="90" spans="1:5" s="176" customFormat="1" ht="11.25" x14ac:dyDescent="0.2">
      <c r="A90" s="901" t="s">
        <v>809</v>
      </c>
      <c r="B90" s="901"/>
      <c r="C90" s="469" t="s">
        <v>218</v>
      </c>
      <c r="D90" s="469" t="s">
        <v>218</v>
      </c>
      <c r="E90" s="200">
        <v>132000</v>
      </c>
    </row>
    <row r="91" spans="1:5" s="176" customFormat="1" ht="11.25" x14ac:dyDescent="0.2">
      <c r="A91" s="901"/>
      <c r="B91" s="901"/>
      <c r="C91" s="469"/>
      <c r="D91" s="469"/>
      <c r="E91" s="200"/>
    </row>
    <row r="92" spans="1:5" s="176" customFormat="1" ht="11.25" x14ac:dyDescent="0.2">
      <c r="A92" s="901" t="s">
        <v>234</v>
      </c>
      <c r="B92" s="901"/>
      <c r="C92" s="469" t="s">
        <v>218</v>
      </c>
      <c r="D92" s="469" t="s">
        <v>218</v>
      </c>
      <c r="E92" s="200">
        <v>-66750</v>
      </c>
    </row>
    <row r="93" spans="1:5" s="176" customFormat="1" ht="11.25" x14ac:dyDescent="0.2">
      <c r="A93" s="901" t="s">
        <v>235</v>
      </c>
      <c r="B93" s="901"/>
      <c r="C93" s="469" t="s">
        <v>218</v>
      </c>
      <c r="D93" s="469" t="s">
        <v>218</v>
      </c>
      <c r="E93" s="200">
        <v>66750</v>
      </c>
    </row>
    <row r="94" spans="1:5" s="176" customFormat="1" ht="11.25" x14ac:dyDescent="0.2">
      <c r="A94" s="901"/>
      <c r="B94" s="901"/>
      <c r="C94" s="469"/>
      <c r="D94" s="469"/>
      <c r="E94" s="200"/>
    </row>
    <row r="95" spans="1:5" s="176" customFormat="1" ht="11.25" x14ac:dyDescent="0.2">
      <c r="A95" s="901" t="s">
        <v>232</v>
      </c>
      <c r="B95" s="901"/>
      <c r="C95" s="469" t="s">
        <v>218</v>
      </c>
      <c r="D95" s="469" t="s">
        <v>218</v>
      </c>
      <c r="E95" s="200">
        <v>5000</v>
      </c>
    </row>
    <row r="96" spans="1:5" s="176" customFormat="1" ht="11.25" x14ac:dyDescent="0.2">
      <c r="A96" s="901" t="s">
        <v>236</v>
      </c>
      <c r="B96" s="901"/>
      <c r="C96" s="469" t="s">
        <v>218</v>
      </c>
      <c r="D96" s="469" t="s">
        <v>218</v>
      </c>
      <c r="E96" s="200">
        <v>5000</v>
      </c>
    </row>
    <row r="97" spans="1:9" s="176" customFormat="1" ht="11.25" x14ac:dyDescent="0.2">
      <c r="C97" s="180"/>
    </row>
    <row r="98" spans="1:9" s="176" customFormat="1" ht="11.25" x14ac:dyDescent="0.2">
      <c r="A98" s="794" t="s">
        <v>152</v>
      </c>
      <c r="B98" s="794"/>
      <c r="C98" s="794"/>
      <c r="D98" s="794"/>
      <c r="E98" s="794"/>
      <c r="F98" s="794"/>
      <c r="G98" s="794"/>
      <c r="H98" s="794"/>
      <c r="I98" s="794"/>
    </row>
    <row r="99" spans="1:9" s="176" customFormat="1" ht="11.25" x14ac:dyDescent="0.2"/>
    <row r="100" spans="1:9" s="176" customFormat="1" ht="11.25" x14ac:dyDescent="0.2">
      <c r="A100" s="902" t="s">
        <v>277</v>
      </c>
      <c r="B100" s="903"/>
      <c r="C100" s="903"/>
      <c r="D100" s="903"/>
      <c r="E100" s="903"/>
      <c r="F100" s="903"/>
      <c r="G100" s="903"/>
      <c r="H100" s="903"/>
      <c r="I100" s="904"/>
    </row>
    <row r="101" spans="1:9" s="176" customFormat="1" ht="11.25" x14ac:dyDescent="0.2">
      <c r="A101" s="902"/>
      <c r="B101" s="903"/>
      <c r="C101" s="903"/>
      <c r="D101" s="903"/>
      <c r="E101" s="903"/>
      <c r="F101" s="903"/>
      <c r="G101" s="903"/>
      <c r="H101" s="903"/>
      <c r="I101" s="904"/>
    </row>
    <row r="102" spans="1:9" s="175" customFormat="1" ht="10.5" x14ac:dyDescent="0.15">
      <c r="A102" s="750" t="s">
        <v>153</v>
      </c>
      <c r="B102" s="750"/>
      <c r="C102" s="750"/>
      <c r="D102" s="750"/>
      <c r="E102" s="750"/>
      <c r="F102" s="750"/>
      <c r="G102" s="750"/>
      <c r="H102" s="750"/>
      <c r="I102" s="750"/>
    </row>
    <row r="103" spans="1:9" s="176" customFormat="1" ht="11.25" x14ac:dyDescent="0.2"/>
    <row r="104" spans="1:9" s="176" customFormat="1" ht="49.5" customHeight="1" x14ac:dyDescent="0.2">
      <c r="A104" s="789" t="s">
        <v>810</v>
      </c>
      <c r="B104" s="790"/>
      <c r="C104" s="790"/>
      <c r="D104" s="790"/>
      <c r="E104" s="790"/>
      <c r="F104" s="790"/>
      <c r="G104" s="790"/>
      <c r="H104" s="790"/>
      <c r="I104" s="791"/>
    </row>
    <row r="105" spans="1:9" s="176" customFormat="1" ht="11.25" customHeight="1" x14ac:dyDescent="0.2">
      <c r="A105" s="789" t="s">
        <v>121</v>
      </c>
      <c r="B105" s="790"/>
      <c r="C105" s="790"/>
      <c r="D105" s="790"/>
      <c r="E105" s="790"/>
      <c r="F105" s="790"/>
      <c r="G105" s="790"/>
      <c r="H105" s="790"/>
      <c r="I105" s="791"/>
    </row>
    <row r="106" spans="1:9" s="128" customFormat="1" x14ac:dyDescent="0.2"/>
    <row r="107" spans="1:9" s="128" customFormat="1" x14ac:dyDescent="0.2"/>
  </sheetData>
  <mergeCells count="88">
    <mergeCell ref="A69:B69"/>
    <mergeCell ref="A105:I105"/>
    <mergeCell ref="C38:I38"/>
    <mergeCell ref="A40:I40"/>
    <mergeCell ref="A56:I56"/>
    <mergeCell ref="A58:B58"/>
    <mergeCell ref="A59:B59"/>
    <mergeCell ref="C48:I48"/>
    <mergeCell ref="C49:I49"/>
    <mergeCell ref="C50:I50"/>
    <mergeCell ref="C51:I51"/>
    <mergeCell ref="C54:I54"/>
    <mergeCell ref="A61:B61"/>
    <mergeCell ref="A60:B60"/>
    <mergeCell ref="A65:B65"/>
    <mergeCell ref="A66:B66"/>
    <mergeCell ref="A15:A16"/>
    <mergeCell ref="A19:I19"/>
    <mergeCell ref="F21:I21"/>
    <mergeCell ref="D37:I37"/>
    <mergeCell ref="F22:I22"/>
    <mergeCell ref="A3:I3"/>
    <mergeCell ref="A5:B5"/>
    <mergeCell ref="D5:I5"/>
    <mergeCell ref="A6:B6"/>
    <mergeCell ref="A7:B7"/>
    <mergeCell ref="D6:I6"/>
    <mergeCell ref="D7:I7"/>
    <mergeCell ref="A9:B9"/>
    <mergeCell ref="D9:I9"/>
    <mergeCell ref="A8:B8"/>
    <mergeCell ref="D8:I8"/>
    <mergeCell ref="C44:I44"/>
    <mergeCell ref="F23:I23"/>
    <mergeCell ref="A28:I28"/>
    <mergeCell ref="D30:I30"/>
    <mergeCell ref="D31:I31"/>
    <mergeCell ref="F24:I24"/>
    <mergeCell ref="F25:I25"/>
    <mergeCell ref="F26:I26"/>
    <mergeCell ref="C32:I32"/>
    <mergeCell ref="A34:I34"/>
    <mergeCell ref="D36:I36"/>
    <mergeCell ref="A11:I11"/>
    <mergeCell ref="A68:B68"/>
    <mergeCell ref="C43:I43"/>
    <mergeCell ref="C42:I42"/>
    <mergeCell ref="C52:I52"/>
    <mergeCell ref="C53:I53"/>
    <mergeCell ref="C46:I46"/>
    <mergeCell ref="C47:I47"/>
    <mergeCell ref="A62:B62"/>
    <mergeCell ref="A63:B63"/>
    <mergeCell ref="A64:B64"/>
    <mergeCell ref="A67:B67"/>
    <mergeCell ref="C45:I45"/>
    <mergeCell ref="A81:B81"/>
    <mergeCell ref="A70:B70"/>
    <mergeCell ref="A71:B71"/>
    <mergeCell ref="A72:B72"/>
    <mergeCell ref="A73:B73"/>
    <mergeCell ref="A74:B74"/>
    <mergeCell ref="A75:B75"/>
    <mergeCell ref="A76:B76"/>
    <mergeCell ref="A77:B77"/>
    <mergeCell ref="A78:B78"/>
    <mergeCell ref="A79:B79"/>
    <mergeCell ref="A80:B80"/>
    <mergeCell ref="A93:B93"/>
    <mergeCell ref="A82:B82"/>
    <mergeCell ref="A83:B83"/>
    <mergeCell ref="A84:B84"/>
    <mergeCell ref="A85:B85"/>
    <mergeCell ref="A86:B86"/>
    <mergeCell ref="A87:B87"/>
    <mergeCell ref="A88:B88"/>
    <mergeCell ref="A89:B89"/>
    <mergeCell ref="A90:B90"/>
    <mergeCell ref="A91:B91"/>
    <mergeCell ref="A92:B92"/>
    <mergeCell ref="A94:B94"/>
    <mergeCell ref="A95:B95"/>
    <mergeCell ref="A101:I101"/>
    <mergeCell ref="A102:I102"/>
    <mergeCell ref="A104:I104"/>
    <mergeCell ref="A98:I98"/>
    <mergeCell ref="A96:B96"/>
    <mergeCell ref="A100:I100"/>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1" enableFormatConditionsCalculation="0">
    <tabColor rgb="FF92D050"/>
  </sheetPr>
  <dimension ref="A1:X68"/>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833" t="s">
        <v>92</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91"/>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99"/>
      <c r="B4" s="892"/>
      <c r="C4" s="893"/>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900"/>
      <c r="B5" s="894"/>
      <c r="C5" s="895"/>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3" t="s">
        <v>25</v>
      </c>
      <c r="E6" s="67">
        <f>SUM(E7:E9)</f>
        <v>16091500</v>
      </c>
      <c r="F6" s="67">
        <f>SUM(F7:F9)</f>
        <v>16633035</v>
      </c>
      <c r="G6" s="67">
        <f>SUM(G7:G9)</f>
        <v>16640104</v>
      </c>
      <c r="H6" s="28">
        <f t="shared" ref="H6:H36" si="0">G6/F6*100</f>
        <v>100.04249976026625</v>
      </c>
      <c r="I6" s="67">
        <f>SUM(I7:I9)</f>
        <v>15906236</v>
      </c>
      <c r="J6" s="67">
        <f>SUM(J7:J9)</f>
        <v>4400000</v>
      </c>
      <c r="K6" s="67">
        <f t="shared" ref="K6:X6" si="1">SUM(K7:K9)</f>
        <v>4697878</v>
      </c>
      <c r="L6" s="67">
        <f t="shared" si="1"/>
        <v>4704947</v>
      </c>
      <c r="M6" s="28">
        <f t="shared" ref="M6:M33" si="2">L6/K6*100</f>
        <v>100.15047219191302</v>
      </c>
      <c r="N6" s="67">
        <f t="shared" si="1"/>
        <v>4378536</v>
      </c>
      <c r="O6" s="67">
        <f t="shared" si="1"/>
        <v>11691500</v>
      </c>
      <c r="P6" s="67">
        <f t="shared" si="1"/>
        <v>11935157</v>
      </c>
      <c r="Q6" s="67">
        <f t="shared" si="1"/>
        <v>11935157</v>
      </c>
      <c r="R6" s="28">
        <f t="shared" ref="R6:R33" si="3">Q6/P6*100</f>
        <v>100</v>
      </c>
      <c r="S6" s="67">
        <f t="shared" si="1"/>
        <v>11527700</v>
      </c>
      <c r="T6" s="67">
        <f t="shared" si="1"/>
        <v>0</v>
      </c>
      <c r="U6" s="67">
        <f t="shared" si="1"/>
        <v>86114</v>
      </c>
      <c r="V6" s="67">
        <f t="shared" si="1"/>
        <v>86114</v>
      </c>
      <c r="W6" s="28">
        <f t="shared" ref="W6:W33" si="4">V6/U6*100</f>
        <v>100</v>
      </c>
      <c r="X6" s="67">
        <f t="shared" si="1"/>
        <v>0</v>
      </c>
    </row>
    <row r="7" spans="1:24" s="6" customFormat="1" ht="9.9499999999999993" customHeight="1" x14ac:dyDescent="0.2">
      <c r="A7" s="34" t="s">
        <v>2</v>
      </c>
      <c r="B7" s="827" t="s">
        <v>47</v>
      </c>
      <c r="C7" s="828"/>
      <c r="D7" s="58" t="s">
        <v>25</v>
      </c>
      <c r="E7" s="158">
        <f t="shared" ref="E7:G10" si="5">SUM(J7,O7)</f>
        <v>1712500</v>
      </c>
      <c r="F7" s="159">
        <f t="shared" si="5"/>
        <v>1890378</v>
      </c>
      <c r="G7" s="159">
        <f t="shared" si="5"/>
        <v>1897902</v>
      </c>
      <c r="H7" s="160">
        <f t="shared" si="0"/>
        <v>100.39801563496825</v>
      </c>
      <c r="I7" s="161">
        <f>SUM(N7,S7)</f>
        <v>1871358</v>
      </c>
      <c r="J7" s="371">
        <v>1712500</v>
      </c>
      <c r="K7" s="372">
        <v>1890378</v>
      </c>
      <c r="L7" s="372">
        <v>1897902</v>
      </c>
      <c r="M7" s="160">
        <f t="shared" si="2"/>
        <v>100.39801563496825</v>
      </c>
      <c r="N7" s="373">
        <v>1871358</v>
      </c>
      <c r="O7" s="374"/>
      <c r="P7" s="372"/>
      <c r="Q7" s="372"/>
      <c r="R7" s="160" t="e">
        <f t="shared" si="3"/>
        <v>#DIV/0!</v>
      </c>
      <c r="S7" s="373"/>
      <c r="T7" s="374"/>
      <c r="U7" s="372">
        <v>86114</v>
      </c>
      <c r="V7" s="372">
        <v>86114</v>
      </c>
      <c r="W7" s="160">
        <f t="shared" si="4"/>
        <v>100</v>
      </c>
      <c r="X7" s="375"/>
    </row>
    <row r="8" spans="1:24" s="6" customFormat="1" ht="9.9499999999999993" customHeight="1" x14ac:dyDescent="0.2">
      <c r="A8" s="35" t="s">
        <v>3</v>
      </c>
      <c r="B8" s="829" t="s">
        <v>48</v>
      </c>
      <c r="C8" s="830"/>
      <c r="D8" s="56" t="s">
        <v>25</v>
      </c>
      <c r="E8" s="77">
        <f t="shared" si="5"/>
        <v>500</v>
      </c>
      <c r="F8" s="78">
        <f t="shared" si="5"/>
        <v>500</v>
      </c>
      <c r="G8" s="78">
        <f t="shared" si="5"/>
        <v>45</v>
      </c>
      <c r="H8" s="11">
        <f t="shared" si="0"/>
        <v>9</v>
      </c>
      <c r="I8" s="79">
        <f>SUM(N8,S8)</f>
        <v>178</v>
      </c>
      <c r="J8" s="80">
        <v>500</v>
      </c>
      <c r="K8" s="78">
        <v>500</v>
      </c>
      <c r="L8" s="78">
        <v>45</v>
      </c>
      <c r="M8" s="11">
        <f t="shared" si="2"/>
        <v>9</v>
      </c>
      <c r="N8" s="79">
        <v>178</v>
      </c>
      <c r="O8" s="77"/>
      <c r="P8" s="78"/>
      <c r="Q8" s="78"/>
      <c r="R8" s="10" t="e">
        <f t="shared" si="3"/>
        <v>#DIV/0!</v>
      </c>
      <c r="S8" s="79"/>
      <c r="T8" s="77"/>
      <c r="U8" s="78"/>
      <c r="V8" s="78"/>
      <c r="W8" s="10" t="e">
        <f t="shared" si="4"/>
        <v>#DIV/0!</v>
      </c>
      <c r="X8" s="81"/>
    </row>
    <row r="9" spans="1:24" s="6" customFormat="1" ht="9.9499999999999993" customHeight="1" x14ac:dyDescent="0.2">
      <c r="A9" s="36" t="s">
        <v>4</v>
      </c>
      <c r="B9" s="44" t="s">
        <v>66</v>
      </c>
      <c r="C9" s="45"/>
      <c r="D9" s="57" t="s">
        <v>25</v>
      </c>
      <c r="E9" s="82">
        <f t="shared" si="5"/>
        <v>14378500</v>
      </c>
      <c r="F9" s="83">
        <f t="shared" si="5"/>
        <v>14742157</v>
      </c>
      <c r="G9" s="83">
        <f t="shared" si="5"/>
        <v>14742157</v>
      </c>
      <c r="H9" s="31">
        <f t="shared" si="0"/>
        <v>100</v>
      </c>
      <c r="I9" s="84">
        <f>SUM(N9,S9)</f>
        <v>14034700</v>
      </c>
      <c r="J9" s="85">
        <v>2687000</v>
      </c>
      <c r="K9" s="83">
        <v>2807000</v>
      </c>
      <c r="L9" s="83">
        <v>2807000</v>
      </c>
      <c r="M9" s="31">
        <f t="shared" si="2"/>
        <v>100</v>
      </c>
      <c r="N9" s="84">
        <v>2507000</v>
      </c>
      <c r="O9" s="82">
        <v>11691500</v>
      </c>
      <c r="P9" s="83">
        <v>11935157</v>
      </c>
      <c r="Q9" s="83">
        <v>11935157</v>
      </c>
      <c r="R9" s="10">
        <f t="shared" si="3"/>
        <v>100</v>
      </c>
      <c r="S9" s="84">
        <v>11527700</v>
      </c>
      <c r="T9" s="82"/>
      <c r="U9" s="83"/>
      <c r="V9" s="83"/>
      <c r="W9" s="10"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7">
        <f>SUM(N10,S10)</f>
        <v>0</v>
      </c>
      <c r="J10" s="69"/>
      <c r="K10" s="87"/>
      <c r="L10" s="87"/>
      <c r="M10" s="28"/>
      <c r="N10" s="87"/>
      <c r="O10" s="87"/>
      <c r="P10" s="87"/>
      <c r="Q10" s="87"/>
      <c r="R10" s="28" t="e">
        <f t="shared" si="3"/>
        <v>#DIV/0!</v>
      </c>
      <c r="S10" s="87"/>
      <c r="T10" s="87"/>
      <c r="U10" s="87"/>
      <c r="V10" s="87"/>
      <c r="W10" s="28" t="e">
        <f t="shared" si="4"/>
        <v>#DIV/0!</v>
      </c>
      <c r="X10" s="87"/>
    </row>
    <row r="11" spans="1:24" s="6" customFormat="1" ht="9.9499999999999993" customHeight="1" x14ac:dyDescent="0.2">
      <c r="A11" s="33" t="s">
        <v>6</v>
      </c>
      <c r="B11" s="826" t="s">
        <v>9</v>
      </c>
      <c r="C11" s="826"/>
      <c r="D11" s="23" t="s">
        <v>25</v>
      </c>
      <c r="E11" s="67">
        <f>SUM(E12:E30)</f>
        <v>16091500</v>
      </c>
      <c r="F11" s="67">
        <f>SUM(F12:F30)</f>
        <v>16706135</v>
      </c>
      <c r="G11" s="67">
        <f>SUM(G12:G30)</f>
        <v>16601633</v>
      </c>
      <c r="H11" s="28">
        <f t="shared" si="0"/>
        <v>99.37446931920519</v>
      </c>
      <c r="I11" s="67">
        <f>SUM(I12:I30)</f>
        <v>15835484</v>
      </c>
      <c r="J11" s="67">
        <f>SUM(J12:J30)</f>
        <v>4400000</v>
      </c>
      <c r="K11" s="67">
        <f>SUM(K12:K30)</f>
        <v>4770978</v>
      </c>
      <c r="L11" s="67">
        <f>SUM(L12:L30)</f>
        <v>4666476</v>
      </c>
      <c r="M11" s="28">
        <f t="shared" si="2"/>
        <v>97.809631484362328</v>
      </c>
      <c r="N11" s="67">
        <f>SUM(N12:N30)</f>
        <v>4307784</v>
      </c>
      <c r="O11" s="67">
        <f>SUM(O12:O30)</f>
        <v>11691500</v>
      </c>
      <c r="P11" s="67">
        <f>SUM(P12:P30)</f>
        <v>11935157</v>
      </c>
      <c r="Q11" s="67">
        <f>SUM(Q12:Q30)</f>
        <v>11935157</v>
      </c>
      <c r="R11" s="28">
        <f t="shared" si="3"/>
        <v>100</v>
      </c>
      <c r="S11" s="67">
        <f>SUM(S12:S30)</f>
        <v>11527700</v>
      </c>
      <c r="T11" s="67">
        <f>SUM(T12:T30)</f>
        <v>0</v>
      </c>
      <c r="U11" s="67">
        <f>SUM(U12:U30)</f>
        <v>13014</v>
      </c>
      <c r="V11" s="67">
        <f>SUM(V12:V30)</f>
        <v>8885</v>
      </c>
      <c r="W11" s="28">
        <f t="shared" si="4"/>
        <v>68.272629475948975</v>
      </c>
      <c r="X11" s="67">
        <f>SUM(X12:X30)</f>
        <v>0</v>
      </c>
    </row>
    <row r="12" spans="1:24" s="6" customFormat="1" ht="9.9499999999999993" customHeight="1" x14ac:dyDescent="0.2">
      <c r="A12" s="37" t="s">
        <v>8</v>
      </c>
      <c r="B12" s="831" t="s">
        <v>28</v>
      </c>
      <c r="C12" s="832"/>
      <c r="D12" s="58" t="s">
        <v>25</v>
      </c>
      <c r="E12" s="158">
        <f t="shared" ref="E12:I27" si="6">SUM(J12,O12)</f>
        <v>1325000</v>
      </c>
      <c r="F12" s="159">
        <f t="shared" si="6"/>
        <v>1721270</v>
      </c>
      <c r="G12" s="159">
        <f t="shared" si="6"/>
        <v>1716008</v>
      </c>
      <c r="H12" s="160">
        <f t="shared" si="0"/>
        <v>99.694295491119931</v>
      </c>
      <c r="I12" s="161">
        <f t="shared" si="6"/>
        <v>1473366</v>
      </c>
      <c r="J12" s="364">
        <v>1325000</v>
      </c>
      <c r="K12" s="365">
        <v>1642000</v>
      </c>
      <c r="L12" s="365">
        <v>1636738</v>
      </c>
      <c r="M12" s="160">
        <f t="shared" si="2"/>
        <v>99.679537149817293</v>
      </c>
      <c r="N12" s="366">
        <v>1457603</v>
      </c>
      <c r="O12" s="367"/>
      <c r="P12" s="365">
        <v>79270</v>
      </c>
      <c r="Q12" s="365">
        <v>79270</v>
      </c>
      <c r="R12" s="160">
        <f t="shared" si="3"/>
        <v>100</v>
      </c>
      <c r="S12" s="369">
        <v>15763</v>
      </c>
      <c r="T12" s="367"/>
      <c r="U12" s="365"/>
      <c r="V12" s="365"/>
      <c r="W12" s="160" t="e">
        <f t="shared" si="4"/>
        <v>#DIV/0!</v>
      </c>
      <c r="X12" s="370"/>
    </row>
    <row r="13" spans="1:24" s="6" customFormat="1" ht="9.9499999999999993" customHeight="1" x14ac:dyDescent="0.2">
      <c r="A13" s="38" t="s">
        <v>10</v>
      </c>
      <c r="B13" s="815" t="s">
        <v>29</v>
      </c>
      <c r="C13" s="816"/>
      <c r="D13" s="56" t="s">
        <v>25</v>
      </c>
      <c r="E13" s="77">
        <f t="shared" si="6"/>
        <v>1700000</v>
      </c>
      <c r="F13" s="78">
        <f t="shared" si="6"/>
        <v>1520000</v>
      </c>
      <c r="G13" s="78">
        <f t="shared" si="6"/>
        <v>1488844</v>
      </c>
      <c r="H13" s="11">
        <f t="shared" si="0"/>
        <v>97.950263157894739</v>
      </c>
      <c r="I13" s="79">
        <f t="shared" si="6"/>
        <v>1589972</v>
      </c>
      <c r="J13" s="95">
        <v>1700000</v>
      </c>
      <c r="K13" s="78">
        <v>1520000</v>
      </c>
      <c r="L13" s="78">
        <v>1488844</v>
      </c>
      <c r="M13" s="10">
        <f t="shared" si="2"/>
        <v>97.950263157894739</v>
      </c>
      <c r="N13" s="79">
        <v>1589972</v>
      </c>
      <c r="O13" s="77"/>
      <c r="P13" s="78"/>
      <c r="Q13" s="78"/>
      <c r="R13" s="10" t="e">
        <f t="shared" si="3"/>
        <v>#DIV/0!</v>
      </c>
      <c r="S13" s="79"/>
      <c r="T13" s="77"/>
      <c r="U13" s="78">
        <v>3014</v>
      </c>
      <c r="V13" s="78">
        <v>3014</v>
      </c>
      <c r="W13" s="10">
        <f t="shared" si="4"/>
        <v>100</v>
      </c>
      <c r="X13" s="81"/>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f t="shared" si="6"/>
        <v>0</v>
      </c>
      <c r="J14" s="95"/>
      <c r="K14" s="78"/>
      <c r="L14" s="78"/>
      <c r="M14" s="10" t="e">
        <f t="shared" si="2"/>
        <v>#DIV/0!</v>
      </c>
      <c r="N14" s="79"/>
      <c r="O14" s="77"/>
      <c r="P14" s="78"/>
      <c r="Q14" s="78"/>
      <c r="R14" s="10" t="e">
        <f t="shared" si="3"/>
        <v>#DIV/0!</v>
      </c>
      <c r="S14" s="79"/>
      <c r="T14" s="77"/>
      <c r="U14" s="78"/>
      <c r="V14" s="78"/>
      <c r="W14" s="10" t="e">
        <f t="shared" si="4"/>
        <v>#DIV/0!</v>
      </c>
      <c r="X14" s="81"/>
    </row>
    <row r="15" spans="1:24" s="6" customFormat="1" ht="9.9499999999999993" customHeight="1" x14ac:dyDescent="0.2">
      <c r="A15" s="38" t="s">
        <v>12</v>
      </c>
      <c r="B15" s="815" t="s">
        <v>68</v>
      </c>
      <c r="C15" s="816"/>
      <c r="D15" s="56" t="s">
        <v>25</v>
      </c>
      <c r="E15" s="77">
        <f t="shared" si="6"/>
        <v>490000</v>
      </c>
      <c r="F15" s="78">
        <f t="shared" si="6"/>
        <v>538250</v>
      </c>
      <c r="G15" s="78">
        <f t="shared" si="6"/>
        <v>533546</v>
      </c>
      <c r="H15" s="11">
        <f t="shared" si="0"/>
        <v>99.12605666511844</v>
      </c>
      <c r="I15" s="79">
        <f t="shared" si="6"/>
        <v>506845</v>
      </c>
      <c r="J15" s="95">
        <v>490000</v>
      </c>
      <c r="K15" s="78">
        <v>538250</v>
      </c>
      <c r="L15" s="78">
        <v>533546</v>
      </c>
      <c r="M15" s="10">
        <f t="shared" si="2"/>
        <v>99.12605666511844</v>
      </c>
      <c r="N15" s="79">
        <v>506845</v>
      </c>
      <c r="O15" s="77"/>
      <c r="P15" s="78"/>
      <c r="Q15" s="78"/>
      <c r="R15" s="10" t="e">
        <f t="shared" si="3"/>
        <v>#DIV/0!</v>
      </c>
      <c r="S15" s="79"/>
      <c r="T15" s="77"/>
      <c r="U15" s="78">
        <v>5000</v>
      </c>
      <c r="V15" s="78">
        <v>4709</v>
      </c>
      <c r="W15" s="10">
        <f t="shared" si="4"/>
        <v>94.179999999999993</v>
      </c>
      <c r="X15" s="81"/>
    </row>
    <row r="16" spans="1:24" s="6" customFormat="1" ht="9.9499999999999993" customHeight="1" x14ac:dyDescent="0.2">
      <c r="A16" s="38" t="s">
        <v>13</v>
      </c>
      <c r="B16" s="815" t="s">
        <v>30</v>
      </c>
      <c r="C16" s="816"/>
      <c r="D16" s="56" t="s">
        <v>25</v>
      </c>
      <c r="E16" s="77">
        <f t="shared" si="6"/>
        <v>3000</v>
      </c>
      <c r="F16" s="78">
        <f t="shared" si="6"/>
        <v>3000</v>
      </c>
      <c r="G16" s="78">
        <f t="shared" si="6"/>
        <v>866</v>
      </c>
      <c r="H16" s="11">
        <f t="shared" si="0"/>
        <v>28.866666666666667</v>
      </c>
      <c r="I16" s="79">
        <f t="shared" si="6"/>
        <v>818</v>
      </c>
      <c r="J16" s="95">
        <v>3000</v>
      </c>
      <c r="K16" s="78">
        <v>3000</v>
      </c>
      <c r="L16" s="78">
        <v>866</v>
      </c>
      <c r="M16" s="10">
        <f t="shared" si="2"/>
        <v>28.866666666666667</v>
      </c>
      <c r="N16" s="79">
        <v>818</v>
      </c>
      <c r="O16" s="77"/>
      <c r="P16" s="78"/>
      <c r="Q16" s="78"/>
      <c r="R16" s="10" t="e">
        <f t="shared" si="3"/>
        <v>#DIV/0!</v>
      </c>
      <c r="S16" s="79"/>
      <c r="T16" s="77"/>
      <c r="U16" s="78"/>
      <c r="V16" s="78"/>
      <c r="W16" s="10" t="e">
        <f t="shared" si="4"/>
        <v>#DIV/0!</v>
      </c>
      <c r="X16" s="81"/>
    </row>
    <row r="17" spans="1:24" s="6" customFormat="1" ht="9.9499999999999993" customHeight="1" x14ac:dyDescent="0.2">
      <c r="A17" s="38" t="s">
        <v>14</v>
      </c>
      <c r="B17" s="46" t="s">
        <v>49</v>
      </c>
      <c r="C17" s="47"/>
      <c r="D17" s="56" t="s">
        <v>25</v>
      </c>
      <c r="E17" s="77">
        <f t="shared" si="6"/>
        <v>0</v>
      </c>
      <c r="F17" s="78">
        <f t="shared" si="6"/>
        <v>0</v>
      </c>
      <c r="G17" s="78">
        <f t="shared" si="6"/>
        <v>0</v>
      </c>
      <c r="H17" s="11" t="e">
        <f t="shared" si="0"/>
        <v>#DIV/0!</v>
      </c>
      <c r="I17" s="79">
        <f t="shared" si="6"/>
        <v>0</v>
      </c>
      <c r="J17" s="95"/>
      <c r="K17" s="78"/>
      <c r="L17" s="78"/>
      <c r="M17" s="10" t="e">
        <f t="shared" si="2"/>
        <v>#DIV/0!</v>
      </c>
      <c r="N17" s="79"/>
      <c r="O17" s="77"/>
      <c r="P17" s="78"/>
      <c r="Q17" s="78"/>
      <c r="R17" s="10" t="e">
        <f t="shared" si="3"/>
        <v>#DIV/0!</v>
      </c>
      <c r="S17" s="79"/>
      <c r="T17" s="77"/>
      <c r="U17" s="78"/>
      <c r="V17" s="78"/>
      <c r="W17" s="10" t="e">
        <f t="shared" si="4"/>
        <v>#DIV/0!</v>
      </c>
      <c r="X17" s="81"/>
    </row>
    <row r="18" spans="1:24" s="6" customFormat="1" ht="9.9499999999999993" customHeight="1" x14ac:dyDescent="0.2">
      <c r="A18" s="38" t="s">
        <v>15</v>
      </c>
      <c r="B18" s="815" t="s">
        <v>31</v>
      </c>
      <c r="C18" s="816"/>
      <c r="D18" s="56" t="s">
        <v>25</v>
      </c>
      <c r="E18" s="77">
        <f t="shared" si="6"/>
        <v>490000</v>
      </c>
      <c r="F18" s="78">
        <f t="shared" si="6"/>
        <v>485000</v>
      </c>
      <c r="G18" s="78">
        <f t="shared" si="6"/>
        <v>442201</v>
      </c>
      <c r="H18" s="11">
        <f t="shared" si="0"/>
        <v>91.175463917525775</v>
      </c>
      <c r="I18" s="79">
        <f t="shared" si="6"/>
        <v>440373</v>
      </c>
      <c r="J18" s="95">
        <v>490000</v>
      </c>
      <c r="K18" s="78">
        <v>485000</v>
      </c>
      <c r="L18" s="78">
        <v>442201</v>
      </c>
      <c r="M18" s="10">
        <f t="shared" si="2"/>
        <v>91.175463917525775</v>
      </c>
      <c r="N18" s="79">
        <v>439873</v>
      </c>
      <c r="O18" s="77"/>
      <c r="P18" s="78"/>
      <c r="Q18" s="78"/>
      <c r="R18" s="10" t="e">
        <f t="shared" si="3"/>
        <v>#DIV/0!</v>
      </c>
      <c r="S18" s="79">
        <v>500</v>
      </c>
      <c r="T18" s="77"/>
      <c r="U18" s="78">
        <v>5000</v>
      </c>
      <c r="V18" s="78">
        <v>1162</v>
      </c>
      <c r="W18" s="10">
        <f t="shared" si="4"/>
        <v>23.24</v>
      </c>
      <c r="X18" s="81"/>
    </row>
    <row r="19" spans="1:24" s="12" customFormat="1" ht="9.9499999999999993" customHeight="1" x14ac:dyDescent="0.2">
      <c r="A19" s="38" t="s">
        <v>16</v>
      </c>
      <c r="B19" s="815" t="s">
        <v>32</v>
      </c>
      <c r="C19" s="816"/>
      <c r="D19" s="56" t="s">
        <v>25</v>
      </c>
      <c r="E19" s="77">
        <f t="shared" si="6"/>
        <v>8622721</v>
      </c>
      <c r="F19" s="78">
        <f t="shared" si="6"/>
        <v>8865773</v>
      </c>
      <c r="G19" s="78">
        <f t="shared" si="6"/>
        <v>8863174</v>
      </c>
      <c r="H19" s="11">
        <f t="shared" si="0"/>
        <v>99.970685015282939</v>
      </c>
      <c r="I19" s="79">
        <f t="shared" si="6"/>
        <v>8542038</v>
      </c>
      <c r="J19" s="96">
        <v>60721</v>
      </c>
      <c r="K19" s="78">
        <v>110721</v>
      </c>
      <c r="L19" s="78">
        <v>108122</v>
      </c>
      <c r="M19" s="10">
        <f t="shared" si="2"/>
        <v>97.652658483937103</v>
      </c>
      <c r="N19" s="79">
        <v>60890</v>
      </c>
      <c r="O19" s="77">
        <v>8562000</v>
      </c>
      <c r="P19" s="78">
        <v>8755052</v>
      </c>
      <c r="Q19" s="78">
        <v>8755052</v>
      </c>
      <c r="R19" s="10">
        <f t="shared" si="3"/>
        <v>100</v>
      </c>
      <c r="S19" s="79">
        <v>8481148</v>
      </c>
      <c r="T19" s="119"/>
      <c r="U19" s="97"/>
      <c r="V19" s="97"/>
      <c r="W19" s="10" t="e">
        <f t="shared" si="4"/>
        <v>#DIV/0!</v>
      </c>
      <c r="X19" s="123"/>
    </row>
    <row r="20" spans="1:24" s="6" customFormat="1" ht="9.9499999999999993" customHeight="1" x14ac:dyDescent="0.2">
      <c r="A20" s="38" t="s">
        <v>17</v>
      </c>
      <c r="B20" s="815" t="s">
        <v>50</v>
      </c>
      <c r="C20" s="816"/>
      <c r="D20" s="56" t="s">
        <v>25</v>
      </c>
      <c r="E20" s="77">
        <f t="shared" si="6"/>
        <v>2963903</v>
      </c>
      <c r="F20" s="78">
        <f t="shared" si="6"/>
        <v>3042903</v>
      </c>
      <c r="G20" s="78">
        <f t="shared" si="6"/>
        <v>3040510</v>
      </c>
      <c r="H20" s="11">
        <f t="shared" si="0"/>
        <v>99.921357992680015</v>
      </c>
      <c r="I20" s="79">
        <f t="shared" si="6"/>
        <v>2921767</v>
      </c>
      <c r="J20" s="95">
        <v>16863</v>
      </c>
      <c r="K20" s="78">
        <v>35863</v>
      </c>
      <c r="L20" s="78">
        <v>33470</v>
      </c>
      <c r="M20" s="10">
        <f t="shared" si="2"/>
        <v>93.32738476981848</v>
      </c>
      <c r="N20" s="79">
        <v>16951</v>
      </c>
      <c r="O20" s="77">
        <v>2947040</v>
      </c>
      <c r="P20" s="78">
        <v>3007040</v>
      </c>
      <c r="Q20" s="78">
        <v>3007040</v>
      </c>
      <c r="R20" s="10">
        <f t="shared" si="3"/>
        <v>100</v>
      </c>
      <c r="S20" s="79">
        <v>2904816</v>
      </c>
      <c r="T20" s="77"/>
      <c r="U20" s="78"/>
      <c r="V20" s="78"/>
      <c r="W20" s="10" t="e">
        <f t="shared" si="4"/>
        <v>#DIV/0!</v>
      </c>
      <c r="X20" s="81"/>
    </row>
    <row r="21" spans="1:24" s="6" customFormat="1" ht="9.9499999999999993" customHeight="1" x14ac:dyDescent="0.2">
      <c r="A21" s="38" t="s">
        <v>18</v>
      </c>
      <c r="B21" s="815" t="s">
        <v>51</v>
      </c>
      <c r="C21" s="816"/>
      <c r="D21" s="56" t="s">
        <v>25</v>
      </c>
      <c r="E21" s="77">
        <f t="shared" si="6"/>
        <v>198861</v>
      </c>
      <c r="F21" s="78">
        <f t="shared" si="6"/>
        <v>110196</v>
      </c>
      <c r="G21" s="78">
        <f t="shared" si="6"/>
        <v>108451</v>
      </c>
      <c r="H21" s="11">
        <f t="shared" si="0"/>
        <v>98.416457947656895</v>
      </c>
      <c r="I21" s="79">
        <f t="shared" si="6"/>
        <v>103450</v>
      </c>
      <c r="J21" s="95">
        <v>16401</v>
      </c>
      <c r="K21" s="78">
        <v>16401</v>
      </c>
      <c r="L21" s="78">
        <v>14656</v>
      </c>
      <c r="M21" s="10">
        <f t="shared" si="2"/>
        <v>89.360404853362596</v>
      </c>
      <c r="N21" s="79">
        <v>12639</v>
      </c>
      <c r="O21" s="77">
        <v>182460</v>
      </c>
      <c r="P21" s="78">
        <v>93795</v>
      </c>
      <c r="Q21" s="78">
        <v>93795</v>
      </c>
      <c r="R21" s="10">
        <f t="shared" si="3"/>
        <v>100</v>
      </c>
      <c r="S21" s="79">
        <v>90811</v>
      </c>
      <c r="T21" s="77"/>
      <c r="U21" s="78"/>
      <c r="V21" s="78"/>
      <c r="W21" s="10" t="e">
        <f t="shared" si="4"/>
        <v>#DIV/0!</v>
      </c>
      <c r="X21" s="81"/>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f t="shared" si="6"/>
        <v>0</v>
      </c>
      <c r="J22" s="95"/>
      <c r="K22" s="78"/>
      <c r="L22" s="78"/>
      <c r="M22" s="10" t="e">
        <f t="shared" si="2"/>
        <v>#DIV/0!</v>
      </c>
      <c r="N22" s="79"/>
      <c r="O22" s="77"/>
      <c r="P22" s="78"/>
      <c r="Q22" s="78"/>
      <c r="R22" s="10" t="e">
        <f t="shared" si="3"/>
        <v>#DIV/0!</v>
      </c>
      <c r="S22" s="79"/>
      <c r="T22" s="77"/>
      <c r="U22" s="78"/>
      <c r="V22" s="78"/>
      <c r="W22" s="10" t="e">
        <f t="shared" si="4"/>
        <v>#DIV/0!</v>
      </c>
      <c r="X22" s="81"/>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f t="shared" si="6"/>
        <v>0</v>
      </c>
      <c r="J23" s="95"/>
      <c r="K23" s="78"/>
      <c r="L23" s="78"/>
      <c r="M23" s="10" t="e">
        <f t="shared" si="2"/>
        <v>#DIV/0!</v>
      </c>
      <c r="N23" s="79"/>
      <c r="O23" s="77"/>
      <c r="P23" s="78"/>
      <c r="Q23" s="78"/>
      <c r="R23" s="10" t="e">
        <f t="shared" si="3"/>
        <v>#DIV/0!</v>
      </c>
      <c r="S23" s="79"/>
      <c r="T23" s="77"/>
      <c r="U23" s="78"/>
      <c r="V23" s="78"/>
      <c r="W23" s="10" t="e">
        <f t="shared" si="4"/>
        <v>#DIV/0!</v>
      </c>
      <c r="X23" s="81"/>
    </row>
    <row r="24" spans="1:24" s="6" customFormat="1" ht="9.9499999999999993" customHeight="1" x14ac:dyDescent="0.2">
      <c r="A24" s="38" t="s">
        <v>21</v>
      </c>
      <c r="B24" s="46" t="s">
        <v>52</v>
      </c>
      <c r="C24" s="47"/>
      <c r="D24" s="56" t="s">
        <v>25</v>
      </c>
      <c r="E24" s="77">
        <f t="shared" si="6"/>
        <v>0</v>
      </c>
      <c r="F24" s="78">
        <f t="shared" si="6"/>
        <v>0</v>
      </c>
      <c r="G24" s="78">
        <f t="shared" si="6"/>
        <v>0</v>
      </c>
      <c r="H24" s="11" t="e">
        <f t="shared" si="0"/>
        <v>#DIV/0!</v>
      </c>
      <c r="I24" s="79">
        <f t="shared" si="6"/>
        <v>0</v>
      </c>
      <c r="J24" s="95"/>
      <c r="K24" s="78"/>
      <c r="L24" s="78"/>
      <c r="M24" s="10" t="e">
        <f t="shared" si="2"/>
        <v>#DIV/0!</v>
      </c>
      <c r="N24" s="79"/>
      <c r="O24" s="77"/>
      <c r="P24" s="78"/>
      <c r="Q24" s="78"/>
      <c r="R24" s="10" t="e">
        <f t="shared" si="3"/>
        <v>#DIV/0!</v>
      </c>
      <c r="S24" s="79"/>
      <c r="T24" s="77"/>
      <c r="U24" s="78"/>
      <c r="V24" s="78"/>
      <c r="W24" s="10" t="e">
        <f t="shared" si="4"/>
        <v>#DIV/0!</v>
      </c>
      <c r="X24" s="81"/>
    </row>
    <row r="25" spans="1:24" s="6" customFormat="1" ht="9.9499999999999993" customHeight="1" x14ac:dyDescent="0.2">
      <c r="A25" s="39" t="s">
        <v>22</v>
      </c>
      <c r="B25" s="48" t="s">
        <v>71</v>
      </c>
      <c r="C25" s="49"/>
      <c r="D25" s="56" t="s">
        <v>25</v>
      </c>
      <c r="E25" s="77">
        <f t="shared" si="6"/>
        <v>35000</v>
      </c>
      <c r="F25" s="78">
        <f t="shared" si="6"/>
        <v>12569</v>
      </c>
      <c r="G25" s="78">
        <f t="shared" si="6"/>
        <v>859</v>
      </c>
      <c r="H25" s="11">
        <f t="shared" si="0"/>
        <v>6.8342748030869593</v>
      </c>
      <c r="I25" s="79">
        <f t="shared" si="6"/>
        <v>9071</v>
      </c>
      <c r="J25" s="95">
        <v>35000</v>
      </c>
      <c r="K25" s="98">
        <v>12569</v>
      </c>
      <c r="L25" s="98">
        <v>859</v>
      </c>
      <c r="M25" s="10">
        <f t="shared" si="2"/>
        <v>6.8342748030869593</v>
      </c>
      <c r="N25" s="99">
        <v>9071</v>
      </c>
      <c r="O25" s="100"/>
      <c r="P25" s="98"/>
      <c r="Q25" s="98"/>
      <c r="R25" s="10" t="e">
        <f t="shared" si="3"/>
        <v>#DIV/0!</v>
      </c>
      <c r="S25" s="101"/>
      <c r="T25" s="100"/>
      <c r="U25" s="98"/>
      <c r="V25" s="98"/>
      <c r="W25" s="10" t="e">
        <f t="shared" si="4"/>
        <v>#DIV/0!</v>
      </c>
      <c r="X25" s="124"/>
    </row>
    <row r="26" spans="1:24" s="14" customFormat="1" ht="9.9499999999999993" customHeight="1" x14ac:dyDescent="0.2">
      <c r="A26" s="38" t="s">
        <v>23</v>
      </c>
      <c r="B26" s="815" t="s">
        <v>72</v>
      </c>
      <c r="C26" s="816"/>
      <c r="D26" s="56" t="s">
        <v>25</v>
      </c>
      <c r="E26" s="77">
        <f t="shared" si="6"/>
        <v>84015</v>
      </c>
      <c r="F26" s="78">
        <f t="shared" si="6"/>
        <v>87446</v>
      </c>
      <c r="G26" s="78">
        <f t="shared" si="6"/>
        <v>87446</v>
      </c>
      <c r="H26" s="11">
        <f t="shared" si="0"/>
        <v>100</v>
      </c>
      <c r="I26" s="79">
        <f t="shared" si="6"/>
        <v>74613</v>
      </c>
      <c r="J26" s="95">
        <v>84015</v>
      </c>
      <c r="K26" s="103">
        <v>87446</v>
      </c>
      <c r="L26" s="103">
        <v>87446</v>
      </c>
      <c r="M26" s="10">
        <f t="shared" si="2"/>
        <v>100</v>
      </c>
      <c r="N26" s="79">
        <v>74613</v>
      </c>
      <c r="O26" s="102"/>
      <c r="P26" s="103"/>
      <c r="Q26" s="103"/>
      <c r="R26" s="10" t="e">
        <f t="shared" si="3"/>
        <v>#DIV/0!</v>
      </c>
      <c r="S26" s="99"/>
      <c r="T26" s="120"/>
      <c r="U26" s="105"/>
      <c r="V26" s="105"/>
      <c r="W26" s="10" t="e">
        <f t="shared" si="4"/>
        <v>#DIV/0!</v>
      </c>
      <c r="X26" s="125"/>
    </row>
    <row r="27" spans="1:24" s="16" customFormat="1" ht="9.9499999999999993" customHeight="1" x14ac:dyDescent="0.2">
      <c r="A27" s="38" t="s">
        <v>45</v>
      </c>
      <c r="B27" s="46" t="s">
        <v>73</v>
      </c>
      <c r="C27" s="47"/>
      <c r="D27" s="56" t="s">
        <v>25</v>
      </c>
      <c r="E27" s="77">
        <f t="shared" si="6"/>
        <v>179000</v>
      </c>
      <c r="F27" s="78">
        <f t="shared" si="6"/>
        <v>319728</v>
      </c>
      <c r="G27" s="78">
        <f t="shared" si="6"/>
        <v>319728</v>
      </c>
      <c r="H27" s="11">
        <f t="shared" si="0"/>
        <v>100</v>
      </c>
      <c r="I27" s="79">
        <f t="shared" si="6"/>
        <v>173171</v>
      </c>
      <c r="J27" s="95">
        <v>179000</v>
      </c>
      <c r="K27" s="103">
        <v>319728</v>
      </c>
      <c r="L27" s="103">
        <v>319728</v>
      </c>
      <c r="M27" s="10">
        <f t="shared" si="2"/>
        <v>100</v>
      </c>
      <c r="N27" s="99">
        <v>138509</v>
      </c>
      <c r="O27" s="102"/>
      <c r="P27" s="103"/>
      <c r="Q27" s="103"/>
      <c r="R27" s="10" t="e">
        <f t="shared" si="3"/>
        <v>#DIV/0!</v>
      </c>
      <c r="S27" s="99">
        <v>34662</v>
      </c>
      <c r="T27" s="120"/>
      <c r="U27" s="105"/>
      <c r="V27" s="105"/>
      <c r="W27" s="10" t="e">
        <f t="shared" si="4"/>
        <v>#DIV/0!</v>
      </c>
      <c r="X27" s="125"/>
    </row>
    <row r="28" spans="1:24" s="14" customFormat="1" ht="9.9499999999999993" customHeight="1" x14ac:dyDescent="0.2">
      <c r="A28" s="38" t="s">
        <v>53</v>
      </c>
      <c r="B28" s="815" t="s">
        <v>74</v>
      </c>
      <c r="C28" s="816"/>
      <c r="D28" s="56" t="s">
        <v>25</v>
      </c>
      <c r="E28" s="77">
        <f t="shared" ref="E28:G30" si="7">SUM(J28,O28)</f>
        <v>0</v>
      </c>
      <c r="F28" s="78">
        <f t="shared" si="7"/>
        <v>0</v>
      </c>
      <c r="G28" s="78">
        <f t="shared" si="7"/>
        <v>0</v>
      </c>
      <c r="H28" s="11" t="e">
        <f t="shared" si="0"/>
        <v>#DIV/0!</v>
      </c>
      <c r="I28" s="79">
        <f>SUM(N28,S28)</f>
        <v>0</v>
      </c>
      <c r="J28" s="95"/>
      <c r="K28" s="103"/>
      <c r="L28" s="103"/>
      <c r="M28" s="10" t="e">
        <f t="shared" si="2"/>
        <v>#DIV/0!</v>
      </c>
      <c r="N28" s="99"/>
      <c r="O28" s="102"/>
      <c r="P28" s="103"/>
      <c r="Q28" s="103"/>
      <c r="R28" s="10" t="e">
        <f t="shared" si="3"/>
        <v>#DIV/0!</v>
      </c>
      <c r="S28" s="99"/>
      <c r="T28" s="120"/>
      <c r="U28" s="105"/>
      <c r="V28" s="105"/>
      <c r="W28" s="10" t="e">
        <f t="shared" si="4"/>
        <v>#DIV/0!</v>
      </c>
      <c r="X28" s="125"/>
    </row>
    <row r="29" spans="1:24" s="6" customFormat="1" ht="9.75" x14ac:dyDescent="0.2">
      <c r="A29" s="38" t="s">
        <v>54</v>
      </c>
      <c r="B29" s="46" t="s">
        <v>55</v>
      </c>
      <c r="C29" s="47"/>
      <c r="D29" s="56" t="s">
        <v>25</v>
      </c>
      <c r="E29" s="77">
        <f t="shared" si="7"/>
        <v>0</v>
      </c>
      <c r="F29" s="78">
        <f t="shared" si="7"/>
        <v>0</v>
      </c>
      <c r="G29" s="78">
        <f t="shared" si="7"/>
        <v>0</v>
      </c>
      <c r="H29" s="11" t="e">
        <f t="shared" si="0"/>
        <v>#DIV/0!</v>
      </c>
      <c r="I29" s="79">
        <f>SUM(N29,S29)</f>
        <v>0</v>
      </c>
      <c r="J29" s="95"/>
      <c r="K29" s="103"/>
      <c r="L29" s="103"/>
      <c r="M29" s="10" t="e">
        <f t="shared" si="2"/>
        <v>#DIV/0!</v>
      </c>
      <c r="N29" s="99"/>
      <c r="O29" s="102"/>
      <c r="P29" s="103"/>
      <c r="Q29" s="103"/>
      <c r="R29" s="10" t="e">
        <f t="shared" si="3"/>
        <v>#DIV/0!</v>
      </c>
      <c r="S29" s="99"/>
      <c r="T29" s="120"/>
      <c r="U29" s="105"/>
      <c r="V29" s="105"/>
      <c r="W29" s="10" t="e">
        <f t="shared" si="4"/>
        <v>#DIV/0!</v>
      </c>
      <c r="X29" s="125"/>
    </row>
    <row r="30" spans="1:24" s="27" customFormat="1" ht="9.75" x14ac:dyDescent="0.2">
      <c r="A30" s="40" t="s">
        <v>56</v>
      </c>
      <c r="B30" s="44" t="s">
        <v>75</v>
      </c>
      <c r="C30" s="50"/>
      <c r="D30" s="59" t="s">
        <v>25</v>
      </c>
      <c r="E30" s="82">
        <f t="shared" si="7"/>
        <v>0</v>
      </c>
      <c r="F30" s="83">
        <f t="shared" si="7"/>
        <v>0</v>
      </c>
      <c r="G30" s="83">
        <f t="shared" si="7"/>
        <v>0</v>
      </c>
      <c r="H30" s="31" t="e">
        <f t="shared" si="0"/>
        <v>#DIV/0!</v>
      </c>
      <c r="I30" s="84">
        <f>SUM(N30,S30)</f>
        <v>0</v>
      </c>
      <c r="J30" s="106"/>
      <c r="K30" s="107"/>
      <c r="L30" s="107"/>
      <c r="M30" s="10" t="e">
        <f t="shared" si="2"/>
        <v>#DIV/0!</v>
      </c>
      <c r="N30" s="108"/>
      <c r="O30" s="109"/>
      <c r="P30" s="107"/>
      <c r="Q30" s="107"/>
      <c r="R30" s="10" t="e">
        <f t="shared" si="3"/>
        <v>#DIV/0!</v>
      </c>
      <c r="S30" s="108"/>
      <c r="T30" s="121"/>
      <c r="U30" s="110"/>
      <c r="V30" s="110"/>
      <c r="W30" s="10" t="e">
        <f t="shared" si="4"/>
        <v>#DIV/0!</v>
      </c>
      <c r="X30" s="126"/>
    </row>
    <row r="31" spans="1:24" s="27" customFormat="1" ht="9.75" x14ac:dyDescent="0.2">
      <c r="A31" s="33" t="s">
        <v>57</v>
      </c>
      <c r="B31" s="817" t="s">
        <v>58</v>
      </c>
      <c r="C31" s="818"/>
      <c r="D31" s="23" t="s">
        <v>25</v>
      </c>
      <c r="E31" s="67">
        <f>SUM(E6-E11)</f>
        <v>0</v>
      </c>
      <c r="F31" s="67">
        <f>SUM(F6-F11)</f>
        <v>-73100</v>
      </c>
      <c r="G31" s="67">
        <f>SUM(G6-G11)</f>
        <v>38471</v>
      </c>
      <c r="H31" s="28">
        <f t="shared" si="0"/>
        <v>-52.627906976744185</v>
      </c>
      <c r="I31" s="67">
        <f>SUM(I6-I11)</f>
        <v>70752</v>
      </c>
      <c r="J31" s="67">
        <f>SUM(J6-J11)</f>
        <v>0</v>
      </c>
      <c r="K31" s="67">
        <f>SUM(K6-K11)</f>
        <v>-73100</v>
      </c>
      <c r="L31" s="67">
        <f>SUM(L6-L11)</f>
        <v>38471</v>
      </c>
      <c r="M31" s="28">
        <f t="shared" si="2"/>
        <v>-52.627906976744185</v>
      </c>
      <c r="N31" s="67">
        <f>SUM(N6-N11)</f>
        <v>70752</v>
      </c>
      <c r="O31" s="67">
        <f>SUM(O6-O11)</f>
        <v>0</v>
      </c>
      <c r="P31" s="67">
        <f>SUM(P6-P11)</f>
        <v>0</v>
      </c>
      <c r="Q31" s="67">
        <f>SUM(Q6-Q11)</f>
        <v>0</v>
      </c>
      <c r="R31" s="28" t="e">
        <f t="shared" si="3"/>
        <v>#DIV/0!</v>
      </c>
      <c r="S31" s="67">
        <f>SUM(S6-S11)</f>
        <v>0</v>
      </c>
      <c r="T31" s="67">
        <f>SUM(T6-T11)</f>
        <v>0</v>
      </c>
      <c r="U31" s="67">
        <f>SUM(U6-U11)</f>
        <v>73100</v>
      </c>
      <c r="V31" s="67">
        <f>SUM(V6-V11)</f>
        <v>77229</v>
      </c>
      <c r="W31" s="28">
        <f t="shared" si="4"/>
        <v>105.64842681258551</v>
      </c>
      <c r="X31" s="67">
        <f>SUM(X6-X11)</f>
        <v>0</v>
      </c>
    </row>
    <row r="32" spans="1:24" s="27" customFormat="1" ht="9.75" x14ac:dyDescent="0.2">
      <c r="A32" s="41" t="s">
        <v>59</v>
      </c>
      <c r="B32" s="60" t="s">
        <v>76</v>
      </c>
      <c r="C32" s="61"/>
      <c r="D32" s="22" t="s">
        <v>25</v>
      </c>
      <c r="E32" s="378">
        <f>SUM(J32,O32)</f>
        <v>0</v>
      </c>
      <c r="F32" s="379">
        <f>SUM(K32,P32)</f>
        <v>0</v>
      </c>
      <c r="G32" s="379">
        <f>SUM(L32,Q32)</f>
        <v>0</v>
      </c>
      <c r="H32" s="380" t="e">
        <f t="shared" si="0"/>
        <v>#DIV/0!</v>
      </c>
      <c r="I32" s="381">
        <f>SUM(N32,S32)</f>
        <v>0</v>
      </c>
      <c r="J32" s="163"/>
      <c r="K32" s="382"/>
      <c r="L32" s="382"/>
      <c r="M32" s="160" t="e">
        <f t="shared" si="2"/>
        <v>#DIV/0!</v>
      </c>
      <c r="N32" s="383"/>
      <c r="O32" s="384"/>
      <c r="P32" s="382"/>
      <c r="Q32" s="382"/>
      <c r="R32" s="160" t="e">
        <f t="shared" si="3"/>
        <v>#DIV/0!</v>
      </c>
      <c r="S32" s="383"/>
      <c r="T32" s="384"/>
      <c r="U32" s="382"/>
      <c r="V32" s="382"/>
      <c r="W32" s="160" t="e">
        <f t="shared" si="4"/>
        <v>#DIV/0!</v>
      </c>
      <c r="X32" s="385"/>
    </row>
    <row r="33" spans="1:24" s="27" customFormat="1" ht="9.75" x14ac:dyDescent="0.2">
      <c r="A33" s="33" t="s">
        <v>60</v>
      </c>
      <c r="B33" s="24" t="s">
        <v>61</v>
      </c>
      <c r="C33" s="25"/>
      <c r="D33" s="23" t="s">
        <v>25</v>
      </c>
      <c r="E33" s="67">
        <f>E31-E32</f>
        <v>0</v>
      </c>
      <c r="F33" s="67">
        <f>F31-F32</f>
        <v>-73100</v>
      </c>
      <c r="G33" s="67">
        <f>G31-G32</f>
        <v>38471</v>
      </c>
      <c r="H33" s="376">
        <f t="shared" si="0"/>
        <v>-52.627906976744185</v>
      </c>
      <c r="I33" s="67">
        <f>I31-I32</f>
        <v>70752</v>
      </c>
      <c r="J33" s="67">
        <f>J31-J32</f>
        <v>0</v>
      </c>
      <c r="K33" s="67">
        <f>K31-K32</f>
        <v>-73100</v>
      </c>
      <c r="L33" s="67">
        <f>L31-L32</f>
        <v>38471</v>
      </c>
      <c r="M33" s="28">
        <f t="shared" si="2"/>
        <v>-52.627906976744185</v>
      </c>
      <c r="N33" s="67">
        <f>N31-N32</f>
        <v>70752</v>
      </c>
      <c r="O33" s="67">
        <f>O31-O32</f>
        <v>0</v>
      </c>
      <c r="P33" s="67">
        <f>P31-P32</f>
        <v>0</v>
      </c>
      <c r="Q33" s="67">
        <f>Q31-Q32</f>
        <v>0</v>
      </c>
      <c r="R33" s="28" t="e">
        <f t="shared" si="3"/>
        <v>#DIV/0!</v>
      </c>
      <c r="S33" s="67">
        <f>S31-S32</f>
        <v>0</v>
      </c>
      <c r="T33" s="67">
        <f>T31-T32</f>
        <v>0</v>
      </c>
      <c r="U33" s="67">
        <f>U31-U32</f>
        <v>73100</v>
      </c>
      <c r="V33" s="67">
        <f>V31-V32</f>
        <v>77229</v>
      </c>
      <c r="W33" s="28">
        <f t="shared" si="4"/>
        <v>105.64842681258551</v>
      </c>
      <c r="X33" s="67">
        <f>X31-X32</f>
        <v>0</v>
      </c>
    </row>
    <row r="34" spans="1:24" s="136" customFormat="1" ht="9" x14ac:dyDescent="0.2">
      <c r="A34" s="42" t="s">
        <v>62</v>
      </c>
      <c r="B34" s="813" t="s">
        <v>24</v>
      </c>
      <c r="C34" s="814"/>
      <c r="D34" s="62" t="s">
        <v>25</v>
      </c>
      <c r="E34" s="252">
        <v>18373</v>
      </c>
      <c r="F34" s="253">
        <v>18790</v>
      </c>
      <c r="G34" s="253">
        <v>18784</v>
      </c>
      <c r="H34" s="167">
        <f t="shared" si="0"/>
        <v>99.968068121341133</v>
      </c>
      <c r="I34" s="254">
        <v>18058</v>
      </c>
      <c r="J34" s="804"/>
      <c r="K34" s="805"/>
      <c r="L34" s="805"/>
      <c r="M34" s="805"/>
      <c r="N34" s="805"/>
      <c r="O34" s="805"/>
      <c r="P34" s="805"/>
      <c r="Q34" s="805"/>
      <c r="R34" s="805"/>
      <c r="S34" s="805"/>
      <c r="T34" s="805"/>
      <c r="U34" s="805"/>
      <c r="V34" s="805"/>
      <c r="W34" s="805"/>
      <c r="X34" s="806"/>
    </row>
    <row r="35" spans="1:24" s="136" customFormat="1" ht="9" x14ac:dyDescent="0.2">
      <c r="A35" s="32" t="s">
        <v>63</v>
      </c>
      <c r="B35" s="797" t="s">
        <v>33</v>
      </c>
      <c r="C35" s="798"/>
      <c r="D35" s="63" t="s">
        <v>26</v>
      </c>
      <c r="E35" s="255">
        <v>39.11</v>
      </c>
      <c r="F35" s="256">
        <v>39.32</v>
      </c>
      <c r="G35" s="256">
        <v>39.32</v>
      </c>
      <c r="H35" s="15">
        <f t="shared" si="0"/>
        <v>100</v>
      </c>
      <c r="I35" s="257">
        <v>39.42</v>
      </c>
      <c r="J35" s="804"/>
      <c r="K35" s="805"/>
      <c r="L35" s="805"/>
      <c r="M35" s="805"/>
      <c r="N35" s="805"/>
      <c r="O35" s="805"/>
      <c r="P35" s="805"/>
      <c r="Q35" s="805"/>
      <c r="R35" s="805"/>
      <c r="S35" s="805"/>
      <c r="T35" s="805"/>
      <c r="U35" s="805"/>
      <c r="V35" s="805"/>
      <c r="W35" s="805"/>
      <c r="X35" s="806"/>
    </row>
    <row r="36" spans="1:24" s="136" customFormat="1" ht="9" x14ac:dyDescent="0.2">
      <c r="A36" s="43" t="s">
        <v>64</v>
      </c>
      <c r="B36" s="799" t="s">
        <v>27</v>
      </c>
      <c r="C36" s="800"/>
      <c r="D36" s="64" t="s">
        <v>26</v>
      </c>
      <c r="E36" s="258">
        <v>45</v>
      </c>
      <c r="F36" s="259">
        <v>45</v>
      </c>
      <c r="G36" s="259">
        <v>45</v>
      </c>
      <c r="H36" s="17">
        <f t="shared" si="0"/>
        <v>100</v>
      </c>
      <c r="I36" s="260">
        <v>45</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c r="F37" s="811"/>
      <c r="G37" s="811"/>
      <c r="H37" s="811"/>
      <c r="I37" s="812"/>
      <c r="J37" s="377"/>
      <c r="K37" s="377"/>
      <c r="L37" s="377"/>
      <c r="M37" s="28"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B21:C21"/>
    <mergeCell ref="B22:C22"/>
    <mergeCell ref="B26:C26"/>
    <mergeCell ref="B28:C28"/>
    <mergeCell ref="B31:C31"/>
    <mergeCell ref="J34:X36"/>
    <mergeCell ref="B35:C35"/>
    <mergeCell ref="B36:C36"/>
    <mergeCell ref="E37:I37"/>
    <mergeCell ref="N37:X37"/>
    <mergeCell ref="B34:C34"/>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0"/>
  <sheetViews>
    <sheetView tabSelected="1" zoomScaleNormal="100" workbookViewId="0"/>
  </sheetViews>
  <sheetFormatPr defaultRowHeight="12.75" x14ac:dyDescent="0.2"/>
  <cols>
    <col min="1" max="1" width="58" style="128" customWidth="1"/>
    <col min="2" max="2" width="33.5" style="128" customWidth="1"/>
    <col min="3" max="3" width="25.75" style="128" customWidth="1"/>
    <col min="4" max="4" width="25.5" style="128" customWidth="1"/>
    <col min="5" max="5" width="25.75" style="128" customWidth="1"/>
    <col min="6" max="6" width="22.75" style="128" customWidth="1"/>
    <col min="7" max="8" width="10" style="128"/>
    <col min="9" max="9" width="26.25" style="128" customWidth="1"/>
  </cols>
  <sheetData>
    <row r="1" spans="1:9" s="65" customFormat="1" ht="18.75" x14ac:dyDescent="0.3">
      <c r="A1" s="65" t="s">
        <v>93</v>
      </c>
    </row>
    <row r="2" spans="1:9" s="66" customFormat="1" x14ac:dyDescent="0.2"/>
    <row r="3" spans="1:9" s="217" customFormat="1" ht="10.5" x14ac:dyDescent="0.15">
      <c r="A3" s="852" t="s">
        <v>133</v>
      </c>
      <c r="B3" s="852"/>
      <c r="C3" s="852"/>
      <c r="D3" s="852"/>
      <c r="E3" s="852"/>
      <c r="F3" s="852"/>
      <c r="G3" s="852"/>
      <c r="H3" s="852"/>
      <c r="I3" s="852"/>
    </row>
    <row r="4" spans="1:9" s="218" customFormat="1" ht="11.25" x14ac:dyDescent="0.2"/>
    <row r="5" spans="1:9" s="219" customFormat="1" ht="9.75" x14ac:dyDescent="0.2">
      <c r="A5" s="870" t="s">
        <v>77</v>
      </c>
      <c r="B5" s="871"/>
      <c r="C5" s="344" t="s">
        <v>25</v>
      </c>
      <c r="D5" s="847" t="s">
        <v>112</v>
      </c>
      <c r="E5" s="847"/>
      <c r="F5" s="847"/>
      <c r="G5" s="847"/>
      <c r="H5" s="847"/>
      <c r="I5" s="847"/>
    </row>
    <row r="6" spans="1:9" s="218" customFormat="1" ht="15" customHeight="1" x14ac:dyDescent="0.2">
      <c r="A6" s="872" t="s">
        <v>134</v>
      </c>
      <c r="B6" s="872"/>
      <c r="C6" s="226">
        <f>SUM(C7:C9)</f>
        <v>199152.28</v>
      </c>
      <c r="D6" s="876"/>
      <c r="E6" s="877"/>
      <c r="F6" s="877"/>
      <c r="G6" s="877"/>
      <c r="H6" s="877"/>
      <c r="I6" s="877"/>
    </row>
    <row r="7" spans="1:9" s="218" customFormat="1" ht="15.75" customHeight="1" x14ac:dyDescent="0.2">
      <c r="A7" s="873" t="s">
        <v>78</v>
      </c>
      <c r="B7" s="874"/>
      <c r="C7" s="245">
        <v>190412.28</v>
      </c>
      <c r="D7" s="875" t="s">
        <v>251</v>
      </c>
      <c r="E7" s="875"/>
      <c r="F7" s="875"/>
      <c r="G7" s="875"/>
      <c r="H7" s="875"/>
      <c r="I7" s="875"/>
    </row>
    <row r="8" spans="1:9" s="217" customFormat="1" ht="13.5" customHeight="1" x14ac:dyDescent="0.15">
      <c r="A8" s="863" t="s">
        <v>113</v>
      </c>
      <c r="B8" s="864"/>
      <c r="C8" s="261">
        <v>8740</v>
      </c>
      <c r="D8" s="875" t="s">
        <v>224</v>
      </c>
      <c r="E8" s="875"/>
      <c r="F8" s="875"/>
      <c r="G8" s="875"/>
      <c r="H8" s="875"/>
      <c r="I8" s="875"/>
    </row>
    <row r="9" spans="1:9" s="217" customFormat="1" ht="15" customHeight="1" x14ac:dyDescent="0.15">
      <c r="A9" s="863" t="s">
        <v>114</v>
      </c>
      <c r="B9" s="864"/>
      <c r="C9" s="261">
        <v>0</v>
      </c>
      <c r="D9" s="921"/>
      <c r="E9" s="922"/>
      <c r="F9" s="922"/>
      <c r="G9" s="922"/>
      <c r="H9" s="922"/>
      <c r="I9" s="923"/>
    </row>
    <row r="10" spans="1:9" s="218" customFormat="1" ht="11.25" x14ac:dyDescent="0.2">
      <c r="C10" s="220"/>
    </row>
    <row r="11" spans="1:9" s="218" customFormat="1" ht="11.25" x14ac:dyDescent="0.2">
      <c r="A11" s="852" t="s">
        <v>135</v>
      </c>
      <c r="B11" s="852"/>
      <c r="C11" s="852"/>
      <c r="D11" s="852"/>
      <c r="E11" s="852"/>
      <c r="F11" s="852"/>
      <c r="G11" s="852"/>
      <c r="H11" s="852"/>
      <c r="I11" s="852"/>
    </row>
    <row r="12" spans="1:9" s="218" customFormat="1" ht="11.25" x14ac:dyDescent="0.2">
      <c r="C12" s="220"/>
      <c r="D12" s="231"/>
      <c r="E12" s="231"/>
      <c r="F12" s="231"/>
      <c r="G12" s="231"/>
      <c r="H12" s="231"/>
      <c r="I12" s="231"/>
    </row>
    <row r="13" spans="1:9" s="221" customFormat="1" ht="9.75" x14ac:dyDescent="0.2">
      <c r="A13" s="344" t="s">
        <v>77</v>
      </c>
      <c r="B13" s="344" t="s">
        <v>79</v>
      </c>
      <c r="C13" s="344" t="s">
        <v>25</v>
      </c>
      <c r="D13" s="470"/>
      <c r="E13" s="436"/>
      <c r="F13" s="436"/>
      <c r="G13" s="436"/>
      <c r="H13" s="436"/>
      <c r="I13" s="436"/>
    </row>
    <row r="14" spans="1:9" s="218" customFormat="1" ht="15" customHeight="1" x14ac:dyDescent="0.2">
      <c r="A14" s="222" t="s">
        <v>136</v>
      </c>
      <c r="B14" s="437"/>
      <c r="C14" s="223">
        <v>0</v>
      </c>
      <c r="D14" s="471"/>
      <c r="E14" s="439"/>
      <c r="F14" s="439"/>
      <c r="G14" s="439"/>
      <c r="H14" s="439"/>
      <c r="I14" s="439"/>
    </row>
    <row r="15" spans="1:9" s="218" customFormat="1" ht="16.5" customHeight="1" x14ac:dyDescent="0.2">
      <c r="A15" s="868" t="s">
        <v>137</v>
      </c>
      <c r="B15" s="263" t="s">
        <v>80</v>
      </c>
      <c r="C15" s="264">
        <v>189152.28</v>
      </c>
      <c r="D15" s="472"/>
      <c r="E15" s="441"/>
      <c r="F15" s="441"/>
      <c r="G15" s="441"/>
      <c r="H15" s="441"/>
      <c r="I15" s="441"/>
    </row>
    <row r="16" spans="1:9" s="218" customFormat="1" ht="15" customHeight="1" x14ac:dyDescent="0.2">
      <c r="A16" s="869"/>
      <c r="B16" s="262" t="s">
        <v>81</v>
      </c>
      <c r="C16" s="473">
        <v>10000</v>
      </c>
      <c r="D16" s="474"/>
      <c r="E16" s="443"/>
      <c r="F16" s="443"/>
      <c r="G16" s="443"/>
      <c r="H16" s="443"/>
      <c r="I16" s="443"/>
    </row>
    <row r="17" spans="1:9" s="218" customFormat="1" ht="15" customHeight="1" x14ac:dyDescent="0.2">
      <c r="A17" s="444" t="s">
        <v>134</v>
      </c>
      <c r="B17" s="445"/>
      <c r="C17" s="226">
        <f>SUM(C14:C16)</f>
        <v>199152.28</v>
      </c>
      <c r="D17" s="475"/>
      <c r="E17" s="447"/>
      <c r="F17" s="447"/>
      <c r="G17" s="447"/>
      <c r="H17" s="447"/>
      <c r="I17" s="447"/>
    </row>
    <row r="18" spans="1:9" s="449" customFormat="1" ht="11.25" x14ac:dyDescent="0.2">
      <c r="A18" s="448"/>
      <c r="C18" s="476"/>
      <c r="D18" s="452"/>
      <c r="E18" s="452"/>
      <c r="F18" s="452"/>
      <c r="G18" s="452"/>
      <c r="H18" s="452"/>
      <c r="I18" s="452"/>
    </row>
    <row r="19" spans="1:9" s="218" customFormat="1" ht="11.25" x14ac:dyDescent="0.2">
      <c r="A19" s="852" t="s">
        <v>138</v>
      </c>
      <c r="B19" s="852"/>
      <c r="C19" s="852"/>
      <c r="D19" s="852"/>
      <c r="E19" s="852"/>
      <c r="F19" s="852"/>
      <c r="G19" s="852"/>
      <c r="H19" s="852"/>
      <c r="I19" s="852"/>
    </row>
    <row r="20" spans="1:9" s="218" customFormat="1" ht="11.25" x14ac:dyDescent="0.2">
      <c r="C20" s="220"/>
    </row>
    <row r="21" spans="1:9" s="224" customFormat="1" ht="9.75" x14ac:dyDescent="0.2">
      <c r="A21" s="344" t="s">
        <v>79</v>
      </c>
      <c r="B21" s="344" t="s">
        <v>139</v>
      </c>
      <c r="C21" s="343" t="s">
        <v>140</v>
      </c>
      <c r="D21" s="344" t="s">
        <v>141</v>
      </c>
      <c r="E21" s="344" t="s">
        <v>142</v>
      </c>
      <c r="F21" s="847" t="s">
        <v>115</v>
      </c>
      <c r="G21" s="847"/>
      <c r="H21" s="847"/>
      <c r="I21" s="847"/>
    </row>
    <row r="22" spans="1:9" s="218" customFormat="1" ht="13.5" customHeight="1" x14ac:dyDescent="0.2">
      <c r="A22" s="265" t="s">
        <v>116</v>
      </c>
      <c r="B22" s="266">
        <v>103150.02</v>
      </c>
      <c r="C22" s="266">
        <v>187967.25</v>
      </c>
      <c r="D22" s="266">
        <v>169004</v>
      </c>
      <c r="E22" s="266">
        <f>B22+C22-D22</f>
        <v>122113.27000000002</v>
      </c>
      <c r="F22" s="934" t="s">
        <v>252</v>
      </c>
      <c r="G22" s="935"/>
      <c r="H22" s="935"/>
      <c r="I22" s="936"/>
    </row>
    <row r="23" spans="1:9" s="218" customFormat="1" ht="26.25" customHeight="1" x14ac:dyDescent="0.2">
      <c r="A23" s="263" t="s">
        <v>143</v>
      </c>
      <c r="B23" s="267">
        <v>411564.74</v>
      </c>
      <c r="C23" s="267">
        <v>180601</v>
      </c>
      <c r="D23" s="267">
        <v>273469</v>
      </c>
      <c r="E23" s="267">
        <f>B23+C23-D23</f>
        <v>318696.74</v>
      </c>
      <c r="F23" s="928" t="s">
        <v>811</v>
      </c>
      <c r="G23" s="929"/>
      <c r="H23" s="929"/>
      <c r="I23" s="930"/>
    </row>
    <row r="24" spans="1:9" s="218" customFormat="1" ht="26.25" customHeight="1" x14ac:dyDescent="0.2">
      <c r="A24" s="263" t="s">
        <v>81</v>
      </c>
      <c r="B24" s="267">
        <v>33277</v>
      </c>
      <c r="C24" s="267">
        <v>20000</v>
      </c>
      <c r="D24" s="267">
        <v>0</v>
      </c>
      <c r="E24" s="267">
        <f>B24+C24-D24</f>
        <v>53277</v>
      </c>
      <c r="F24" s="928" t="s">
        <v>250</v>
      </c>
      <c r="G24" s="929"/>
      <c r="H24" s="929"/>
      <c r="I24" s="930"/>
    </row>
    <row r="25" spans="1:9" s="218" customFormat="1" ht="37.5" customHeight="1" x14ac:dyDescent="0.2">
      <c r="A25" s="262" t="s">
        <v>82</v>
      </c>
      <c r="B25" s="268">
        <v>6487.31</v>
      </c>
      <c r="C25" s="268">
        <v>48895.46</v>
      </c>
      <c r="D25" s="268">
        <v>47997</v>
      </c>
      <c r="E25" s="268">
        <f>B25+C25-D25</f>
        <v>7385.7699999999968</v>
      </c>
      <c r="F25" s="931" t="s">
        <v>253</v>
      </c>
      <c r="G25" s="932"/>
      <c r="H25" s="932"/>
      <c r="I25" s="933"/>
    </row>
    <row r="26" spans="1:9" s="217" customFormat="1" ht="10.5" x14ac:dyDescent="0.15">
      <c r="A26" s="225" t="s">
        <v>34</v>
      </c>
      <c r="B26" s="226">
        <f>SUM(B22:B25)</f>
        <v>554479.07000000007</v>
      </c>
      <c r="C26" s="226">
        <f>SUM(C22:C25)</f>
        <v>437463.71</v>
      </c>
      <c r="D26" s="226">
        <f>SUM(D22:D25)</f>
        <v>490470</v>
      </c>
      <c r="E26" s="226">
        <f>SUM(E22:E25)</f>
        <v>501472.78</v>
      </c>
      <c r="F26" s="850"/>
      <c r="G26" s="850"/>
      <c r="H26" s="850"/>
      <c r="I26" s="851"/>
    </row>
    <row r="27" spans="1:9" s="218" customFormat="1" ht="11.25" x14ac:dyDescent="0.2">
      <c r="C27" s="220"/>
    </row>
    <row r="28" spans="1:9" s="218" customFormat="1" ht="11.25" x14ac:dyDescent="0.2">
      <c r="A28" s="852" t="s">
        <v>144</v>
      </c>
      <c r="B28" s="852"/>
      <c r="C28" s="852"/>
      <c r="D28" s="852"/>
      <c r="E28" s="852"/>
      <c r="F28" s="852"/>
      <c r="G28" s="852"/>
      <c r="H28" s="852"/>
      <c r="I28" s="852"/>
    </row>
    <row r="29" spans="1:9" s="218" customFormat="1" ht="11.25" x14ac:dyDescent="0.2">
      <c r="C29" s="220"/>
    </row>
    <row r="30" spans="1:9" s="218" customFormat="1" ht="11.25" x14ac:dyDescent="0.2">
      <c r="A30" s="344" t="s">
        <v>83</v>
      </c>
      <c r="B30" s="344" t="s">
        <v>25</v>
      </c>
      <c r="C30" s="343" t="s">
        <v>84</v>
      </c>
      <c r="D30" s="847" t="s">
        <v>117</v>
      </c>
      <c r="E30" s="847"/>
      <c r="F30" s="847"/>
      <c r="G30" s="847"/>
      <c r="H30" s="847"/>
      <c r="I30" s="847"/>
    </row>
    <row r="31" spans="1:9" s="218" customFormat="1" ht="15" customHeight="1" x14ac:dyDescent="0.2">
      <c r="A31" s="239"/>
      <c r="B31" s="266">
        <v>0</v>
      </c>
      <c r="C31" s="227"/>
      <c r="D31" s="924"/>
      <c r="E31" s="925"/>
      <c r="F31" s="925"/>
      <c r="G31" s="925"/>
      <c r="H31" s="925"/>
      <c r="I31" s="926"/>
    </row>
    <row r="32" spans="1:9" s="217" customFormat="1" ht="11.25" x14ac:dyDescent="0.2">
      <c r="A32" s="225" t="s">
        <v>34</v>
      </c>
      <c r="B32" s="226">
        <f>SUM(B31:B31)</f>
        <v>0</v>
      </c>
      <c r="C32" s="879"/>
      <c r="D32" s="879"/>
      <c r="E32" s="879"/>
      <c r="F32" s="879"/>
      <c r="G32" s="879"/>
      <c r="H32" s="879"/>
      <c r="I32" s="880"/>
    </row>
    <row r="33" spans="1:9" s="218" customFormat="1" ht="11.25" x14ac:dyDescent="0.2">
      <c r="C33" s="220"/>
    </row>
    <row r="34" spans="1:9" s="218" customFormat="1" ht="11.25" x14ac:dyDescent="0.2">
      <c r="A34" s="852" t="s">
        <v>145</v>
      </c>
      <c r="B34" s="852"/>
      <c r="C34" s="852"/>
      <c r="D34" s="852"/>
      <c r="E34" s="852"/>
      <c r="F34" s="852"/>
      <c r="G34" s="852"/>
      <c r="H34" s="852"/>
      <c r="I34" s="852"/>
    </row>
    <row r="35" spans="1:9" s="218" customFormat="1" ht="11.25" x14ac:dyDescent="0.2">
      <c r="C35" s="220"/>
    </row>
    <row r="36" spans="1:9" s="218" customFormat="1" ht="11.25" x14ac:dyDescent="0.2">
      <c r="A36" s="344" t="s">
        <v>83</v>
      </c>
      <c r="B36" s="344" t="s">
        <v>25</v>
      </c>
      <c r="C36" s="343" t="s">
        <v>84</v>
      </c>
      <c r="D36" s="847" t="s">
        <v>117</v>
      </c>
      <c r="E36" s="847"/>
      <c r="F36" s="847"/>
      <c r="G36" s="847"/>
      <c r="H36" s="847"/>
      <c r="I36" s="881"/>
    </row>
    <row r="37" spans="1:9" s="218" customFormat="1" ht="15" customHeight="1" x14ac:dyDescent="0.2">
      <c r="A37" s="239"/>
      <c r="B37" s="266">
        <v>0</v>
      </c>
      <c r="C37" s="227"/>
      <c r="D37" s="924"/>
      <c r="E37" s="925"/>
      <c r="F37" s="925"/>
      <c r="G37" s="925"/>
      <c r="H37" s="925"/>
      <c r="I37" s="926"/>
    </row>
    <row r="38" spans="1:9" s="217" customFormat="1" ht="10.5" x14ac:dyDescent="0.15">
      <c r="A38" s="225" t="s">
        <v>34</v>
      </c>
      <c r="B38" s="226">
        <f>SUM(B37:B37)</f>
        <v>0</v>
      </c>
      <c r="C38" s="882"/>
      <c r="D38" s="882"/>
      <c r="E38" s="882"/>
      <c r="F38" s="882"/>
      <c r="G38" s="882"/>
      <c r="H38" s="882"/>
      <c r="I38" s="882"/>
    </row>
    <row r="39" spans="1:9" s="218" customFormat="1" ht="11.25" x14ac:dyDescent="0.2">
      <c r="C39" s="220"/>
    </row>
    <row r="40" spans="1:9" s="218" customFormat="1" ht="11.25" x14ac:dyDescent="0.2">
      <c r="A40" s="852" t="s">
        <v>146</v>
      </c>
      <c r="B40" s="852"/>
      <c r="C40" s="852"/>
      <c r="D40" s="852"/>
      <c r="E40" s="852"/>
      <c r="F40" s="852"/>
      <c r="G40" s="852"/>
      <c r="H40" s="852"/>
      <c r="I40" s="852"/>
    </row>
    <row r="41" spans="1:9" s="218" customFormat="1" ht="11.25" x14ac:dyDescent="0.2">
      <c r="C41" s="220"/>
    </row>
    <row r="42" spans="1:9" s="218" customFormat="1" ht="11.25" x14ac:dyDescent="0.2">
      <c r="A42" s="344" t="s">
        <v>25</v>
      </c>
      <c r="B42" s="343" t="s">
        <v>147</v>
      </c>
      <c r="C42" s="861" t="s">
        <v>85</v>
      </c>
      <c r="D42" s="861"/>
      <c r="E42" s="861"/>
      <c r="F42" s="861"/>
      <c r="G42" s="861"/>
      <c r="H42" s="861"/>
      <c r="I42" s="862"/>
    </row>
    <row r="43" spans="1:9" s="218" customFormat="1" x14ac:dyDescent="0.2">
      <c r="A43" s="477">
        <v>10000</v>
      </c>
      <c r="B43" s="477">
        <v>10000</v>
      </c>
      <c r="C43" s="927" t="s">
        <v>254</v>
      </c>
      <c r="D43" s="927"/>
      <c r="E43" s="927"/>
      <c r="F43" s="927"/>
      <c r="G43" s="927"/>
      <c r="H43" s="927"/>
      <c r="I43" s="927"/>
    </row>
    <row r="44" spans="1:9" s="218" customFormat="1" ht="13.5" customHeight="1" x14ac:dyDescent="0.2">
      <c r="A44" s="478">
        <v>10000</v>
      </c>
      <c r="B44" s="478"/>
      <c r="C44" s="939" t="s">
        <v>255</v>
      </c>
      <c r="D44" s="940"/>
      <c r="E44" s="940"/>
      <c r="F44" s="940"/>
      <c r="G44" s="940"/>
      <c r="H44" s="940"/>
      <c r="I44" s="941"/>
    </row>
    <row r="45" spans="1:9" s="217" customFormat="1" ht="10.5" x14ac:dyDescent="0.15">
      <c r="A45" s="226">
        <f>SUM(A43:A44)</f>
        <v>20000</v>
      </c>
      <c r="B45" s="226">
        <f>SUM(B43:B44)</f>
        <v>10000</v>
      </c>
      <c r="C45" s="859" t="s">
        <v>34</v>
      </c>
      <c r="D45" s="859"/>
      <c r="E45" s="859"/>
      <c r="F45" s="859"/>
      <c r="G45" s="859"/>
      <c r="H45" s="859"/>
      <c r="I45" s="860"/>
    </row>
    <row r="46" spans="1:9" s="218" customFormat="1" ht="11.25" x14ac:dyDescent="0.2">
      <c r="C46" s="220"/>
    </row>
    <row r="47" spans="1:9" s="218" customFormat="1" ht="11.25" x14ac:dyDescent="0.2">
      <c r="A47" s="852" t="s">
        <v>148</v>
      </c>
      <c r="B47" s="852"/>
      <c r="C47" s="852"/>
      <c r="D47" s="852"/>
      <c r="E47" s="852"/>
      <c r="F47" s="852"/>
      <c r="G47" s="852"/>
      <c r="H47" s="852"/>
      <c r="I47" s="852"/>
    </row>
    <row r="48" spans="1:9" s="218" customFormat="1" ht="11.25" x14ac:dyDescent="0.2">
      <c r="C48" s="220"/>
    </row>
    <row r="49" spans="1:5" s="229" customFormat="1" ht="11.25" x14ac:dyDescent="0.2">
      <c r="A49" s="847" t="s">
        <v>86</v>
      </c>
      <c r="B49" s="847"/>
      <c r="C49" s="343" t="s">
        <v>87</v>
      </c>
      <c r="D49" s="344" t="s">
        <v>88</v>
      </c>
      <c r="E49" s="344" t="s">
        <v>25</v>
      </c>
    </row>
    <row r="50" spans="1:5" s="218" customFormat="1" ht="12" customHeight="1" x14ac:dyDescent="0.2">
      <c r="A50" s="944" t="s">
        <v>256</v>
      </c>
      <c r="B50" s="945"/>
      <c r="C50" s="241">
        <v>41694</v>
      </c>
      <c r="D50" s="241">
        <v>41722</v>
      </c>
      <c r="E50" s="462">
        <v>14990</v>
      </c>
    </row>
    <row r="51" spans="1:5" s="218" customFormat="1" ht="12" customHeight="1" x14ac:dyDescent="0.2">
      <c r="A51" s="747" t="s">
        <v>257</v>
      </c>
      <c r="B51" s="796"/>
      <c r="C51" s="241">
        <v>41694</v>
      </c>
      <c r="D51" s="241">
        <v>41722</v>
      </c>
      <c r="E51" s="462">
        <v>-14990</v>
      </c>
    </row>
    <row r="52" spans="1:5" s="218" customFormat="1" ht="12" customHeight="1" x14ac:dyDescent="0.2">
      <c r="A52" s="345"/>
      <c r="B52" s="346"/>
      <c r="C52" s="241"/>
      <c r="D52" s="241"/>
      <c r="E52" s="462"/>
    </row>
    <row r="53" spans="1:5" s="218" customFormat="1" ht="11.25" x14ac:dyDescent="0.2">
      <c r="A53" s="747" t="s">
        <v>258</v>
      </c>
      <c r="B53" s="796"/>
      <c r="C53" s="241">
        <v>41815</v>
      </c>
      <c r="D53" s="241">
        <v>41820</v>
      </c>
      <c r="E53" s="462">
        <v>8736</v>
      </c>
    </row>
    <row r="54" spans="1:5" s="218" customFormat="1" ht="11.25" x14ac:dyDescent="0.2">
      <c r="A54" s="919" t="s">
        <v>259</v>
      </c>
      <c r="B54" s="920"/>
      <c r="C54" s="241">
        <v>41815</v>
      </c>
      <c r="D54" s="241">
        <v>41820</v>
      </c>
      <c r="E54" s="462">
        <v>8736</v>
      </c>
    </row>
    <row r="55" spans="1:5" s="218" customFormat="1" ht="11.25" x14ac:dyDescent="0.2">
      <c r="A55" s="481"/>
      <c r="B55" s="482"/>
      <c r="C55" s="241"/>
      <c r="D55" s="241"/>
      <c r="E55" s="462"/>
    </row>
    <row r="56" spans="1:5" s="218" customFormat="1" ht="11.25" x14ac:dyDescent="0.2">
      <c r="A56" s="747" t="s">
        <v>260</v>
      </c>
      <c r="B56" s="796"/>
      <c r="C56" s="241">
        <v>41820</v>
      </c>
      <c r="D56" s="241">
        <v>41820</v>
      </c>
      <c r="E56" s="462">
        <v>27267</v>
      </c>
    </row>
    <row r="57" spans="1:5" s="218" customFormat="1" ht="11.25" x14ac:dyDescent="0.2">
      <c r="A57" s="747" t="s">
        <v>261</v>
      </c>
      <c r="B57" s="796"/>
      <c r="C57" s="241">
        <v>41820</v>
      </c>
      <c r="D57" s="241">
        <v>41820</v>
      </c>
      <c r="E57" s="462">
        <v>27267</v>
      </c>
    </row>
    <row r="58" spans="1:5" s="218" customFormat="1" ht="11.25" x14ac:dyDescent="0.2">
      <c r="A58" s="345"/>
      <c r="B58" s="346"/>
      <c r="C58" s="241"/>
      <c r="D58" s="241"/>
      <c r="E58" s="462"/>
    </row>
    <row r="59" spans="1:5" s="218" customFormat="1" ht="11.25" x14ac:dyDescent="0.2">
      <c r="A59" s="747" t="s">
        <v>262</v>
      </c>
      <c r="B59" s="796"/>
      <c r="C59" s="241">
        <v>41820</v>
      </c>
      <c r="D59" s="241">
        <v>41821</v>
      </c>
      <c r="E59" s="462">
        <v>72862</v>
      </c>
    </row>
    <row r="60" spans="1:5" s="218" customFormat="1" ht="11.25" x14ac:dyDescent="0.2">
      <c r="A60" s="747" t="s">
        <v>261</v>
      </c>
      <c r="B60" s="796"/>
      <c r="C60" s="241">
        <v>41820</v>
      </c>
      <c r="D60" s="241">
        <v>41821</v>
      </c>
      <c r="E60" s="462">
        <v>72862</v>
      </c>
    </row>
    <row r="61" spans="1:5" s="218" customFormat="1" ht="11.25" x14ac:dyDescent="0.2">
      <c r="A61" s="345"/>
      <c r="B61" s="346"/>
      <c r="C61" s="241"/>
      <c r="D61" s="241"/>
      <c r="E61" s="462"/>
    </row>
    <row r="62" spans="1:5" s="218" customFormat="1" ht="11.25" x14ac:dyDescent="0.2">
      <c r="A62" s="919" t="s">
        <v>263</v>
      </c>
      <c r="B62" s="920"/>
      <c r="C62" s="241"/>
      <c r="D62" s="241">
        <v>41912</v>
      </c>
      <c r="E62" s="462">
        <v>-2796</v>
      </c>
    </row>
    <row r="63" spans="1:5" s="218" customFormat="1" ht="9.75" customHeight="1" x14ac:dyDescent="0.2">
      <c r="A63" s="747" t="s">
        <v>264</v>
      </c>
      <c r="B63" s="796"/>
      <c r="C63" s="241"/>
      <c r="D63" s="241">
        <v>41912</v>
      </c>
      <c r="E63" s="462">
        <v>1938</v>
      </c>
    </row>
    <row r="64" spans="1:5" s="218" customFormat="1" ht="11.25" x14ac:dyDescent="0.2">
      <c r="A64" s="747" t="s">
        <v>260</v>
      </c>
      <c r="B64" s="796"/>
      <c r="C64" s="241"/>
      <c r="D64" s="241">
        <v>41912</v>
      </c>
      <c r="E64" s="462">
        <v>858</v>
      </c>
    </row>
    <row r="65" spans="1:5" s="218" customFormat="1" ht="11.25" x14ac:dyDescent="0.2">
      <c r="A65" s="345"/>
      <c r="B65" s="346"/>
      <c r="C65" s="241"/>
      <c r="D65" s="241"/>
      <c r="E65" s="462"/>
    </row>
    <row r="66" spans="1:5" s="218" customFormat="1" ht="11.25" x14ac:dyDescent="0.2">
      <c r="A66" s="919" t="s">
        <v>258</v>
      </c>
      <c r="B66" s="920"/>
      <c r="C66" s="241"/>
      <c r="D66" s="241">
        <v>41912</v>
      </c>
      <c r="E66" s="462">
        <v>23341</v>
      </c>
    </row>
    <row r="67" spans="1:5" s="218" customFormat="1" ht="11.25" x14ac:dyDescent="0.2">
      <c r="A67" s="747" t="s">
        <v>260</v>
      </c>
      <c r="B67" s="796"/>
      <c r="C67" s="241"/>
      <c r="D67" s="241">
        <v>41912</v>
      </c>
      <c r="E67" s="462">
        <v>23341</v>
      </c>
    </row>
    <row r="68" spans="1:5" s="218" customFormat="1" ht="11.25" x14ac:dyDescent="0.2">
      <c r="A68" s="345"/>
      <c r="B68" s="346"/>
      <c r="C68" s="241"/>
      <c r="D68" s="241"/>
      <c r="E68" s="462"/>
    </row>
    <row r="69" spans="1:5" s="218" customFormat="1" ht="12" customHeight="1" x14ac:dyDescent="0.2">
      <c r="A69" s="747" t="s">
        <v>265</v>
      </c>
      <c r="B69" s="796"/>
      <c r="C69" s="241">
        <v>41925</v>
      </c>
      <c r="D69" s="241">
        <v>41926</v>
      </c>
      <c r="E69" s="462">
        <v>5379</v>
      </c>
    </row>
    <row r="70" spans="1:5" s="218" customFormat="1" ht="12" customHeight="1" x14ac:dyDescent="0.2">
      <c r="A70" s="747" t="s">
        <v>258</v>
      </c>
      <c r="B70" s="796"/>
      <c r="C70" s="241">
        <v>41925</v>
      </c>
      <c r="D70" s="241">
        <v>41926</v>
      </c>
      <c r="E70" s="462">
        <v>5379</v>
      </c>
    </row>
    <row r="71" spans="1:5" s="218" customFormat="1" ht="12" customHeight="1" x14ac:dyDescent="0.2">
      <c r="A71" s="345"/>
      <c r="B71" s="346"/>
      <c r="C71" s="241"/>
      <c r="D71" s="241"/>
      <c r="E71" s="462"/>
    </row>
    <row r="72" spans="1:5" s="218" customFormat="1" ht="11.25" x14ac:dyDescent="0.2">
      <c r="A72" s="747" t="s">
        <v>266</v>
      </c>
      <c r="B72" s="796"/>
      <c r="C72" s="241">
        <v>41925</v>
      </c>
      <c r="D72" s="241">
        <v>41926</v>
      </c>
      <c r="E72" s="462">
        <v>-2840</v>
      </c>
    </row>
    <row r="73" spans="1:5" s="218" customFormat="1" ht="11.25" x14ac:dyDescent="0.2">
      <c r="A73" s="747" t="s">
        <v>267</v>
      </c>
      <c r="B73" s="796"/>
      <c r="C73" s="241">
        <v>41925</v>
      </c>
      <c r="D73" s="241">
        <v>41926</v>
      </c>
      <c r="E73" s="462">
        <v>1700</v>
      </c>
    </row>
    <row r="74" spans="1:5" s="218" customFormat="1" ht="11.25" customHeight="1" x14ac:dyDescent="0.2">
      <c r="A74" s="747" t="s">
        <v>268</v>
      </c>
      <c r="B74" s="937"/>
      <c r="C74" s="241">
        <v>41925</v>
      </c>
      <c r="D74" s="241">
        <v>41926</v>
      </c>
      <c r="E74" s="462">
        <v>1140</v>
      </c>
    </row>
    <row r="75" spans="1:5" s="218" customFormat="1" ht="11.25" customHeight="1" x14ac:dyDescent="0.2">
      <c r="A75" s="345"/>
      <c r="B75" s="484"/>
      <c r="C75" s="241"/>
      <c r="D75" s="241"/>
      <c r="E75" s="462"/>
    </row>
    <row r="76" spans="1:5" s="218" customFormat="1" ht="11.25" customHeight="1" x14ac:dyDescent="0.2">
      <c r="A76" s="747" t="s">
        <v>273</v>
      </c>
      <c r="B76" s="937"/>
      <c r="C76" s="241">
        <v>41955</v>
      </c>
      <c r="D76" s="241">
        <v>41957</v>
      </c>
      <c r="E76" s="462">
        <v>-200000</v>
      </c>
    </row>
    <row r="77" spans="1:5" s="218" customFormat="1" ht="11.25" customHeight="1" x14ac:dyDescent="0.2">
      <c r="A77" s="747" t="s">
        <v>269</v>
      </c>
      <c r="B77" s="796"/>
      <c r="C77" s="241">
        <v>41955</v>
      </c>
      <c r="D77" s="241">
        <v>41957</v>
      </c>
      <c r="E77" s="462">
        <v>36669</v>
      </c>
    </row>
    <row r="78" spans="1:5" s="218" customFormat="1" ht="11.25" customHeight="1" x14ac:dyDescent="0.2">
      <c r="A78" s="942" t="s">
        <v>275</v>
      </c>
      <c r="B78" s="943"/>
      <c r="C78" s="241">
        <v>41955</v>
      </c>
      <c r="D78" s="241">
        <v>41957</v>
      </c>
      <c r="E78" s="462">
        <v>163331</v>
      </c>
    </row>
    <row r="79" spans="1:5" s="218" customFormat="1" ht="11.25" customHeight="1" x14ac:dyDescent="0.2">
      <c r="A79" s="479"/>
      <c r="B79" s="480"/>
      <c r="C79" s="241"/>
      <c r="D79" s="241"/>
      <c r="E79" s="462"/>
    </row>
    <row r="80" spans="1:5" s="218" customFormat="1" ht="11.25" customHeight="1" x14ac:dyDescent="0.2">
      <c r="A80" s="747" t="s">
        <v>274</v>
      </c>
      <c r="B80" s="796"/>
      <c r="C80" s="241"/>
      <c r="D80" s="241">
        <v>41973</v>
      </c>
      <c r="E80" s="462">
        <v>-28610</v>
      </c>
    </row>
    <row r="81" spans="1:9" s="218" customFormat="1" ht="11.25" customHeight="1" x14ac:dyDescent="0.2">
      <c r="A81" s="747" t="s">
        <v>260</v>
      </c>
      <c r="B81" s="796"/>
      <c r="C81" s="241"/>
      <c r="D81" s="241">
        <v>41973</v>
      </c>
      <c r="E81" s="462">
        <v>28610</v>
      </c>
    </row>
    <row r="82" spans="1:9" s="218" customFormat="1" ht="11.25" customHeight="1" x14ac:dyDescent="0.2">
      <c r="A82" s="345"/>
      <c r="B82" s="346"/>
      <c r="C82" s="241"/>
      <c r="D82" s="241"/>
      <c r="E82" s="462"/>
    </row>
    <row r="83" spans="1:9" s="218" customFormat="1" ht="11.25" customHeight="1" x14ac:dyDescent="0.2">
      <c r="A83" s="747" t="s">
        <v>258</v>
      </c>
      <c r="B83" s="938"/>
      <c r="C83" s="241"/>
      <c r="D83" s="241">
        <v>41973</v>
      </c>
      <c r="E83" s="462">
        <v>55634</v>
      </c>
    </row>
    <row r="84" spans="1:9" s="218" customFormat="1" ht="11.25" customHeight="1" x14ac:dyDescent="0.2">
      <c r="A84" s="747" t="s">
        <v>260</v>
      </c>
      <c r="B84" s="796"/>
      <c r="C84" s="241"/>
      <c r="D84" s="241">
        <v>41973</v>
      </c>
      <c r="E84" s="462">
        <v>55634</v>
      </c>
    </row>
    <row r="85" spans="1:9" s="218" customFormat="1" ht="11.25" customHeight="1" x14ac:dyDescent="0.2">
      <c r="A85" s="345"/>
      <c r="B85" s="346"/>
      <c r="C85" s="241"/>
      <c r="D85" s="241"/>
      <c r="E85" s="462"/>
    </row>
    <row r="86" spans="1:9" s="218" customFormat="1" ht="11.25" customHeight="1" x14ac:dyDescent="0.2">
      <c r="A86" s="747" t="s">
        <v>270</v>
      </c>
      <c r="B86" s="938"/>
      <c r="C86" s="241"/>
      <c r="D86" s="241">
        <v>41973</v>
      </c>
      <c r="E86" s="462">
        <v>59575</v>
      </c>
    </row>
    <row r="87" spans="1:9" s="218" customFormat="1" ht="11.25" customHeight="1" x14ac:dyDescent="0.2">
      <c r="A87" s="747" t="s">
        <v>271</v>
      </c>
      <c r="B87" s="938"/>
      <c r="C87" s="241"/>
      <c r="D87" s="241">
        <v>41973</v>
      </c>
      <c r="E87" s="462">
        <v>59575</v>
      </c>
    </row>
    <row r="88" spans="1:9" s="218" customFormat="1" ht="11.25" customHeight="1" x14ac:dyDescent="0.2">
      <c r="A88" s="345"/>
      <c r="B88" s="483"/>
      <c r="C88" s="241"/>
      <c r="D88" s="241"/>
      <c r="E88" s="462"/>
    </row>
    <row r="89" spans="1:9" s="218" customFormat="1" ht="11.25" customHeight="1" x14ac:dyDescent="0.2">
      <c r="A89" s="747" t="s">
        <v>272</v>
      </c>
      <c r="B89" s="937"/>
      <c r="C89" s="241"/>
      <c r="D89" s="241">
        <v>41973</v>
      </c>
      <c r="E89" s="462">
        <v>55323</v>
      </c>
    </row>
    <row r="90" spans="1:9" s="218" customFormat="1" ht="11.25" x14ac:dyDescent="0.2">
      <c r="A90" s="875" t="s">
        <v>276</v>
      </c>
      <c r="B90" s="875"/>
      <c r="C90" s="241"/>
      <c r="D90" s="241">
        <v>41973</v>
      </c>
      <c r="E90" s="230">
        <v>55323</v>
      </c>
    </row>
    <row r="91" spans="1:9" s="218" customFormat="1" ht="11.25" x14ac:dyDescent="0.2">
      <c r="C91" s="220"/>
    </row>
    <row r="92" spans="1:9" s="218" customFormat="1" ht="11.25" x14ac:dyDescent="0.2">
      <c r="A92" s="794" t="s">
        <v>152</v>
      </c>
      <c r="B92" s="794"/>
      <c r="C92" s="794"/>
      <c r="D92" s="794"/>
      <c r="E92" s="794"/>
      <c r="F92" s="794"/>
      <c r="G92" s="794"/>
      <c r="H92" s="794"/>
      <c r="I92" s="794"/>
    </row>
    <row r="93" spans="1:9" s="218" customFormat="1" ht="11.25" x14ac:dyDescent="0.2"/>
    <row r="94" spans="1:9" s="218" customFormat="1" ht="11.25" x14ac:dyDescent="0.2">
      <c r="A94" s="902" t="s">
        <v>277</v>
      </c>
      <c r="B94" s="903"/>
      <c r="C94" s="903"/>
      <c r="D94" s="903"/>
      <c r="E94" s="903"/>
      <c r="F94" s="903"/>
      <c r="G94" s="903"/>
      <c r="H94" s="903"/>
      <c r="I94" s="904"/>
    </row>
    <row r="95" spans="1:9" s="218" customFormat="1" ht="11.25" x14ac:dyDescent="0.2"/>
    <row r="96" spans="1:9" s="217" customFormat="1" ht="10.5" x14ac:dyDescent="0.15">
      <c r="A96" s="852" t="s">
        <v>153</v>
      </c>
      <c r="B96" s="852"/>
      <c r="C96" s="852"/>
      <c r="D96" s="852"/>
      <c r="E96" s="852"/>
      <c r="F96" s="852"/>
      <c r="G96" s="852"/>
      <c r="H96" s="852"/>
      <c r="I96" s="852"/>
    </row>
    <row r="97" spans="1:9" s="218" customFormat="1" ht="11.25" x14ac:dyDescent="0.2"/>
    <row r="98" spans="1:9" s="218" customFormat="1" ht="47.25" customHeight="1" x14ac:dyDescent="0.2">
      <c r="A98" s="789" t="s">
        <v>278</v>
      </c>
      <c r="B98" s="790"/>
      <c r="C98" s="790"/>
      <c r="D98" s="790"/>
      <c r="E98" s="790"/>
      <c r="F98" s="790"/>
      <c r="G98" s="790"/>
      <c r="H98" s="790"/>
      <c r="I98" s="791"/>
    </row>
    <row r="99" spans="1:9" s="218" customFormat="1" ht="11.25" customHeight="1" x14ac:dyDescent="0.2">
      <c r="A99" s="789" t="s">
        <v>121</v>
      </c>
      <c r="B99" s="790"/>
      <c r="C99" s="790"/>
      <c r="D99" s="790"/>
      <c r="E99" s="790"/>
      <c r="F99" s="790"/>
      <c r="G99" s="790"/>
      <c r="H99" s="790"/>
      <c r="I99" s="791"/>
    </row>
    <row r="100" spans="1:9" s="66" customFormat="1" x14ac:dyDescent="0.2"/>
  </sheetData>
  <mergeCells count="69">
    <mergeCell ref="A98:I98"/>
    <mergeCell ref="A99:I99"/>
    <mergeCell ref="C44:I44"/>
    <mergeCell ref="A54:B54"/>
    <mergeCell ref="A56:B56"/>
    <mergeCell ref="A57:B57"/>
    <mergeCell ref="A59:B59"/>
    <mergeCell ref="A78:B78"/>
    <mergeCell ref="A87:B87"/>
    <mergeCell ref="A89:B89"/>
    <mergeCell ref="A50:B50"/>
    <mergeCell ref="A81:B81"/>
    <mergeCell ref="A84:B84"/>
    <mergeCell ref="A90:B90"/>
    <mergeCell ref="A96:I96"/>
    <mergeCell ref="A74:B74"/>
    <mergeCell ref="A40:I40"/>
    <mergeCell ref="C42:I42"/>
    <mergeCell ref="A70:B70"/>
    <mergeCell ref="A72:B72"/>
    <mergeCell ref="A73:B73"/>
    <mergeCell ref="A63:B63"/>
    <mergeCell ref="A64:B64"/>
    <mergeCell ref="A92:I92"/>
    <mergeCell ref="A94:I94"/>
    <mergeCell ref="A51:B51"/>
    <mergeCell ref="A53:B53"/>
    <mergeCell ref="A69:B69"/>
    <mergeCell ref="A60:B60"/>
    <mergeCell ref="A62:B62"/>
    <mergeCell ref="A76:B76"/>
    <mergeCell ref="A77:B77"/>
    <mergeCell ref="A80:B80"/>
    <mergeCell ref="A83:B83"/>
    <mergeCell ref="A86:B86"/>
    <mergeCell ref="A7:B7"/>
    <mergeCell ref="D7:I7"/>
    <mergeCell ref="F24:I24"/>
    <mergeCell ref="F25:I25"/>
    <mergeCell ref="F26:I26"/>
    <mergeCell ref="A11:I11"/>
    <mergeCell ref="A15:A16"/>
    <mergeCell ref="A19:I19"/>
    <mergeCell ref="F21:I21"/>
    <mergeCell ref="F22:I22"/>
    <mergeCell ref="F23:I23"/>
    <mergeCell ref="A8:B8"/>
    <mergeCell ref="D8:I8"/>
    <mergeCell ref="C32:I32"/>
    <mergeCell ref="A66:B66"/>
    <mergeCell ref="A67:B67"/>
    <mergeCell ref="A9:B9"/>
    <mergeCell ref="D9:I9"/>
    <mergeCell ref="A28:I28"/>
    <mergeCell ref="D30:I30"/>
    <mergeCell ref="D31:I31"/>
    <mergeCell ref="C45:I45"/>
    <mergeCell ref="A47:I47"/>
    <mergeCell ref="A49:B49"/>
    <mergeCell ref="C43:I43"/>
    <mergeCell ref="A34:I34"/>
    <mergeCell ref="D36:I36"/>
    <mergeCell ref="D37:I37"/>
    <mergeCell ref="C38:I38"/>
    <mergeCell ref="A3:I3"/>
    <mergeCell ref="A5:B5"/>
    <mergeCell ref="D5:I5"/>
    <mergeCell ref="A6:B6"/>
    <mergeCell ref="D6:I6"/>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 enableFormatConditionsCalculation="0">
    <tabColor rgb="FF92D050"/>
  </sheetPr>
  <dimension ref="A1:X68"/>
  <sheetViews>
    <sheetView tabSelected="1" zoomScaleNormal="100" workbookViewId="0"/>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833" t="s">
        <v>93</v>
      </c>
      <c r="B1" s="833"/>
      <c r="C1" s="833"/>
      <c r="D1" s="833"/>
      <c r="E1" s="833"/>
      <c r="F1" s="833"/>
      <c r="G1" s="833"/>
      <c r="H1" s="833"/>
      <c r="I1" s="833"/>
      <c r="J1" s="833"/>
      <c r="K1" s="833"/>
      <c r="L1" s="833"/>
      <c r="M1" s="833"/>
      <c r="N1" s="833"/>
      <c r="O1" s="833"/>
      <c r="P1" s="833"/>
      <c r="Q1" s="833"/>
      <c r="R1" s="833"/>
      <c r="S1" s="833"/>
      <c r="T1" s="833"/>
      <c r="U1" s="833"/>
      <c r="V1" s="833"/>
      <c r="W1" s="833"/>
      <c r="X1" s="833"/>
    </row>
    <row r="3" spans="1:24" s="6" customFormat="1" ht="9.75" customHeight="1" x14ac:dyDescent="0.2">
      <c r="A3" s="824" t="s">
        <v>40</v>
      </c>
      <c r="B3" s="837" t="s">
        <v>41</v>
      </c>
      <c r="C3" s="838"/>
      <c r="D3" s="843" t="s">
        <v>42</v>
      </c>
      <c r="E3" s="834" t="s">
        <v>34</v>
      </c>
      <c r="F3" s="835"/>
      <c r="G3" s="835"/>
      <c r="H3" s="835"/>
      <c r="I3" s="836"/>
      <c r="J3" s="834" t="s">
        <v>39</v>
      </c>
      <c r="K3" s="835"/>
      <c r="L3" s="835"/>
      <c r="M3" s="835"/>
      <c r="N3" s="836"/>
      <c r="O3" s="834" t="s">
        <v>43</v>
      </c>
      <c r="P3" s="835"/>
      <c r="Q3" s="835"/>
      <c r="R3" s="835"/>
      <c r="S3" s="836"/>
      <c r="T3" s="834" t="s">
        <v>38</v>
      </c>
      <c r="U3" s="835"/>
      <c r="V3" s="835"/>
      <c r="W3" s="835"/>
      <c r="X3" s="836"/>
    </row>
    <row r="4" spans="1:24" s="7" customFormat="1" ht="9.75" customHeight="1" x14ac:dyDescent="0.2">
      <c r="A4" s="845"/>
      <c r="B4" s="839"/>
      <c r="C4" s="840"/>
      <c r="D4" s="844"/>
      <c r="E4" s="819" t="s">
        <v>44</v>
      </c>
      <c r="F4" s="821" t="s">
        <v>129</v>
      </c>
      <c r="G4" s="822"/>
      <c r="H4" s="823"/>
      <c r="I4" s="824" t="s">
        <v>130</v>
      </c>
      <c r="J4" s="819" t="s">
        <v>44</v>
      </c>
      <c r="K4" s="821" t="s">
        <v>129</v>
      </c>
      <c r="L4" s="822"/>
      <c r="M4" s="823"/>
      <c r="N4" s="824" t="s">
        <v>130</v>
      </c>
      <c r="O4" s="819" t="s">
        <v>44</v>
      </c>
      <c r="P4" s="821" t="s">
        <v>129</v>
      </c>
      <c r="Q4" s="822"/>
      <c r="R4" s="823"/>
      <c r="S4" s="824" t="s">
        <v>130</v>
      </c>
      <c r="T4" s="819" t="s">
        <v>44</v>
      </c>
      <c r="U4" s="821" t="s">
        <v>129</v>
      </c>
      <c r="V4" s="822"/>
      <c r="W4" s="823"/>
      <c r="X4" s="824" t="s">
        <v>130</v>
      </c>
    </row>
    <row r="5" spans="1:24" s="8" customFormat="1" ht="9.75" customHeight="1" x14ac:dyDescent="0.2">
      <c r="A5" s="846"/>
      <c r="B5" s="841"/>
      <c r="C5" s="842"/>
      <c r="D5" s="898"/>
      <c r="E5" s="896"/>
      <c r="F5" s="18" t="s">
        <v>35</v>
      </c>
      <c r="G5" s="19" t="s">
        <v>36</v>
      </c>
      <c r="H5" s="18" t="s">
        <v>37</v>
      </c>
      <c r="I5" s="897"/>
      <c r="J5" s="896"/>
      <c r="K5" s="18" t="s">
        <v>35</v>
      </c>
      <c r="L5" s="19" t="s">
        <v>36</v>
      </c>
      <c r="M5" s="18" t="s">
        <v>37</v>
      </c>
      <c r="N5" s="897"/>
      <c r="O5" s="896"/>
      <c r="P5" s="18" t="s">
        <v>35</v>
      </c>
      <c r="Q5" s="19" t="s">
        <v>36</v>
      </c>
      <c r="R5" s="18" t="s">
        <v>37</v>
      </c>
      <c r="S5" s="897"/>
      <c r="T5" s="896"/>
      <c r="U5" s="18" t="s">
        <v>35</v>
      </c>
      <c r="V5" s="19" t="s">
        <v>36</v>
      </c>
      <c r="W5" s="18" t="s">
        <v>37</v>
      </c>
      <c r="X5" s="897"/>
    </row>
    <row r="6" spans="1:24" s="6" customFormat="1" ht="9.75" customHeight="1" x14ac:dyDescent="0.2">
      <c r="A6" s="33" t="s">
        <v>0</v>
      </c>
      <c r="B6" s="826" t="s">
        <v>1</v>
      </c>
      <c r="C6" s="826"/>
      <c r="D6" s="22" t="s">
        <v>25</v>
      </c>
      <c r="E6" s="67">
        <f>SUM(E7:E9)</f>
        <v>11512540</v>
      </c>
      <c r="F6" s="67">
        <f>SUM(F7:F9)</f>
        <v>11909316</v>
      </c>
      <c r="G6" s="67">
        <f>SUM(G7:G9)</f>
        <v>11912690</v>
      </c>
      <c r="H6" s="28">
        <f t="shared" ref="H6:H36" si="0">G6/F6*100</f>
        <v>100.02833076223689</v>
      </c>
      <c r="I6" s="67">
        <f>SUM(I7:I9)</f>
        <v>11628990</v>
      </c>
      <c r="J6" s="67">
        <f>SUM(J7:J9)</f>
        <v>5221940</v>
      </c>
      <c r="K6" s="67">
        <f t="shared" ref="K6:X6" si="1">SUM(K7:K9)</f>
        <v>5530057</v>
      </c>
      <c r="L6" s="67">
        <f t="shared" si="1"/>
        <v>5533431</v>
      </c>
      <c r="M6" s="28">
        <f t="shared" ref="M6:M33" si="2">L6/K6*100</f>
        <v>100.0610120293516</v>
      </c>
      <c r="N6" s="68">
        <f t="shared" si="1"/>
        <v>5476190</v>
      </c>
      <c r="O6" s="67">
        <f t="shared" si="1"/>
        <v>6290600</v>
      </c>
      <c r="P6" s="67">
        <f t="shared" si="1"/>
        <v>6379259</v>
      </c>
      <c r="Q6" s="67">
        <f t="shared" si="1"/>
        <v>6379259</v>
      </c>
      <c r="R6" s="28">
        <f t="shared" ref="R6:R33" si="3">Q6/P6*100</f>
        <v>100</v>
      </c>
      <c r="S6" s="67">
        <f t="shared" si="1"/>
        <v>6152800</v>
      </c>
      <c r="T6" s="67">
        <f t="shared" si="1"/>
        <v>40740</v>
      </c>
      <c r="U6" s="67">
        <f t="shared" si="1"/>
        <v>40740</v>
      </c>
      <c r="V6" s="67">
        <f t="shared" si="1"/>
        <v>40740</v>
      </c>
      <c r="W6" s="28">
        <f t="shared" ref="W6:W33" si="4">V6/U6*100</f>
        <v>100</v>
      </c>
      <c r="X6" s="67">
        <f t="shared" si="1"/>
        <v>0</v>
      </c>
    </row>
    <row r="7" spans="1:24" s="6" customFormat="1" ht="9.9499999999999993" customHeight="1" x14ac:dyDescent="0.2">
      <c r="A7" s="34" t="s">
        <v>2</v>
      </c>
      <c r="B7" s="827" t="s">
        <v>47</v>
      </c>
      <c r="C7" s="828"/>
      <c r="D7" s="55" t="s">
        <v>25</v>
      </c>
      <c r="E7" s="70">
        <f t="shared" ref="E7:G10" si="5">SUM(J7,O7)</f>
        <v>2912000</v>
      </c>
      <c r="F7" s="71">
        <f t="shared" si="5"/>
        <v>3261000</v>
      </c>
      <c r="G7" s="71">
        <v>3264374</v>
      </c>
      <c r="H7" s="10">
        <f t="shared" si="0"/>
        <v>100.10346519472554</v>
      </c>
      <c r="I7" s="72">
        <v>3277013</v>
      </c>
      <c r="J7" s="73">
        <v>2912000</v>
      </c>
      <c r="K7" s="74">
        <v>3261000</v>
      </c>
      <c r="L7" s="74">
        <v>3264374</v>
      </c>
      <c r="M7" s="10">
        <f t="shared" si="2"/>
        <v>100.10346519472554</v>
      </c>
      <c r="N7" s="75">
        <v>3277013</v>
      </c>
      <c r="O7" s="76"/>
      <c r="P7" s="74">
        <v>0</v>
      </c>
      <c r="Q7" s="74"/>
      <c r="R7" s="10" t="e">
        <f t="shared" si="3"/>
        <v>#DIV/0!</v>
      </c>
      <c r="S7" s="75"/>
      <c r="T7" s="76">
        <v>40740</v>
      </c>
      <c r="U7" s="74">
        <v>40740</v>
      </c>
      <c r="V7" s="74">
        <v>40740</v>
      </c>
      <c r="W7" s="10">
        <f t="shared" si="4"/>
        <v>100</v>
      </c>
      <c r="X7" s="122">
        <v>0</v>
      </c>
    </row>
    <row r="8" spans="1:24" s="6" customFormat="1" ht="9.9499999999999993" customHeight="1" x14ac:dyDescent="0.2">
      <c r="A8" s="35" t="s">
        <v>3</v>
      </c>
      <c r="B8" s="829" t="s">
        <v>48</v>
      </c>
      <c r="C8" s="830"/>
      <c r="D8" s="56" t="s">
        <v>25</v>
      </c>
      <c r="E8" s="77">
        <f t="shared" si="5"/>
        <v>40940</v>
      </c>
      <c r="F8" s="78">
        <f t="shared" si="5"/>
        <v>57</v>
      </c>
      <c r="G8" s="78">
        <f t="shared" si="5"/>
        <v>57</v>
      </c>
      <c r="H8" s="11">
        <f t="shared" si="0"/>
        <v>100</v>
      </c>
      <c r="I8" s="79">
        <v>177</v>
      </c>
      <c r="J8" s="80">
        <v>40940</v>
      </c>
      <c r="K8" s="78">
        <v>57</v>
      </c>
      <c r="L8" s="78">
        <v>57</v>
      </c>
      <c r="M8" s="11">
        <f t="shared" si="2"/>
        <v>100</v>
      </c>
      <c r="N8" s="79">
        <v>177</v>
      </c>
      <c r="O8" s="77"/>
      <c r="P8" s="78"/>
      <c r="Q8" s="78"/>
      <c r="R8" s="11" t="e">
        <f t="shared" si="3"/>
        <v>#DIV/0!</v>
      </c>
      <c r="S8" s="79"/>
      <c r="T8" s="77"/>
      <c r="U8" s="78"/>
      <c r="V8" s="78"/>
      <c r="W8" s="11" t="e">
        <f t="shared" si="4"/>
        <v>#DIV/0!</v>
      </c>
      <c r="X8" s="81"/>
    </row>
    <row r="9" spans="1:24" s="6" customFormat="1" ht="9.9499999999999993" customHeight="1" x14ac:dyDescent="0.2">
      <c r="A9" s="36" t="s">
        <v>4</v>
      </c>
      <c r="B9" s="44" t="s">
        <v>66</v>
      </c>
      <c r="C9" s="45"/>
      <c r="D9" s="57" t="s">
        <v>25</v>
      </c>
      <c r="E9" s="82">
        <f t="shared" si="5"/>
        <v>8559600</v>
      </c>
      <c r="F9" s="83">
        <f t="shared" si="5"/>
        <v>8648259</v>
      </c>
      <c r="G9" s="83">
        <f t="shared" si="5"/>
        <v>8648259</v>
      </c>
      <c r="H9" s="31">
        <f t="shared" si="0"/>
        <v>100</v>
      </c>
      <c r="I9" s="84">
        <v>8351800</v>
      </c>
      <c r="J9" s="85">
        <v>2269000</v>
      </c>
      <c r="K9" s="83">
        <v>2269000</v>
      </c>
      <c r="L9" s="83">
        <v>2269000</v>
      </c>
      <c r="M9" s="31">
        <f t="shared" si="2"/>
        <v>100</v>
      </c>
      <c r="N9" s="84">
        <v>2199000</v>
      </c>
      <c r="O9" s="82">
        <v>6290600</v>
      </c>
      <c r="P9" s="83">
        <v>6379259</v>
      </c>
      <c r="Q9" s="83">
        <v>6379259</v>
      </c>
      <c r="R9" s="31">
        <f t="shared" si="3"/>
        <v>100</v>
      </c>
      <c r="S9" s="84">
        <v>6152800</v>
      </c>
      <c r="T9" s="82"/>
      <c r="U9" s="83"/>
      <c r="V9" s="83"/>
      <c r="W9" s="31" t="e">
        <f t="shared" si="4"/>
        <v>#DIV/0!</v>
      </c>
      <c r="X9" s="86"/>
    </row>
    <row r="10" spans="1:24" s="6" customFormat="1" ht="9.9499999999999993" customHeight="1" x14ac:dyDescent="0.2">
      <c r="A10" s="33" t="s">
        <v>5</v>
      </c>
      <c r="B10" s="826" t="s">
        <v>7</v>
      </c>
      <c r="C10" s="826"/>
      <c r="D10" s="23" t="s">
        <v>25</v>
      </c>
      <c r="E10" s="87">
        <f t="shared" si="5"/>
        <v>0</v>
      </c>
      <c r="F10" s="87">
        <f t="shared" si="5"/>
        <v>0</v>
      </c>
      <c r="G10" s="87">
        <f t="shared" si="5"/>
        <v>0</v>
      </c>
      <c r="H10" s="28" t="e">
        <f t="shared" si="0"/>
        <v>#DIV/0!</v>
      </c>
      <c r="I10" s="88">
        <f>SUM(N10,S10)</f>
        <v>0</v>
      </c>
      <c r="J10" s="69"/>
      <c r="K10" s="87"/>
      <c r="L10" s="87"/>
      <c r="M10" s="28" t="e">
        <f t="shared" si="2"/>
        <v>#DIV/0!</v>
      </c>
      <c r="N10" s="88"/>
      <c r="O10" s="87"/>
      <c r="P10" s="87"/>
      <c r="Q10" s="87"/>
      <c r="R10" s="28" t="e">
        <f t="shared" si="3"/>
        <v>#DIV/0!</v>
      </c>
      <c r="S10" s="88"/>
      <c r="T10" s="87"/>
      <c r="U10" s="87"/>
      <c r="V10" s="87"/>
      <c r="W10" s="28" t="e">
        <f t="shared" si="4"/>
        <v>#DIV/0!</v>
      </c>
      <c r="X10" s="87"/>
    </row>
    <row r="11" spans="1:24" s="6" customFormat="1" ht="9.9499999999999993" customHeight="1" x14ac:dyDescent="0.2">
      <c r="A11" s="33" t="s">
        <v>6</v>
      </c>
      <c r="B11" s="826" t="s">
        <v>9</v>
      </c>
      <c r="C11" s="826"/>
      <c r="D11" s="23" t="s">
        <v>25</v>
      </c>
      <c r="E11" s="67">
        <f>SUM(E12:E30)</f>
        <v>11512540</v>
      </c>
      <c r="F11" s="67">
        <f>SUM(F12:F30)</f>
        <v>11909316</v>
      </c>
      <c r="G11" s="67">
        <f>SUM(G12:G30)</f>
        <v>11722278</v>
      </c>
      <c r="H11" s="28">
        <f t="shared" si="0"/>
        <v>98.429481592393714</v>
      </c>
      <c r="I11" s="68">
        <f>SUM(I12:I30)</f>
        <v>11441023</v>
      </c>
      <c r="J11" s="67">
        <f>SUM(J12:J30)</f>
        <v>5221940</v>
      </c>
      <c r="K11" s="67">
        <f>SUM(K12:K30)</f>
        <v>5530057</v>
      </c>
      <c r="L11" s="67">
        <f>SUM(L12:L30)</f>
        <v>5343019</v>
      </c>
      <c r="M11" s="28">
        <f t="shared" si="2"/>
        <v>96.617792547165422</v>
      </c>
      <c r="N11" s="68">
        <f>SUM(N12:N30)</f>
        <v>5288223</v>
      </c>
      <c r="O11" s="67">
        <f>SUM(O12:O30)</f>
        <v>6290600</v>
      </c>
      <c r="P11" s="67">
        <f>SUM(P12:P30)</f>
        <v>6379259</v>
      </c>
      <c r="Q11" s="67">
        <f>SUM(Q12:Q30)</f>
        <v>6379259</v>
      </c>
      <c r="R11" s="28">
        <f t="shared" si="3"/>
        <v>100</v>
      </c>
      <c r="S11" s="68">
        <f>SUM(S12:S30)</f>
        <v>6152800</v>
      </c>
      <c r="T11" s="67">
        <f>SUM(T12:T30)</f>
        <v>15000</v>
      </c>
      <c r="U11" s="67">
        <f>SUM(U12:U30)</f>
        <v>32000</v>
      </c>
      <c r="V11" s="67">
        <f>SUM(V12:V30)</f>
        <v>32000</v>
      </c>
      <c r="W11" s="28">
        <f t="shared" si="4"/>
        <v>100</v>
      </c>
      <c r="X11" s="67">
        <f>SUM(X12:X30)</f>
        <v>0</v>
      </c>
    </row>
    <row r="12" spans="1:24" s="6" customFormat="1" ht="9.9499999999999993" customHeight="1" x14ac:dyDescent="0.2">
      <c r="A12" s="37" t="s">
        <v>8</v>
      </c>
      <c r="B12" s="831" t="s">
        <v>28</v>
      </c>
      <c r="C12" s="832"/>
      <c r="D12" s="58" t="s">
        <v>25</v>
      </c>
      <c r="E12" s="70">
        <f t="shared" ref="E12:G27" si="6">SUM(J12,O12)</f>
        <v>3024559</v>
      </c>
      <c r="F12" s="71">
        <f t="shared" si="6"/>
        <v>3092854</v>
      </c>
      <c r="G12" s="71">
        <f t="shared" si="6"/>
        <v>3092804</v>
      </c>
      <c r="H12" s="10">
        <f t="shared" si="0"/>
        <v>99.998383370181728</v>
      </c>
      <c r="I12" s="72">
        <v>2977374</v>
      </c>
      <c r="J12" s="89">
        <v>2986524</v>
      </c>
      <c r="K12" s="90">
        <v>3082768</v>
      </c>
      <c r="L12" s="90">
        <v>3082718</v>
      </c>
      <c r="M12" s="10">
        <f t="shared" si="2"/>
        <v>99.998378080997341</v>
      </c>
      <c r="N12" s="91">
        <v>2972546</v>
      </c>
      <c r="O12" s="92">
        <v>38035</v>
      </c>
      <c r="P12" s="90">
        <v>10086</v>
      </c>
      <c r="Q12" s="90">
        <v>10086</v>
      </c>
      <c r="R12" s="10">
        <f t="shared" si="3"/>
        <v>100</v>
      </c>
      <c r="S12" s="93">
        <v>4828</v>
      </c>
      <c r="T12" s="92"/>
      <c r="U12" s="90"/>
      <c r="V12" s="90"/>
      <c r="W12" s="10" t="e">
        <f t="shared" si="4"/>
        <v>#DIV/0!</v>
      </c>
      <c r="X12" s="94"/>
    </row>
    <row r="13" spans="1:24" s="6" customFormat="1" ht="9.9499999999999993" customHeight="1" x14ac:dyDescent="0.2">
      <c r="A13" s="38" t="s">
        <v>10</v>
      </c>
      <c r="B13" s="815" t="s">
        <v>29</v>
      </c>
      <c r="C13" s="816"/>
      <c r="D13" s="56" t="s">
        <v>25</v>
      </c>
      <c r="E13" s="77">
        <f t="shared" si="6"/>
        <v>1207000</v>
      </c>
      <c r="F13" s="78">
        <f t="shared" si="6"/>
        <v>1007000</v>
      </c>
      <c r="G13" s="78">
        <f t="shared" si="6"/>
        <v>832120</v>
      </c>
      <c r="H13" s="11">
        <f t="shared" si="0"/>
        <v>82.633565044687188</v>
      </c>
      <c r="I13" s="79">
        <v>1206996</v>
      </c>
      <c r="J13" s="95">
        <v>1207000</v>
      </c>
      <c r="K13" s="78">
        <v>1007000</v>
      </c>
      <c r="L13" s="78">
        <v>832120</v>
      </c>
      <c r="M13" s="11">
        <f t="shared" si="2"/>
        <v>82.633565044687188</v>
      </c>
      <c r="N13" s="79">
        <v>1206996</v>
      </c>
      <c r="O13" s="77"/>
      <c r="P13" s="78"/>
      <c r="Q13" s="78"/>
      <c r="R13" s="11" t="e">
        <f t="shared" si="3"/>
        <v>#DIV/0!</v>
      </c>
      <c r="S13" s="79"/>
      <c r="T13" s="77"/>
      <c r="U13" s="78"/>
      <c r="V13" s="78"/>
      <c r="W13" s="11" t="e">
        <f t="shared" si="4"/>
        <v>#DIV/0!</v>
      </c>
      <c r="X13" s="81"/>
    </row>
    <row r="14" spans="1:24" s="6" customFormat="1" ht="9.9499999999999993" customHeight="1" x14ac:dyDescent="0.2">
      <c r="A14" s="38" t="s">
        <v>11</v>
      </c>
      <c r="B14" s="46" t="s">
        <v>67</v>
      </c>
      <c r="C14" s="47"/>
      <c r="D14" s="56" t="s">
        <v>25</v>
      </c>
      <c r="E14" s="77">
        <f t="shared" si="6"/>
        <v>0</v>
      </c>
      <c r="F14" s="78">
        <f t="shared" si="6"/>
        <v>0</v>
      </c>
      <c r="G14" s="78">
        <f t="shared" si="6"/>
        <v>0</v>
      </c>
      <c r="H14" s="11" t="e">
        <f t="shared" si="0"/>
        <v>#DIV/0!</v>
      </c>
      <c r="I14" s="79">
        <v>0</v>
      </c>
      <c r="J14" s="95"/>
      <c r="K14" s="78"/>
      <c r="L14" s="78"/>
      <c r="M14" s="11" t="e">
        <f t="shared" si="2"/>
        <v>#DIV/0!</v>
      </c>
      <c r="N14" s="79">
        <v>0</v>
      </c>
      <c r="O14" s="77"/>
      <c r="P14" s="78"/>
      <c r="Q14" s="78"/>
      <c r="R14" s="11" t="e">
        <f t="shared" si="3"/>
        <v>#DIV/0!</v>
      </c>
      <c r="S14" s="79"/>
      <c r="T14" s="77"/>
      <c r="U14" s="78"/>
      <c r="V14" s="78"/>
      <c r="W14" s="11" t="e">
        <f t="shared" si="4"/>
        <v>#DIV/0!</v>
      </c>
      <c r="X14" s="81"/>
    </row>
    <row r="15" spans="1:24" s="6" customFormat="1" ht="9.9499999999999993" customHeight="1" x14ac:dyDescent="0.2">
      <c r="A15" s="38" t="s">
        <v>12</v>
      </c>
      <c r="B15" s="815" t="s">
        <v>68</v>
      </c>
      <c r="C15" s="816"/>
      <c r="D15" s="56" t="s">
        <v>25</v>
      </c>
      <c r="E15" s="77">
        <f t="shared" si="6"/>
        <v>305000</v>
      </c>
      <c r="F15" s="78">
        <f t="shared" si="6"/>
        <v>261400</v>
      </c>
      <c r="G15" s="78">
        <f t="shared" si="6"/>
        <v>260335</v>
      </c>
      <c r="H15" s="11">
        <f t="shared" si="0"/>
        <v>99.592578423871458</v>
      </c>
      <c r="I15" s="79">
        <v>296723</v>
      </c>
      <c r="J15" s="95">
        <v>305000</v>
      </c>
      <c r="K15" s="103">
        <v>261400</v>
      </c>
      <c r="L15" s="78">
        <v>260335</v>
      </c>
      <c r="M15" s="11">
        <f t="shared" si="2"/>
        <v>99.592578423871458</v>
      </c>
      <c r="N15" s="79">
        <v>296723</v>
      </c>
      <c r="O15" s="77"/>
      <c r="P15" s="78"/>
      <c r="Q15" s="78"/>
      <c r="R15" s="11" t="e">
        <f t="shared" si="3"/>
        <v>#DIV/0!</v>
      </c>
      <c r="S15" s="79"/>
      <c r="T15" s="77">
        <v>10000</v>
      </c>
      <c r="U15" s="78">
        <v>32000</v>
      </c>
      <c r="V15" s="78">
        <v>32000</v>
      </c>
      <c r="W15" s="11">
        <f t="shared" si="4"/>
        <v>100</v>
      </c>
      <c r="X15" s="81">
        <v>0</v>
      </c>
    </row>
    <row r="16" spans="1:24" s="6" customFormat="1" ht="9.9499999999999993" customHeight="1" x14ac:dyDescent="0.2">
      <c r="A16" s="38" t="s">
        <v>13</v>
      </c>
      <c r="B16" s="815" t="s">
        <v>30</v>
      </c>
      <c r="C16" s="816"/>
      <c r="D16" s="56" t="s">
        <v>25</v>
      </c>
      <c r="E16" s="77">
        <f t="shared" si="6"/>
        <v>9600</v>
      </c>
      <c r="F16" s="78">
        <f t="shared" si="6"/>
        <v>2204</v>
      </c>
      <c r="G16" s="78">
        <f t="shared" si="6"/>
        <v>2204</v>
      </c>
      <c r="H16" s="11">
        <f t="shared" si="0"/>
        <v>100</v>
      </c>
      <c r="I16" s="79">
        <v>3752</v>
      </c>
      <c r="J16" s="95">
        <v>5000</v>
      </c>
      <c r="K16" s="103">
        <v>2204</v>
      </c>
      <c r="L16" s="78">
        <v>2204</v>
      </c>
      <c r="M16" s="11">
        <f t="shared" si="2"/>
        <v>100</v>
      </c>
      <c r="N16" s="79">
        <v>3752</v>
      </c>
      <c r="O16" s="77">
        <v>4600</v>
      </c>
      <c r="P16" s="78">
        <v>0</v>
      </c>
      <c r="Q16" s="78"/>
      <c r="R16" s="11" t="e">
        <f t="shared" si="3"/>
        <v>#DIV/0!</v>
      </c>
      <c r="S16" s="79"/>
      <c r="T16" s="77"/>
      <c r="U16" s="78"/>
      <c r="V16" s="78"/>
      <c r="W16" s="11" t="e">
        <f t="shared" si="4"/>
        <v>#DIV/0!</v>
      </c>
      <c r="X16" s="81"/>
    </row>
    <row r="17" spans="1:24" s="6" customFormat="1" ht="9.9499999999999993" customHeight="1" x14ac:dyDescent="0.2">
      <c r="A17" s="38" t="s">
        <v>14</v>
      </c>
      <c r="B17" s="46" t="s">
        <v>49</v>
      </c>
      <c r="C17" s="47"/>
      <c r="D17" s="56" t="s">
        <v>25</v>
      </c>
      <c r="E17" s="77">
        <f t="shared" si="6"/>
        <v>0</v>
      </c>
      <c r="F17" s="78">
        <f t="shared" si="6"/>
        <v>0</v>
      </c>
      <c r="G17" s="78">
        <f t="shared" si="6"/>
        <v>0</v>
      </c>
      <c r="H17" s="11" t="e">
        <f t="shared" si="0"/>
        <v>#DIV/0!</v>
      </c>
      <c r="I17" s="79">
        <v>0</v>
      </c>
      <c r="J17" s="95"/>
      <c r="K17" s="78"/>
      <c r="L17" s="78"/>
      <c r="M17" s="11" t="e">
        <f t="shared" si="2"/>
        <v>#DIV/0!</v>
      </c>
      <c r="N17" s="79">
        <v>0</v>
      </c>
      <c r="O17" s="77"/>
      <c r="P17" s="78"/>
      <c r="Q17" s="78"/>
      <c r="R17" s="11" t="e">
        <f t="shared" si="3"/>
        <v>#DIV/0!</v>
      </c>
      <c r="S17" s="79"/>
      <c r="T17" s="77"/>
      <c r="U17" s="78"/>
      <c r="V17" s="78"/>
      <c r="W17" s="11" t="e">
        <f t="shared" si="4"/>
        <v>#DIV/0!</v>
      </c>
      <c r="X17" s="81"/>
    </row>
    <row r="18" spans="1:24" s="6" customFormat="1" ht="9.9499999999999993" customHeight="1" x14ac:dyDescent="0.2">
      <c r="A18" s="38" t="s">
        <v>15</v>
      </c>
      <c r="B18" s="815" t="s">
        <v>31</v>
      </c>
      <c r="C18" s="816"/>
      <c r="D18" s="56" t="s">
        <v>25</v>
      </c>
      <c r="E18" s="77">
        <f t="shared" si="6"/>
        <v>271768</v>
      </c>
      <c r="F18" s="78">
        <f t="shared" si="6"/>
        <v>271768</v>
      </c>
      <c r="G18" s="78">
        <f t="shared" si="6"/>
        <v>271349</v>
      </c>
      <c r="H18" s="11">
        <f t="shared" si="0"/>
        <v>99.845824379617909</v>
      </c>
      <c r="I18" s="79">
        <v>294479</v>
      </c>
      <c r="J18" s="95">
        <v>271768</v>
      </c>
      <c r="K18" s="78">
        <v>271768</v>
      </c>
      <c r="L18" s="78">
        <v>271349</v>
      </c>
      <c r="M18" s="11">
        <f t="shared" si="2"/>
        <v>99.845824379617909</v>
      </c>
      <c r="N18" s="79">
        <v>289979</v>
      </c>
      <c r="O18" s="77"/>
      <c r="P18" s="78"/>
      <c r="Q18" s="78"/>
      <c r="R18" s="11" t="e">
        <f t="shared" si="3"/>
        <v>#DIV/0!</v>
      </c>
      <c r="S18" s="79">
        <v>4500</v>
      </c>
      <c r="T18" s="77">
        <v>5000</v>
      </c>
      <c r="U18" s="78">
        <v>0</v>
      </c>
      <c r="V18" s="78">
        <v>0</v>
      </c>
      <c r="W18" s="11" t="e">
        <f t="shared" si="4"/>
        <v>#DIV/0!</v>
      </c>
      <c r="X18" s="81">
        <v>0</v>
      </c>
    </row>
    <row r="19" spans="1:24" s="12" customFormat="1" ht="9.9499999999999993" customHeight="1" x14ac:dyDescent="0.2">
      <c r="A19" s="38" t="s">
        <v>16</v>
      </c>
      <c r="B19" s="815" t="s">
        <v>32</v>
      </c>
      <c r="C19" s="816"/>
      <c r="D19" s="56" t="s">
        <v>25</v>
      </c>
      <c r="E19" s="77">
        <f t="shared" si="6"/>
        <v>4807050</v>
      </c>
      <c r="F19" s="78">
        <f t="shared" si="6"/>
        <v>4889546</v>
      </c>
      <c r="G19" s="78">
        <f t="shared" si="6"/>
        <v>4889546</v>
      </c>
      <c r="H19" s="11">
        <f t="shared" si="0"/>
        <v>100</v>
      </c>
      <c r="I19" s="79">
        <v>4772205</v>
      </c>
      <c r="J19" s="96">
        <v>208050</v>
      </c>
      <c r="K19" s="78">
        <v>208050</v>
      </c>
      <c r="L19" s="78">
        <v>208050</v>
      </c>
      <c r="M19" s="11">
        <f t="shared" si="2"/>
        <v>100</v>
      </c>
      <c r="N19" s="79">
        <v>248763</v>
      </c>
      <c r="O19" s="77">
        <v>4599000</v>
      </c>
      <c r="P19" s="78">
        <v>4681496</v>
      </c>
      <c r="Q19" s="78">
        <v>4681496</v>
      </c>
      <c r="R19" s="11">
        <f t="shared" si="3"/>
        <v>100</v>
      </c>
      <c r="S19" s="79">
        <v>4523442</v>
      </c>
      <c r="T19" s="119"/>
      <c r="U19" s="97"/>
      <c r="V19" s="97"/>
      <c r="W19" s="11" t="e">
        <f t="shared" si="4"/>
        <v>#DIV/0!</v>
      </c>
      <c r="X19" s="123"/>
    </row>
    <row r="20" spans="1:24" s="6" customFormat="1" ht="9.9499999999999993" customHeight="1" x14ac:dyDescent="0.2">
      <c r="A20" s="38" t="s">
        <v>17</v>
      </c>
      <c r="B20" s="815" t="s">
        <v>50</v>
      </c>
      <c r="C20" s="816"/>
      <c r="D20" s="56" t="s">
        <v>25</v>
      </c>
      <c r="E20" s="77">
        <f t="shared" si="6"/>
        <v>1653712</v>
      </c>
      <c r="F20" s="78">
        <f t="shared" si="6"/>
        <v>1683968</v>
      </c>
      <c r="G20" s="78">
        <f t="shared" si="6"/>
        <v>1682243</v>
      </c>
      <c r="H20" s="11">
        <f t="shared" si="0"/>
        <v>99.89756337412588</v>
      </c>
      <c r="I20" s="79">
        <v>1609659</v>
      </c>
      <c r="J20" s="95">
        <v>70737</v>
      </c>
      <c r="K20" s="78">
        <v>73577</v>
      </c>
      <c r="L20" s="78">
        <v>71852</v>
      </c>
      <c r="M20" s="11">
        <f t="shared" si="2"/>
        <v>97.655517349171618</v>
      </c>
      <c r="N20" s="79">
        <v>70138</v>
      </c>
      <c r="O20" s="77">
        <v>1582975</v>
      </c>
      <c r="P20" s="78">
        <v>1610391</v>
      </c>
      <c r="Q20" s="78">
        <v>1610391</v>
      </c>
      <c r="R20" s="11">
        <f t="shared" si="3"/>
        <v>100</v>
      </c>
      <c r="S20" s="79">
        <v>1539521</v>
      </c>
      <c r="T20" s="77"/>
      <c r="U20" s="78"/>
      <c r="V20" s="78"/>
      <c r="W20" s="11" t="e">
        <f t="shared" si="4"/>
        <v>#DIV/0!</v>
      </c>
      <c r="X20" s="81"/>
    </row>
    <row r="21" spans="1:24" s="6" customFormat="1" ht="9.9499999999999993" customHeight="1" x14ac:dyDescent="0.2">
      <c r="A21" s="38" t="s">
        <v>18</v>
      </c>
      <c r="B21" s="815" t="s">
        <v>51</v>
      </c>
      <c r="C21" s="816"/>
      <c r="D21" s="56" t="s">
        <v>25</v>
      </c>
      <c r="E21" s="77">
        <f t="shared" si="6"/>
        <v>89809</v>
      </c>
      <c r="F21" s="78">
        <f t="shared" si="6"/>
        <v>98265</v>
      </c>
      <c r="G21" s="78">
        <f t="shared" si="6"/>
        <v>89366</v>
      </c>
      <c r="H21" s="11">
        <f t="shared" si="0"/>
        <v>90.943876252989369</v>
      </c>
      <c r="I21" s="79">
        <v>89834</v>
      </c>
      <c r="J21" s="95">
        <v>23819</v>
      </c>
      <c r="K21" s="103">
        <v>20979</v>
      </c>
      <c r="L21" s="78">
        <v>12080</v>
      </c>
      <c r="M21" s="11">
        <f t="shared" si="2"/>
        <v>57.581390914724253</v>
      </c>
      <c r="N21" s="79">
        <v>9325</v>
      </c>
      <c r="O21" s="77">
        <v>65990</v>
      </c>
      <c r="P21" s="78">
        <v>77286</v>
      </c>
      <c r="Q21" s="78">
        <v>77286</v>
      </c>
      <c r="R21" s="11">
        <f t="shared" si="3"/>
        <v>100</v>
      </c>
      <c r="S21" s="79">
        <v>80509</v>
      </c>
      <c r="T21" s="77"/>
      <c r="U21" s="78"/>
      <c r="V21" s="78"/>
      <c r="W21" s="11" t="e">
        <f t="shared" si="4"/>
        <v>#DIV/0!</v>
      </c>
      <c r="X21" s="81"/>
    </row>
    <row r="22" spans="1:24" s="6" customFormat="1" ht="9.9499999999999993" customHeight="1" x14ac:dyDescent="0.2">
      <c r="A22" s="38" t="s">
        <v>19</v>
      </c>
      <c r="B22" s="815" t="s">
        <v>69</v>
      </c>
      <c r="C22" s="816"/>
      <c r="D22" s="56" t="s">
        <v>25</v>
      </c>
      <c r="E22" s="77">
        <f t="shared" si="6"/>
        <v>0</v>
      </c>
      <c r="F22" s="78">
        <f t="shared" si="6"/>
        <v>0</v>
      </c>
      <c r="G22" s="78">
        <f t="shared" si="6"/>
        <v>0</v>
      </c>
      <c r="H22" s="11" t="e">
        <f t="shared" si="0"/>
        <v>#DIV/0!</v>
      </c>
      <c r="I22" s="79">
        <v>0</v>
      </c>
      <c r="J22" s="95"/>
      <c r="K22" s="78"/>
      <c r="L22" s="78"/>
      <c r="M22" s="11" t="e">
        <f t="shared" si="2"/>
        <v>#DIV/0!</v>
      </c>
      <c r="N22" s="79">
        <v>0</v>
      </c>
      <c r="O22" s="77"/>
      <c r="P22" s="78"/>
      <c r="Q22" s="78"/>
      <c r="R22" s="11" t="e">
        <f t="shared" si="3"/>
        <v>#DIV/0!</v>
      </c>
      <c r="S22" s="79"/>
      <c r="T22" s="77"/>
      <c r="U22" s="78"/>
      <c r="V22" s="78"/>
      <c r="W22" s="11" t="e">
        <f t="shared" si="4"/>
        <v>#DIV/0!</v>
      </c>
      <c r="X22" s="81"/>
    </row>
    <row r="23" spans="1:24" s="6" customFormat="1" ht="9.9499999999999993" customHeight="1" x14ac:dyDescent="0.2">
      <c r="A23" s="38" t="s">
        <v>20</v>
      </c>
      <c r="B23" s="46" t="s">
        <v>70</v>
      </c>
      <c r="C23" s="47"/>
      <c r="D23" s="56" t="s">
        <v>25</v>
      </c>
      <c r="E23" s="77">
        <f t="shared" si="6"/>
        <v>0</v>
      </c>
      <c r="F23" s="78">
        <f t="shared" si="6"/>
        <v>0</v>
      </c>
      <c r="G23" s="78">
        <f t="shared" si="6"/>
        <v>0</v>
      </c>
      <c r="H23" s="11" t="e">
        <f t="shared" si="0"/>
        <v>#DIV/0!</v>
      </c>
      <c r="I23" s="79">
        <v>0</v>
      </c>
      <c r="J23" s="95"/>
      <c r="K23" s="78"/>
      <c r="L23" s="78"/>
      <c r="M23" s="11" t="e">
        <f t="shared" si="2"/>
        <v>#DIV/0!</v>
      </c>
      <c r="N23" s="79">
        <v>0</v>
      </c>
      <c r="O23" s="77"/>
      <c r="P23" s="78"/>
      <c r="Q23" s="78"/>
      <c r="R23" s="11" t="e">
        <f t="shared" si="3"/>
        <v>#DIV/0!</v>
      </c>
      <c r="S23" s="79"/>
      <c r="T23" s="77"/>
      <c r="U23" s="78"/>
      <c r="V23" s="78"/>
      <c r="W23" s="11" t="e">
        <f t="shared" si="4"/>
        <v>#DIV/0!</v>
      </c>
      <c r="X23" s="81"/>
    </row>
    <row r="24" spans="1:24" s="6" customFormat="1" ht="9.9499999999999993" customHeight="1" x14ac:dyDescent="0.2">
      <c r="A24" s="38" t="s">
        <v>21</v>
      </c>
      <c r="B24" s="46" t="s">
        <v>52</v>
      </c>
      <c r="C24" s="47"/>
      <c r="D24" s="56" t="s">
        <v>25</v>
      </c>
      <c r="E24" s="77">
        <f t="shared" si="6"/>
        <v>0</v>
      </c>
      <c r="F24" s="78">
        <f t="shared" si="6"/>
        <v>1938</v>
      </c>
      <c r="G24" s="78">
        <f t="shared" si="6"/>
        <v>1938</v>
      </c>
      <c r="H24" s="11">
        <f t="shared" si="0"/>
        <v>100</v>
      </c>
      <c r="I24" s="79">
        <v>0</v>
      </c>
      <c r="J24" s="95">
        <v>0</v>
      </c>
      <c r="K24" s="78">
        <v>1938</v>
      </c>
      <c r="L24" s="78">
        <v>1938</v>
      </c>
      <c r="M24" s="11">
        <f t="shared" si="2"/>
        <v>100</v>
      </c>
      <c r="N24" s="79">
        <v>0</v>
      </c>
      <c r="O24" s="77"/>
      <c r="P24" s="78"/>
      <c r="Q24" s="78"/>
      <c r="R24" s="11" t="e">
        <f t="shared" si="3"/>
        <v>#DIV/0!</v>
      </c>
      <c r="S24" s="79"/>
      <c r="T24" s="77"/>
      <c r="U24" s="78"/>
      <c r="V24" s="78"/>
      <c r="W24" s="11" t="e">
        <f t="shared" si="4"/>
        <v>#DIV/0!</v>
      </c>
      <c r="X24" s="81"/>
    </row>
    <row r="25" spans="1:24" s="6" customFormat="1" ht="9.9499999999999993" customHeight="1" x14ac:dyDescent="0.2">
      <c r="A25" s="39" t="s">
        <v>22</v>
      </c>
      <c r="B25" s="48" t="s">
        <v>71</v>
      </c>
      <c r="C25" s="49"/>
      <c r="D25" s="56" t="s">
        <v>25</v>
      </c>
      <c r="E25" s="77">
        <f t="shared" si="6"/>
        <v>369</v>
      </c>
      <c r="F25" s="78">
        <f t="shared" si="6"/>
        <v>15359</v>
      </c>
      <c r="G25" s="78">
        <f t="shared" si="6"/>
        <v>15359</v>
      </c>
      <c r="H25" s="11">
        <f t="shared" si="0"/>
        <v>100</v>
      </c>
      <c r="I25" s="79">
        <v>0</v>
      </c>
      <c r="J25" s="95">
        <v>369</v>
      </c>
      <c r="K25" s="98">
        <v>15359</v>
      </c>
      <c r="L25" s="98">
        <v>15359</v>
      </c>
      <c r="M25" s="11">
        <f t="shared" si="2"/>
        <v>100</v>
      </c>
      <c r="N25" s="99">
        <v>0</v>
      </c>
      <c r="O25" s="100"/>
      <c r="P25" s="98"/>
      <c r="Q25" s="98"/>
      <c r="R25" s="11" t="e">
        <f t="shared" si="3"/>
        <v>#DIV/0!</v>
      </c>
      <c r="S25" s="101"/>
      <c r="T25" s="100"/>
      <c r="U25" s="98"/>
      <c r="V25" s="98"/>
      <c r="W25" s="11" t="e">
        <f t="shared" si="4"/>
        <v>#DIV/0!</v>
      </c>
      <c r="X25" s="124"/>
    </row>
    <row r="26" spans="1:24" s="14" customFormat="1" ht="9.9499999999999993" customHeight="1" x14ac:dyDescent="0.2">
      <c r="A26" s="38" t="s">
        <v>23</v>
      </c>
      <c r="B26" s="815" t="s">
        <v>72</v>
      </c>
      <c r="C26" s="816"/>
      <c r="D26" s="56" t="s">
        <v>25</v>
      </c>
      <c r="E26" s="77">
        <f t="shared" si="6"/>
        <v>105673</v>
      </c>
      <c r="F26" s="78">
        <f t="shared" si="6"/>
        <v>119788</v>
      </c>
      <c r="G26" s="78">
        <f t="shared" si="6"/>
        <v>119788</v>
      </c>
      <c r="H26" s="15">
        <f t="shared" si="0"/>
        <v>100</v>
      </c>
      <c r="I26" s="79">
        <v>105673</v>
      </c>
      <c r="J26" s="95">
        <v>105673</v>
      </c>
      <c r="K26" s="103">
        <v>119788</v>
      </c>
      <c r="L26" s="103">
        <v>119788</v>
      </c>
      <c r="M26" s="11">
        <f t="shared" si="2"/>
        <v>100</v>
      </c>
      <c r="N26" s="79">
        <v>105673</v>
      </c>
      <c r="O26" s="102"/>
      <c r="P26" s="103"/>
      <c r="Q26" s="103"/>
      <c r="R26" s="11" t="e">
        <f t="shared" si="3"/>
        <v>#DIV/0!</v>
      </c>
      <c r="S26" s="99"/>
      <c r="T26" s="120"/>
      <c r="U26" s="105"/>
      <c r="V26" s="105"/>
      <c r="W26" s="11" t="e">
        <f t="shared" si="4"/>
        <v>#DIV/0!</v>
      </c>
      <c r="X26" s="125"/>
    </row>
    <row r="27" spans="1:24" s="16" customFormat="1" ht="9.9499999999999993" customHeight="1" x14ac:dyDescent="0.2">
      <c r="A27" s="38" t="s">
        <v>45</v>
      </c>
      <c r="B27" s="46" t="s">
        <v>73</v>
      </c>
      <c r="C27" s="47"/>
      <c r="D27" s="56" t="s">
        <v>25</v>
      </c>
      <c r="E27" s="77">
        <f t="shared" si="6"/>
        <v>38000</v>
      </c>
      <c r="F27" s="78">
        <f t="shared" si="6"/>
        <v>465226</v>
      </c>
      <c r="G27" s="78">
        <f t="shared" si="6"/>
        <v>465226</v>
      </c>
      <c r="H27" s="15">
        <f t="shared" si="0"/>
        <v>100</v>
      </c>
      <c r="I27" s="79">
        <v>47371</v>
      </c>
      <c r="J27" s="95">
        <v>38000</v>
      </c>
      <c r="K27" s="103">
        <v>465226</v>
      </c>
      <c r="L27" s="103">
        <v>465226</v>
      </c>
      <c r="M27" s="11">
        <f t="shared" si="2"/>
        <v>100</v>
      </c>
      <c r="N27" s="99">
        <v>47371</v>
      </c>
      <c r="O27" s="102"/>
      <c r="P27" s="103"/>
      <c r="Q27" s="103"/>
      <c r="R27" s="11" t="e">
        <f t="shared" si="3"/>
        <v>#DIV/0!</v>
      </c>
      <c r="S27" s="99"/>
      <c r="T27" s="120"/>
      <c r="U27" s="105"/>
      <c r="V27" s="105"/>
      <c r="W27" s="11" t="e">
        <f t="shared" si="4"/>
        <v>#DIV/0!</v>
      </c>
      <c r="X27" s="125"/>
    </row>
    <row r="28" spans="1:24" s="14" customFormat="1" ht="9.9499999999999993" customHeight="1" x14ac:dyDescent="0.2">
      <c r="A28" s="38" t="s">
        <v>53</v>
      </c>
      <c r="B28" s="815" t="s">
        <v>74</v>
      </c>
      <c r="C28" s="816"/>
      <c r="D28" s="56" t="s">
        <v>25</v>
      </c>
      <c r="E28" s="77">
        <f t="shared" ref="E28:G30" si="7">SUM(J28,O28)</f>
        <v>0</v>
      </c>
      <c r="F28" s="78">
        <f t="shared" si="7"/>
        <v>0</v>
      </c>
      <c r="G28" s="78">
        <f t="shared" si="7"/>
        <v>0</v>
      </c>
      <c r="H28" s="15" t="e">
        <f t="shared" si="0"/>
        <v>#DIV/0!</v>
      </c>
      <c r="I28" s="79">
        <v>36957</v>
      </c>
      <c r="J28" s="95"/>
      <c r="K28" s="103"/>
      <c r="L28" s="103"/>
      <c r="M28" s="11" t="e">
        <f t="shared" si="2"/>
        <v>#DIV/0!</v>
      </c>
      <c r="N28" s="99">
        <v>36957</v>
      </c>
      <c r="O28" s="102"/>
      <c r="P28" s="103"/>
      <c r="Q28" s="103"/>
      <c r="R28" s="11" t="e">
        <f t="shared" si="3"/>
        <v>#DIV/0!</v>
      </c>
      <c r="S28" s="99"/>
      <c r="T28" s="120"/>
      <c r="U28" s="105"/>
      <c r="V28" s="105"/>
      <c r="W28" s="11" t="e">
        <f t="shared" si="4"/>
        <v>#DIV/0!</v>
      </c>
      <c r="X28" s="125"/>
    </row>
    <row r="29" spans="1:24" s="6" customFormat="1" ht="9.75" x14ac:dyDescent="0.2">
      <c r="A29" s="38" t="s">
        <v>54</v>
      </c>
      <c r="B29" s="46" t="s">
        <v>55</v>
      </c>
      <c r="C29" s="47"/>
      <c r="D29" s="56" t="s">
        <v>25</v>
      </c>
      <c r="E29" s="77">
        <f t="shared" si="7"/>
        <v>0</v>
      </c>
      <c r="F29" s="78">
        <f t="shared" si="7"/>
        <v>0</v>
      </c>
      <c r="G29" s="78">
        <f t="shared" si="7"/>
        <v>0</v>
      </c>
      <c r="H29" s="15" t="e">
        <f t="shared" si="0"/>
        <v>#DIV/0!</v>
      </c>
      <c r="I29" s="79">
        <v>0</v>
      </c>
      <c r="J29" s="95"/>
      <c r="K29" s="103"/>
      <c r="L29" s="103"/>
      <c r="M29" s="11" t="e">
        <f t="shared" si="2"/>
        <v>#DIV/0!</v>
      </c>
      <c r="N29" s="99">
        <v>0</v>
      </c>
      <c r="O29" s="102"/>
      <c r="P29" s="103"/>
      <c r="Q29" s="103"/>
      <c r="R29" s="11" t="e">
        <f t="shared" si="3"/>
        <v>#DIV/0!</v>
      </c>
      <c r="S29" s="99"/>
      <c r="T29" s="120"/>
      <c r="U29" s="105"/>
      <c r="V29" s="105"/>
      <c r="W29" s="11" t="e">
        <f t="shared" si="4"/>
        <v>#DIV/0!</v>
      </c>
      <c r="X29" s="125"/>
    </row>
    <row r="30" spans="1:24" s="27" customFormat="1" ht="9.75" x14ac:dyDescent="0.2">
      <c r="A30" s="40" t="s">
        <v>56</v>
      </c>
      <c r="B30" s="44" t="s">
        <v>75</v>
      </c>
      <c r="C30" s="50"/>
      <c r="D30" s="59" t="s">
        <v>25</v>
      </c>
      <c r="E30" s="82">
        <f t="shared" si="7"/>
        <v>0</v>
      </c>
      <c r="F30" s="83">
        <f t="shared" si="7"/>
        <v>0</v>
      </c>
      <c r="G30" s="83">
        <f t="shared" si="7"/>
        <v>0</v>
      </c>
      <c r="H30" s="17" t="e">
        <f t="shared" si="0"/>
        <v>#DIV/0!</v>
      </c>
      <c r="I30" s="84">
        <v>0</v>
      </c>
      <c r="J30" s="106"/>
      <c r="K30" s="107"/>
      <c r="L30" s="107"/>
      <c r="M30" s="31" t="e">
        <f t="shared" si="2"/>
        <v>#DIV/0!</v>
      </c>
      <c r="N30" s="108">
        <v>0</v>
      </c>
      <c r="O30" s="109"/>
      <c r="P30" s="107"/>
      <c r="Q30" s="107"/>
      <c r="R30" s="31" t="e">
        <f t="shared" si="3"/>
        <v>#DIV/0!</v>
      </c>
      <c r="S30" s="108"/>
      <c r="T30" s="121"/>
      <c r="U30" s="110"/>
      <c r="V30" s="110"/>
      <c r="W30" s="31" t="e">
        <f t="shared" si="4"/>
        <v>#DIV/0!</v>
      </c>
      <c r="X30" s="126"/>
    </row>
    <row r="31" spans="1:24" s="27" customFormat="1" ht="9.75" x14ac:dyDescent="0.2">
      <c r="A31" s="33" t="s">
        <v>57</v>
      </c>
      <c r="B31" s="817" t="s">
        <v>58</v>
      </c>
      <c r="C31" s="818"/>
      <c r="D31" s="22" t="s">
        <v>25</v>
      </c>
      <c r="E31" s="67">
        <f>SUM(E6-E11)</f>
        <v>0</v>
      </c>
      <c r="F31" s="67">
        <f>SUM(F6-F11)</f>
        <v>0</v>
      </c>
      <c r="G31" s="67">
        <f>SUM(G6-G11)</f>
        <v>190412</v>
      </c>
      <c r="H31" s="29" t="e">
        <f t="shared" si="0"/>
        <v>#DIV/0!</v>
      </c>
      <c r="I31" s="68">
        <f>SUM(I6-I11)</f>
        <v>187967</v>
      </c>
      <c r="J31" s="67">
        <f>SUM(J6-J11)</f>
        <v>0</v>
      </c>
      <c r="K31" s="67">
        <f>SUM(K6-K11)</f>
        <v>0</v>
      </c>
      <c r="L31" s="67">
        <f>SUM(L6-L11)</f>
        <v>190412</v>
      </c>
      <c r="M31" s="21" t="e">
        <f t="shared" si="2"/>
        <v>#DIV/0!</v>
      </c>
      <c r="N31" s="68">
        <f>SUM(N6-N11)</f>
        <v>187967</v>
      </c>
      <c r="O31" s="67">
        <f>SUM(O6-O11)</f>
        <v>0</v>
      </c>
      <c r="P31" s="67">
        <f>SUM(P6-P11)</f>
        <v>0</v>
      </c>
      <c r="Q31" s="67">
        <f>SUM(Q6-Q11)</f>
        <v>0</v>
      </c>
      <c r="R31" s="21" t="e">
        <f t="shared" si="3"/>
        <v>#DIV/0!</v>
      </c>
      <c r="S31" s="68">
        <f>SUM(S6-S11)</f>
        <v>0</v>
      </c>
      <c r="T31" s="67">
        <f>SUM(T6-T11)</f>
        <v>25740</v>
      </c>
      <c r="U31" s="67">
        <f>SUM(U6-U11)</f>
        <v>8740</v>
      </c>
      <c r="V31" s="67">
        <f>SUM(V6-V11)</f>
        <v>8740</v>
      </c>
      <c r="W31" s="21">
        <f t="shared" si="4"/>
        <v>100</v>
      </c>
      <c r="X31" s="67">
        <f>SUM(X6-X11)</f>
        <v>0</v>
      </c>
    </row>
    <row r="32" spans="1:24" s="27" customFormat="1" ht="9.75" x14ac:dyDescent="0.2">
      <c r="A32" s="41" t="s">
        <v>59</v>
      </c>
      <c r="B32" s="60" t="s">
        <v>76</v>
      </c>
      <c r="C32" s="61"/>
      <c r="D32" s="22" t="s">
        <v>25</v>
      </c>
      <c r="E32" s="130">
        <f>SUM(J32,O32)</f>
        <v>0</v>
      </c>
      <c r="F32" s="131">
        <f>SUM(K32,P32)</f>
        <v>0</v>
      </c>
      <c r="G32" s="131">
        <f>SUM(L32,Q32)</f>
        <v>0</v>
      </c>
      <c r="H32" s="26" t="e">
        <f t="shared" si="0"/>
        <v>#DIV/0!</v>
      </c>
      <c r="I32" s="339">
        <f>SUM(N32,S32)</f>
        <v>0</v>
      </c>
      <c r="J32" s="112"/>
      <c r="K32" s="113"/>
      <c r="L32" s="113"/>
      <c r="M32" s="9" t="e">
        <f t="shared" si="2"/>
        <v>#DIV/0!</v>
      </c>
      <c r="N32" s="114"/>
      <c r="O32" s="115"/>
      <c r="P32" s="113"/>
      <c r="Q32" s="113"/>
      <c r="R32" s="9" t="e">
        <f t="shared" si="3"/>
        <v>#DIV/0!</v>
      </c>
      <c r="S32" s="114"/>
      <c r="T32" s="115"/>
      <c r="U32" s="113"/>
      <c r="V32" s="113"/>
      <c r="W32" s="9" t="e">
        <f t="shared" si="4"/>
        <v>#DIV/0!</v>
      </c>
      <c r="X32" s="116"/>
    </row>
    <row r="33" spans="1:24" s="27" customFormat="1" ht="9.75" x14ac:dyDescent="0.2">
      <c r="A33" s="33" t="s">
        <v>60</v>
      </c>
      <c r="B33" s="24" t="s">
        <v>61</v>
      </c>
      <c r="C33" s="25"/>
      <c r="D33" s="22" t="s">
        <v>25</v>
      </c>
      <c r="E33" s="67">
        <f>E31-E32</f>
        <v>0</v>
      </c>
      <c r="F33" s="67">
        <f>F31-F32</f>
        <v>0</v>
      </c>
      <c r="G33" s="67">
        <f>G31-G32</f>
        <v>190412</v>
      </c>
      <c r="H33" s="29" t="e">
        <f t="shared" si="0"/>
        <v>#DIV/0!</v>
      </c>
      <c r="I33" s="340">
        <f>I31-I32</f>
        <v>187967</v>
      </c>
      <c r="J33" s="67">
        <f>J31-J32</f>
        <v>0</v>
      </c>
      <c r="K33" s="67">
        <f>K31-K32</f>
        <v>0</v>
      </c>
      <c r="L33" s="67">
        <f>L31-L32</f>
        <v>190412</v>
      </c>
      <c r="M33" s="21" t="e">
        <f t="shared" si="2"/>
        <v>#DIV/0!</v>
      </c>
      <c r="N33" s="68">
        <f>N31-N32</f>
        <v>187967</v>
      </c>
      <c r="O33" s="67">
        <f>O31-O32</f>
        <v>0</v>
      </c>
      <c r="P33" s="67">
        <f>P31-P32</f>
        <v>0</v>
      </c>
      <c r="Q33" s="67">
        <f>Q31-Q32</f>
        <v>0</v>
      </c>
      <c r="R33" s="21" t="e">
        <f t="shared" si="3"/>
        <v>#DIV/0!</v>
      </c>
      <c r="S33" s="68">
        <f>S31-S32</f>
        <v>0</v>
      </c>
      <c r="T33" s="67">
        <f>T31-T32</f>
        <v>25740</v>
      </c>
      <c r="U33" s="67">
        <f>U31-U32</f>
        <v>8740</v>
      </c>
      <c r="V33" s="67">
        <f>V31-V32</f>
        <v>8740</v>
      </c>
      <c r="W33" s="21">
        <f t="shared" si="4"/>
        <v>100</v>
      </c>
      <c r="X33" s="67">
        <f>X31-X32</f>
        <v>0</v>
      </c>
    </row>
    <row r="34" spans="1:24" ht="9" x14ac:dyDescent="0.2">
      <c r="A34" s="42" t="s">
        <v>62</v>
      </c>
      <c r="B34" s="813" t="s">
        <v>24</v>
      </c>
      <c r="C34" s="814"/>
      <c r="D34" s="62" t="s">
        <v>25</v>
      </c>
      <c r="E34" s="252">
        <v>16030</v>
      </c>
      <c r="F34" s="253">
        <v>16030</v>
      </c>
      <c r="G34" s="253">
        <v>16916</v>
      </c>
      <c r="H34" s="13">
        <f t="shared" si="0"/>
        <v>105.52713661883968</v>
      </c>
      <c r="I34" s="254">
        <v>15734</v>
      </c>
      <c r="J34" s="804"/>
      <c r="K34" s="805"/>
      <c r="L34" s="805"/>
      <c r="M34" s="805"/>
      <c r="N34" s="805"/>
      <c r="O34" s="805"/>
      <c r="P34" s="805"/>
      <c r="Q34" s="805"/>
      <c r="R34" s="805"/>
      <c r="S34" s="805"/>
      <c r="T34" s="805"/>
      <c r="U34" s="805"/>
      <c r="V34" s="805"/>
      <c r="W34" s="805"/>
      <c r="X34" s="806"/>
    </row>
    <row r="35" spans="1:24" ht="9" x14ac:dyDescent="0.2">
      <c r="A35" s="32" t="s">
        <v>63</v>
      </c>
      <c r="B35" s="797" t="s">
        <v>33</v>
      </c>
      <c r="C35" s="798"/>
      <c r="D35" s="63" t="s">
        <v>26</v>
      </c>
      <c r="E35" s="255">
        <v>22.85</v>
      </c>
      <c r="F35" s="256">
        <v>23</v>
      </c>
      <c r="G35" s="256">
        <v>23</v>
      </c>
      <c r="H35" s="15">
        <f t="shared" si="0"/>
        <v>100</v>
      </c>
      <c r="I35" s="257">
        <v>23</v>
      </c>
      <c r="J35" s="804"/>
      <c r="K35" s="805"/>
      <c r="L35" s="805"/>
      <c r="M35" s="805"/>
      <c r="N35" s="805"/>
      <c r="O35" s="805"/>
      <c r="P35" s="805"/>
      <c r="Q35" s="805"/>
      <c r="R35" s="805"/>
      <c r="S35" s="805"/>
      <c r="T35" s="805"/>
      <c r="U35" s="805"/>
      <c r="V35" s="805"/>
      <c r="W35" s="805"/>
      <c r="X35" s="806"/>
    </row>
    <row r="36" spans="1:24" ht="9" x14ac:dyDescent="0.2">
      <c r="A36" s="43" t="s">
        <v>64</v>
      </c>
      <c r="B36" s="799" t="s">
        <v>27</v>
      </c>
      <c r="C36" s="800"/>
      <c r="D36" s="64" t="s">
        <v>26</v>
      </c>
      <c r="E36" s="258">
        <v>35</v>
      </c>
      <c r="F36" s="259">
        <v>37</v>
      </c>
      <c r="G36" s="259">
        <v>37</v>
      </c>
      <c r="H36" s="17">
        <f t="shared" si="0"/>
        <v>100</v>
      </c>
      <c r="I36" s="260">
        <v>34</v>
      </c>
      <c r="J36" s="807"/>
      <c r="K36" s="808"/>
      <c r="L36" s="808"/>
      <c r="M36" s="808"/>
      <c r="N36" s="808"/>
      <c r="O36" s="808"/>
      <c r="P36" s="808"/>
      <c r="Q36" s="808"/>
      <c r="R36" s="808"/>
      <c r="S36" s="808"/>
      <c r="T36" s="808"/>
      <c r="U36" s="808"/>
      <c r="V36" s="808"/>
      <c r="W36" s="808"/>
      <c r="X36" s="809"/>
    </row>
    <row r="37" spans="1:24" s="6" customFormat="1" ht="9.75" x14ac:dyDescent="0.2">
      <c r="A37" s="51" t="s">
        <v>65</v>
      </c>
      <c r="B37" s="52" t="s">
        <v>46</v>
      </c>
      <c r="C37" s="52"/>
      <c r="D37" s="20" t="s">
        <v>25</v>
      </c>
      <c r="E37" s="810">
        <v>36</v>
      </c>
      <c r="F37" s="811"/>
      <c r="G37" s="811"/>
      <c r="H37" s="811"/>
      <c r="I37" s="812"/>
      <c r="J37" s="117"/>
      <c r="K37" s="118"/>
      <c r="L37" s="118"/>
      <c r="M37" s="30" t="e">
        <f>L37/K37*100</f>
        <v>#DIV/0!</v>
      </c>
      <c r="N37" s="801"/>
      <c r="O37" s="802"/>
      <c r="P37" s="802"/>
      <c r="Q37" s="802"/>
      <c r="R37" s="802"/>
      <c r="S37" s="802"/>
      <c r="T37" s="802"/>
      <c r="U37" s="802"/>
      <c r="V37" s="802"/>
      <c r="W37" s="802"/>
      <c r="X37" s="803"/>
    </row>
    <row r="38" spans="1:24" s="136" customFormat="1" x14ac:dyDescent="0.15">
      <c r="A38" s="137"/>
    </row>
    <row r="39" spans="1:24" s="136" customFormat="1" x14ac:dyDescent="0.15">
      <c r="A39" s="137"/>
      <c r="P39" s="138"/>
    </row>
    <row r="40" spans="1:24" s="136" customFormat="1" x14ac:dyDescent="0.15">
      <c r="A40" s="137"/>
    </row>
    <row r="41" spans="1:24" s="136" customFormat="1" x14ac:dyDescent="0.15">
      <c r="A41" s="137"/>
    </row>
    <row r="42" spans="1:24" s="136" customFormat="1" x14ac:dyDescent="0.15">
      <c r="A42" s="137"/>
    </row>
    <row r="43" spans="1:24" s="136" customFormat="1" x14ac:dyDescent="0.15">
      <c r="A43" s="137"/>
    </row>
    <row r="44" spans="1:24" s="136" customFormat="1" x14ac:dyDescent="0.15">
      <c r="A44" s="137"/>
    </row>
    <row r="45" spans="1:24" s="136" customFormat="1" x14ac:dyDescent="0.15">
      <c r="A45" s="137"/>
    </row>
    <row r="46" spans="1:24" s="136" customFormat="1" x14ac:dyDescent="0.15">
      <c r="A46" s="137"/>
    </row>
    <row r="47" spans="1:24" s="136" customFormat="1" x14ac:dyDescent="0.15">
      <c r="A47" s="137"/>
    </row>
    <row r="48" spans="1:24" s="136" customFormat="1" x14ac:dyDescent="0.15">
      <c r="A48" s="137"/>
    </row>
    <row r="49" spans="1:1" s="136" customFormat="1" x14ac:dyDescent="0.15">
      <c r="A49" s="137"/>
    </row>
    <row r="50" spans="1:1" s="136" customFormat="1" x14ac:dyDescent="0.15">
      <c r="A50" s="137"/>
    </row>
    <row r="51" spans="1:1" s="136" customFormat="1" x14ac:dyDescent="0.15">
      <c r="A51" s="137"/>
    </row>
    <row r="52" spans="1:1" s="136" customFormat="1" x14ac:dyDescent="0.15">
      <c r="A52" s="137"/>
    </row>
    <row r="53" spans="1:1" s="136" customFormat="1" x14ac:dyDescent="0.15">
      <c r="A53" s="137"/>
    </row>
    <row r="54" spans="1:1" s="136" customFormat="1" x14ac:dyDescent="0.15">
      <c r="A54" s="137"/>
    </row>
    <row r="55" spans="1:1" s="136" customFormat="1" x14ac:dyDescent="0.15">
      <c r="A55" s="137"/>
    </row>
    <row r="56" spans="1:1" s="136" customFormat="1" x14ac:dyDescent="0.15">
      <c r="A56" s="137"/>
    </row>
    <row r="57" spans="1:1" s="136" customFormat="1" x14ac:dyDescent="0.15">
      <c r="A57" s="137"/>
    </row>
    <row r="58" spans="1:1" s="136" customFormat="1" x14ac:dyDescent="0.15">
      <c r="A58" s="137"/>
    </row>
    <row r="59" spans="1:1" s="136" customFormat="1" x14ac:dyDescent="0.15">
      <c r="A59" s="137"/>
    </row>
    <row r="60" spans="1:1" s="136" customFormat="1" x14ac:dyDescent="0.15">
      <c r="A60" s="137"/>
    </row>
    <row r="61" spans="1:1" s="136" customFormat="1" x14ac:dyDescent="0.15">
      <c r="A61" s="137"/>
    </row>
    <row r="62" spans="1:1" s="136" customFormat="1" x14ac:dyDescent="0.15">
      <c r="A62" s="137"/>
    </row>
    <row r="63" spans="1:1" s="136" customFormat="1" x14ac:dyDescent="0.15">
      <c r="A63" s="137"/>
    </row>
    <row r="64" spans="1:1" s="136" customFormat="1" x14ac:dyDescent="0.15">
      <c r="A64" s="137"/>
    </row>
    <row r="65" spans="1:1" s="136" customFormat="1" x14ac:dyDescent="0.15">
      <c r="A65" s="137"/>
    </row>
    <row r="66" spans="1:1" s="136" customFormat="1" x14ac:dyDescent="0.15">
      <c r="A66" s="137"/>
    </row>
    <row r="67" spans="1:1" s="136" customFormat="1" x14ac:dyDescent="0.15">
      <c r="A67" s="137"/>
    </row>
    <row r="68" spans="1:1" s="136" customFormat="1" x14ac:dyDescent="0.15">
      <c r="A68" s="137"/>
    </row>
  </sheetData>
  <mergeCells count="43">
    <mergeCell ref="A1:X1"/>
    <mergeCell ref="T4:T5"/>
    <mergeCell ref="U4:W4"/>
    <mergeCell ref="X4:X5"/>
    <mergeCell ref="T3:X3"/>
    <mergeCell ref="D3:D5"/>
    <mergeCell ref="J3:N3"/>
    <mergeCell ref="A3:A5"/>
    <mergeCell ref="O3:S3"/>
    <mergeCell ref="P4:R4"/>
    <mergeCell ref="B3:C5"/>
    <mergeCell ref="J4:J5"/>
    <mergeCell ref="E3:I3"/>
    <mergeCell ref="F4:H4"/>
    <mergeCell ref="E4:E5"/>
    <mergeCell ref="S4:S5"/>
    <mergeCell ref="B6:C6"/>
    <mergeCell ref="O4:O5"/>
    <mergeCell ref="I4:I5"/>
    <mergeCell ref="K4:M4"/>
    <mergeCell ref="N4:N5"/>
    <mergeCell ref="B7:C7"/>
    <mergeCell ref="B8:C8"/>
    <mergeCell ref="B36:C36"/>
    <mergeCell ref="B10:C10"/>
    <mergeCell ref="B11:C11"/>
    <mergeCell ref="B12:C12"/>
    <mergeCell ref="B13:C13"/>
    <mergeCell ref="B15:C15"/>
    <mergeCell ref="B16:C16"/>
    <mergeCell ref="B18:C18"/>
    <mergeCell ref="B19:C19"/>
    <mergeCell ref="B20:C20"/>
    <mergeCell ref="E37:I37"/>
    <mergeCell ref="N37:X37"/>
    <mergeCell ref="B21:C21"/>
    <mergeCell ref="B22:C22"/>
    <mergeCell ref="B34:C34"/>
    <mergeCell ref="J34:X36"/>
    <mergeCell ref="B35:C35"/>
    <mergeCell ref="B26:C26"/>
    <mergeCell ref="B28:C28"/>
    <mergeCell ref="B31:C31"/>
  </mergeCells>
  <phoneticPr fontId="0" type="noConversion"/>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9"/>
  <sheetViews>
    <sheetView tabSelected="1" zoomScaleNormal="100" workbookViewId="0"/>
  </sheetViews>
  <sheetFormatPr defaultRowHeight="12.75" x14ac:dyDescent="0.2"/>
  <cols>
    <col min="1" max="1" width="74" style="128" customWidth="1"/>
    <col min="2" max="2" width="33.75" style="128" customWidth="1"/>
    <col min="3" max="5" width="25.75" style="128" customWidth="1"/>
    <col min="6" max="6" width="22.75" style="128" customWidth="1"/>
    <col min="7" max="9" width="10" style="128"/>
  </cols>
  <sheetData>
    <row r="1" spans="1:9" s="127" customFormat="1" ht="18.75" x14ac:dyDescent="0.3">
      <c r="A1" s="127" t="s">
        <v>94</v>
      </c>
    </row>
    <row r="2" spans="1:9" s="128" customFormat="1" x14ac:dyDescent="0.2"/>
    <row r="3" spans="1:9" s="175" customFormat="1" ht="10.5" x14ac:dyDescent="0.15">
      <c r="A3" s="750" t="s">
        <v>133</v>
      </c>
      <c r="B3" s="750"/>
      <c r="C3" s="750"/>
      <c r="D3" s="750"/>
      <c r="E3" s="750"/>
      <c r="F3" s="750"/>
      <c r="G3" s="750"/>
      <c r="H3" s="750"/>
      <c r="I3" s="750"/>
    </row>
    <row r="4" spans="1:9" s="176" customFormat="1" ht="11.25" x14ac:dyDescent="0.2"/>
    <row r="5" spans="1:9" s="177" customFormat="1" ht="9.75" x14ac:dyDescent="0.2">
      <c r="A5" s="751" t="s">
        <v>77</v>
      </c>
      <c r="B5" s="752"/>
      <c r="C5" s="403" t="s">
        <v>25</v>
      </c>
      <c r="D5" s="753" t="s">
        <v>281</v>
      </c>
      <c r="E5" s="753"/>
      <c r="F5" s="753"/>
      <c r="G5" s="753"/>
      <c r="H5" s="753"/>
      <c r="I5" s="753"/>
    </row>
    <row r="6" spans="1:9" s="176" customFormat="1" ht="15" customHeight="1" x14ac:dyDescent="0.2">
      <c r="A6" s="754" t="s">
        <v>134</v>
      </c>
      <c r="B6" s="754"/>
      <c r="C6" s="193">
        <v>53482.28</v>
      </c>
      <c r="D6" s="755"/>
      <c r="E6" s="756"/>
      <c r="F6" s="756"/>
      <c r="G6" s="756"/>
      <c r="H6" s="756"/>
      <c r="I6" s="756"/>
    </row>
    <row r="7" spans="1:9" s="176" customFormat="1" ht="35.25" customHeight="1" x14ac:dyDescent="0.2">
      <c r="A7" s="745" t="s">
        <v>78</v>
      </c>
      <c r="B7" s="746"/>
      <c r="C7" s="178">
        <v>49482.28</v>
      </c>
      <c r="D7" s="875" t="s">
        <v>287</v>
      </c>
      <c r="E7" s="875"/>
      <c r="F7" s="875"/>
      <c r="G7" s="875"/>
      <c r="H7" s="875"/>
      <c r="I7" s="875"/>
    </row>
    <row r="8" spans="1:9" s="175" customFormat="1" ht="15" customHeight="1" x14ac:dyDescent="0.15">
      <c r="A8" s="764" t="s">
        <v>113</v>
      </c>
      <c r="B8" s="765"/>
      <c r="C8" s="179">
        <v>4000</v>
      </c>
      <c r="D8" s="875" t="s">
        <v>282</v>
      </c>
      <c r="E8" s="875"/>
      <c r="F8" s="875"/>
      <c r="G8" s="875"/>
      <c r="H8" s="875"/>
      <c r="I8" s="875"/>
    </row>
    <row r="9" spans="1:9" s="175" customFormat="1" ht="15" customHeight="1" x14ac:dyDescent="0.15">
      <c r="A9" s="764" t="s">
        <v>114</v>
      </c>
      <c r="B9" s="765"/>
      <c r="C9" s="179">
        <v>0</v>
      </c>
      <c r="D9" s="778"/>
      <c r="E9" s="779"/>
      <c r="F9" s="779"/>
      <c r="G9" s="779"/>
      <c r="H9" s="779"/>
      <c r="I9" s="780"/>
    </row>
    <row r="10" spans="1:9" s="176" customFormat="1" ht="11.25" x14ac:dyDescent="0.2">
      <c r="C10" s="180"/>
    </row>
    <row r="11" spans="1:9" s="176" customFormat="1" ht="11.25" x14ac:dyDescent="0.2">
      <c r="A11" s="750" t="s">
        <v>135</v>
      </c>
      <c r="B11" s="750"/>
      <c r="C11" s="750"/>
      <c r="D11" s="750"/>
      <c r="E11" s="750"/>
      <c r="F11" s="750"/>
      <c r="G11" s="750"/>
      <c r="H11" s="750"/>
      <c r="I11" s="750"/>
    </row>
    <row r="12" spans="1:9" s="176" customFormat="1" ht="11.25" x14ac:dyDescent="0.2">
      <c r="C12" s="180"/>
      <c r="D12" s="216"/>
      <c r="E12" s="216"/>
      <c r="F12" s="216"/>
      <c r="G12" s="216"/>
      <c r="H12" s="216"/>
      <c r="I12" s="216"/>
    </row>
    <row r="13" spans="1:9" s="181" customFormat="1" ht="9.75" x14ac:dyDescent="0.2">
      <c r="A13" s="403" t="s">
        <v>77</v>
      </c>
      <c r="B13" s="403" t="s">
        <v>79</v>
      </c>
      <c r="C13" s="403" t="s">
        <v>25</v>
      </c>
      <c r="D13" s="407"/>
      <c r="E13" s="408"/>
      <c r="F13" s="408"/>
      <c r="G13" s="408"/>
      <c r="H13" s="408"/>
      <c r="I13" s="408"/>
    </row>
    <row r="14" spans="1:9" s="176" customFormat="1" ht="15" customHeight="1" x14ac:dyDescent="0.2">
      <c r="A14" s="182" t="s">
        <v>136</v>
      </c>
      <c r="B14" s="409"/>
      <c r="C14" s="205">
        <v>0</v>
      </c>
      <c r="D14" s="410"/>
      <c r="E14" s="411"/>
      <c r="F14" s="411"/>
      <c r="G14" s="411"/>
      <c r="H14" s="411"/>
      <c r="I14" s="411"/>
    </row>
    <row r="15" spans="1:9" s="176" customFormat="1" ht="15" customHeight="1" x14ac:dyDescent="0.2">
      <c r="A15" s="783" t="s">
        <v>137</v>
      </c>
      <c r="B15" s="184" t="s">
        <v>80</v>
      </c>
      <c r="C15" s="185">
        <v>49923.81</v>
      </c>
      <c r="D15" s="485"/>
      <c r="E15" s="486"/>
      <c r="F15" s="486"/>
      <c r="G15" s="413"/>
      <c r="H15" s="413"/>
      <c r="I15" s="413"/>
    </row>
    <row r="16" spans="1:9" s="176" customFormat="1" ht="15" customHeight="1" x14ac:dyDescent="0.2">
      <c r="A16" s="784"/>
      <c r="B16" s="183" t="s">
        <v>81</v>
      </c>
      <c r="C16" s="414">
        <v>3558.47</v>
      </c>
      <c r="D16" s="415"/>
      <c r="E16" s="416"/>
      <c r="F16" s="416"/>
      <c r="G16" s="416"/>
      <c r="H16" s="416"/>
      <c r="I16" s="416"/>
    </row>
    <row r="17" spans="1:9" s="176" customFormat="1" ht="15" customHeight="1" x14ac:dyDescent="0.2">
      <c r="A17" s="406" t="s">
        <v>134</v>
      </c>
      <c r="B17" s="417"/>
      <c r="C17" s="423">
        <f>SUM(C14:C16)</f>
        <v>53482.28</v>
      </c>
      <c r="D17" s="418"/>
      <c r="E17" s="418"/>
      <c r="F17" s="418"/>
      <c r="G17" s="418"/>
      <c r="H17" s="418"/>
      <c r="I17" s="418"/>
    </row>
    <row r="18" spans="1:9" s="206" customFormat="1" ht="11.25" x14ac:dyDescent="0.2">
      <c r="A18" s="419"/>
      <c r="C18" s="232"/>
      <c r="D18" s="420"/>
      <c r="E18" s="420"/>
      <c r="F18" s="420"/>
      <c r="G18" s="420"/>
      <c r="H18" s="420"/>
      <c r="I18" s="420"/>
    </row>
    <row r="19" spans="1:9" s="176" customFormat="1" ht="11.25" x14ac:dyDescent="0.2">
      <c r="A19" s="750" t="s">
        <v>138</v>
      </c>
      <c r="B19" s="750"/>
      <c r="C19" s="750"/>
      <c r="D19" s="750"/>
      <c r="E19" s="750"/>
      <c r="F19" s="750"/>
      <c r="G19" s="750"/>
      <c r="H19" s="750"/>
      <c r="I19" s="750"/>
    </row>
    <row r="20" spans="1:9" s="176" customFormat="1" ht="11.25" x14ac:dyDescent="0.2">
      <c r="C20" s="180"/>
    </row>
    <row r="21" spans="1:9" s="188" customFormat="1" ht="9.75" x14ac:dyDescent="0.2">
      <c r="A21" s="403" t="s">
        <v>79</v>
      </c>
      <c r="B21" s="403" t="s">
        <v>139</v>
      </c>
      <c r="C21" s="404" t="s">
        <v>140</v>
      </c>
      <c r="D21" s="403" t="s">
        <v>141</v>
      </c>
      <c r="E21" s="403" t="s">
        <v>142</v>
      </c>
      <c r="F21" s="753" t="s">
        <v>115</v>
      </c>
      <c r="G21" s="753"/>
      <c r="H21" s="753"/>
      <c r="I21" s="753"/>
    </row>
    <row r="22" spans="1:9" s="176" customFormat="1" ht="22.5" customHeight="1" x14ac:dyDescent="0.2">
      <c r="A22" s="187" t="s">
        <v>116</v>
      </c>
      <c r="B22" s="189">
        <v>150979.24</v>
      </c>
      <c r="C22" s="189">
        <v>128538.27</v>
      </c>
      <c r="D22" s="189">
        <v>135908</v>
      </c>
      <c r="E22" s="189">
        <f>B22+C22-D22</f>
        <v>143609.51</v>
      </c>
      <c r="F22" s="785" t="s">
        <v>288</v>
      </c>
      <c r="G22" s="786"/>
      <c r="H22" s="786"/>
      <c r="I22" s="787"/>
    </row>
    <row r="23" spans="1:9" s="176" customFormat="1" ht="12.75" customHeight="1" x14ac:dyDescent="0.2">
      <c r="A23" s="184" t="s">
        <v>143</v>
      </c>
      <c r="B23" s="190">
        <v>17301</v>
      </c>
      <c r="C23" s="190">
        <v>8490</v>
      </c>
      <c r="D23" s="190">
        <v>0</v>
      </c>
      <c r="E23" s="190">
        <f>B23+C23-D23</f>
        <v>25791</v>
      </c>
      <c r="F23" s="747" t="s">
        <v>120</v>
      </c>
      <c r="G23" s="795"/>
      <c r="H23" s="795"/>
      <c r="I23" s="796"/>
    </row>
    <row r="24" spans="1:9" s="176" customFormat="1" ht="23.25" customHeight="1" x14ac:dyDescent="0.2">
      <c r="A24" s="184" t="s">
        <v>81</v>
      </c>
      <c r="B24" s="190">
        <v>69441.53</v>
      </c>
      <c r="C24" s="190">
        <v>0</v>
      </c>
      <c r="D24" s="190">
        <v>0</v>
      </c>
      <c r="E24" s="190">
        <f>B24+C24-D24</f>
        <v>69441.53</v>
      </c>
      <c r="F24" s="747" t="s">
        <v>290</v>
      </c>
      <c r="G24" s="795"/>
      <c r="H24" s="795"/>
      <c r="I24" s="796"/>
    </row>
    <row r="25" spans="1:9" s="176" customFormat="1" ht="25.5" customHeight="1" x14ac:dyDescent="0.2">
      <c r="A25" s="183" t="s">
        <v>82</v>
      </c>
      <c r="B25" s="191">
        <v>13837.02</v>
      </c>
      <c r="C25" s="191">
        <v>33176</v>
      </c>
      <c r="D25" s="191">
        <v>31315</v>
      </c>
      <c r="E25" s="191">
        <f>B25+C25-D25</f>
        <v>15698.020000000004</v>
      </c>
      <c r="F25" s="759" t="s">
        <v>289</v>
      </c>
      <c r="G25" s="848"/>
      <c r="H25" s="848"/>
      <c r="I25" s="849"/>
    </row>
    <row r="26" spans="1:9" s="175" customFormat="1" ht="10.5" x14ac:dyDescent="0.15">
      <c r="A26" s="192" t="s">
        <v>34</v>
      </c>
      <c r="B26" s="193">
        <f>SUM(B22:B25)</f>
        <v>251558.78999999998</v>
      </c>
      <c r="C26" s="193">
        <f>SUM(C22:C25)</f>
        <v>170204.27000000002</v>
      </c>
      <c r="D26" s="193">
        <f>SUM(D22:D25)</f>
        <v>167223</v>
      </c>
      <c r="E26" s="193">
        <f>SUM(E22:E25)</f>
        <v>254540.06</v>
      </c>
      <c r="F26" s="762"/>
      <c r="G26" s="762"/>
      <c r="H26" s="762"/>
      <c r="I26" s="763"/>
    </row>
    <row r="27" spans="1:9" s="176" customFormat="1" ht="11.25" x14ac:dyDescent="0.2">
      <c r="C27" s="180"/>
    </row>
    <row r="28" spans="1:9" s="176" customFormat="1" ht="11.25" x14ac:dyDescent="0.2">
      <c r="A28" s="750" t="s">
        <v>144</v>
      </c>
      <c r="B28" s="750"/>
      <c r="C28" s="750"/>
      <c r="D28" s="750"/>
      <c r="E28" s="750"/>
      <c r="F28" s="750"/>
      <c r="G28" s="750"/>
      <c r="H28" s="750"/>
      <c r="I28" s="750"/>
    </row>
    <row r="29" spans="1:9" s="176" customFormat="1" ht="11.25" x14ac:dyDescent="0.2">
      <c r="C29" s="180"/>
    </row>
    <row r="30" spans="1:9" s="176" customFormat="1" ht="11.25" x14ac:dyDescent="0.2">
      <c r="A30" s="403" t="s">
        <v>83</v>
      </c>
      <c r="B30" s="403" t="s">
        <v>25</v>
      </c>
      <c r="C30" s="404" t="s">
        <v>84</v>
      </c>
      <c r="D30" s="753" t="s">
        <v>117</v>
      </c>
      <c r="E30" s="753"/>
      <c r="F30" s="753"/>
      <c r="G30" s="753"/>
      <c r="H30" s="753"/>
      <c r="I30" s="753"/>
    </row>
    <row r="31" spans="1:9" s="176" customFormat="1" ht="15" customHeight="1" x14ac:dyDescent="0.2">
      <c r="A31" s="194"/>
      <c r="B31" s="189">
        <v>0</v>
      </c>
      <c r="C31" s="195"/>
      <c r="D31" s="951"/>
      <c r="E31" s="952"/>
      <c r="F31" s="952"/>
      <c r="G31" s="952"/>
      <c r="H31" s="952"/>
      <c r="I31" s="953"/>
    </row>
    <row r="32" spans="1:9" s="175" customFormat="1" ht="11.25" x14ac:dyDescent="0.2">
      <c r="A32" s="192" t="s">
        <v>34</v>
      </c>
      <c r="B32" s="193">
        <f>SUM(B31)</f>
        <v>0</v>
      </c>
      <c r="C32" s="776"/>
      <c r="D32" s="776"/>
      <c r="E32" s="776"/>
      <c r="F32" s="776"/>
      <c r="G32" s="776"/>
      <c r="H32" s="776"/>
      <c r="I32" s="777"/>
    </row>
    <row r="33" spans="1:9" s="176" customFormat="1" ht="11.25" x14ac:dyDescent="0.2">
      <c r="C33" s="180"/>
    </row>
    <row r="34" spans="1:9" s="176" customFormat="1" ht="11.25" x14ac:dyDescent="0.2">
      <c r="A34" s="750" t="s">
        <v>145</v>
      </c>
      <c r="B34" s="750"/>
      <c r="C34" s="750"/>
      <c r="D34" s="750"/>
      <c r="E34" s="750"/>
      <c r="F34" s="750"/>
      <c r="G34" s="750"/>
      <c r="H34" s="750"/>
      <c r="I34" s="750"/>
    </row>
    <row r="35" spans="1:9" s="176" customFormat="1" ht="11.25" x14ac:dyDescent="0.2">
      <c r="C35" s="180"/>
    </row>
    <row r="36" spans="1:9" s="176" customFormat="1" ht="11.25" x14ac:dyDescent="0.2">
      <c r="A36" s="403" t="s">
        <v>83</v>
      </c>
      <c r="B36" s="403" t="s">
        <v>25</v>
      </c>
      <c r="C36" s="404" t="s">
        <v>84</v>
      </c>
      <c r="D36" s="753" t="s">
        <v>117</v>
      </c>
      <c r="E36" s="753"/>
      <c r="F36" s="753"/>
      <c r="G36" s="753"/>
      <c r="H36" s="753"/>
      <c r="I36" s="792"/>
    </row>
    <row r="37" spans="1:9" s="176" customFormat="1" ht="15" customHeight="1" x14ac:dyDescent="0.2">
      <c r="A37" s="194"/>
      <c r="B37" s="189">
        <v>0</v>
      </c>
      <c r="C37" s="195"/>
      <c r="D37" s="951"/>
      <c r="E37" s="952"/>
      <c r="F37" s="952"/>
      <c r="G37" s="952"/>
      <c r="H37" s="952"/>
      <c r="I37" s="953"/>
    </row>
    <row r="38" spans="1:9" s="175" customFormat="1" ht="10.5" x14ac:dyDescent="0.15">
      <c r="A38" s="192" t="s">
        <v>34</v>
      </c>
      <c r="B38" s="193">
        <f>SUM(B37)</f>
        <v>0</v>
      </c>
      <c r="C38" s="793"/>
      <c r="D38" s="793"/>
      <c r="E38" s="793"/>
      <c r="F38" s="793"/>
      <c r="G38" s="793"/>
      <c r="H38" s="793"/>
      <c r="I38" s="793"/>
    </row>
    <row r="39" spans="1:9" s="176" customFormat="1" ht="11.25" x14ac:dyDescent="0.2">
      <c r="C39" s="180"/>
    </row>
    <row r="40" spans="1:9" s="176" customFormat="1" ht="11.25" x14ac:dyDescent="0.2">
      <c r="A40" s="750" t="s">
        <v>146</v>
      </c>
      <c r="B40" s="750"/>
      <c r="C40" s="750"/>
      <c r="D40" s="750"/>
      <c r="E40" s="750"/>
      <c r="F40" s="750"/>
      <c r="G40" s="750"/>
      <c r="H40" s="750"/>
      <c r="I40" s="750"/>
    </row>
    <row r="41" spans="1:9" s="176" customFormat="1" ht="11.25" x14ac:dyDescent="0.2">
      <c r="C41" s="180"/>
    </row>
    <row r="42" spans="1:9" s="176" customFormat="1" ht="11.25" x14ac:dyDescent="0.2">
      <c r="A42" s="403" t="s">
        <v>25</v>
      </c>
      <c r="B42" s="404" t="s">
        <v>147</v>
      </c>
      <c r="C42" s="781" t="s">
        <v>85</v>
      </c>
      <c r="D42" s="781"/>
      <c r="E42" s="781"/>
      <c r="F42" s="781"/>
      <c r="G42" s="781"/>
      <c r="H42" s="781"/>
      <c r="I42" s="782"/>
    </row>
    <row r="43" spans="1:9" s="176" customFormat="1" ht="11.25" x14ac:dyDescent="0.2">
      <c r="A43" s="467">
        <v>61500</v>
      </c>
      <c r="B43" s="467">
        <v>68906</v>
      </c>
      <c r="C43" s="954" t="s">
        <v>292</v>
      </c>
      <c r="D43" s="954"/>
      <c r="E43" s="954"/>
      <c r="F43" s="954"/>
      <c r="G43" s="954"/>
      <c r="H43" s="954"/>
      <c r="I43" s="954"/>
    </row>
    <row r="44" spans="1:9" s="176" customFormat="1" ht="11.25" x14ac:dyDescent="0.2">
      <c r="A44" s="489" t="s">
        <v>291</v>
      </c>
      <c r="B44" s="468"/>
      <c r="C44" s="948"/>
      <c r="D44" s="949"/>
      <c r="E44" s="949"/>
      <c r="F44" s="949"/>
      <c r="G44" s="949"/>
      <c r="H44" s="949"/>
      <c r="I44" s="950"/>
    </row>
    <row r="45" spans="1:9" s="175" customFormat="1" ht="10.5" x14ac:dyDescent="0.15">
      <c r="A45" s="193">
        <f>SUM(A43)</f>
        <v>61500</v>
      </c>
      <c r="B45" s="193">
        <f>SUM(B43)</f>
        <v>68906</v>
      </c>
      <c r="C45" s="770" t="s">
        <v>34</v>
      </c>
      <c r="D45" s="770"/>
      <c r="E45" s="770"/>
      <c r="F45" s="770"/>
      <c r="G45" s="770"/>
      <c r="H45" s="770"/>
      <c r="I45" s="771"/>
    </row>
    <row r="46" spans="1:9" s="176" customFormat="1" ht="11.25" x14ac:dyDescent="0.2">
      <c r="C46" s="180"/>
    </row>
    <row r="47" spans="1:9" s="176" customFormat="1" ht="11.25" x14ac:dyDescent="0.2">
      <c r="A47" s="750" t="s">
        <v>148</v>
      </c>
      <c r="B47" s="750"/>
      <c r="C47" s="750"/>
      <c r="D47" s="750"/>
      <c r="E47" s="750"/>
      <c r="F47" s="750"/>
      <c r="G47" s="750"/>
      <c r="H47" s="750"/>
      <c r="I47" s="750"/>
    </row>
    <row r="48" spans="1:9" s="176" customFormat="1" ht="11.25" x14ac:dyDescent="0.2">
      <c r="C48" s="180"/>
    </row>
    <row r="49" spans="1:5" s="197" customFormat="1" ht="11.25" x14ac:dyDescent="0.2">
      <c r="A49" s="753" t="s">
        <v>86</v>
      </c>
      <c r="B49" s="753"/>
      <c r="C49" s="404" t="s">
        <v>87</v>
      </c>
      <c r="D49" s="403" t="s">
        <v>88</v>
      </c>
      <c r="E49" s="403" t="s">
        <v>25</v>
      </c>
    </row>
    <row r="50" spans="1:5" s="490" customFormat="1" ht="11.25" x14ac:dyDescent="0.2">
      <c r="A50" s="491" t="s">
        <v>127</v>
      </c>
      <c r="B50" s="492"/>
      <c r="C50" s="493"/>
      <c r="D50" s="492"/>
      <c r="E50" s="492"/>
    </row>
    <row r="51" spans="1:5" s="176" customFormat="1" ht="9.75" customHeight="1" x14ac:dyDescent="0.2">
      <c r="A51" s="915" t="s">
        <v>283</v>
      </c>
      <c r="B51" s="915"/>
      <c r="C51" s="247">
        <v>41764</v>
      </c>
      <c r="D51" s="247">
        <v>41790</v>
      </c>
      <c r="E51" s="248">
        <v>9000</v>
      </c>
    </row>
    <row r="52" spans="1:5" s="176" customFormat="1" ht="9.75" customHeight="1" x14ac:dyDescent="0.2">
      <c r="A52" s="915" t="s">
        <v>293</v>
      </c>
      <c r="B52" s="915"/>
      <c r="C52" s="247">
        <v>41876</v>
      </c>
      <c r="D52" s="247">
        <v>41876</v>
      </c>
      <c r="E52" s="248">
        <v>6090</v>
      </c>
    </row>
    <row r="53" spans="1:5" s="176" customFormat="1" ht="11.25" x14ac:dyDescent="0.2">
      <c r="A53" s="915" t="s">
        <v>284</v>
      </c>
      <c r="B53" s="915"/>
      <c r="C53" s="247">
        <v>41876</v>
      </c>
      <c r="D53" s="247">
        <v>41876</v>
      </c>
      <c r="E53" s="248">
        <v>33464</v>
      </c>
    </row>
    <row r="54" spans="1:5" s="176" customFormat="1" ht="11.25" customHeight="1" x14ac:dyDescent="0.2">
      <c r="A54" s="915" t="s">
        <v>294</v>
      </c>
      <c r="B54" s="915"/>
      <c r="C54" s="247">
        <v>41881</v>
      </c>
      <c r="D54" s="247">
        <v>41881</v>
      </c>
      <c r="E54" s="248">
        <v>2842</v>
      </c>
    </row>
    <row r="55" spans="1:5" s="176" customFormat="1" ht="9.75" customHeight="1" x14ac:dyDescent="0.2">
      <c r="A55" s="915" t="s">
        <v>295</v>
      </c>
      <c r="B55" s="915"/>
      <c r="C55" s="247">
        <v>41877</v>
      </c>
      <c r="D55" s="247">
        <v>41886</v>
      </c>
      <c r="E55" s="248">
        <v>57002</v>
      </c>
    </row>
    <row r="56" spans="1:5" s="176" customFormat="1" ht="9.75" customHeight="1" x14ac:dyDescent="0.2">
      <c r="A56" s="915" t="s">
        <v>296</v>
      </c>
      <c r="B56" s="915"/>
      <c r="C56" s="247">
        <v>41886</v>
      </c>
      <c r="D56" s="247">
        <v>41886</v>
      </c>
      <c r="E56" s="248">
        <v>29352</v>
      </c>
    </row>
    <row r="57" spans="1:5" s="176" customFormat="1" ht="9.75" customHeight="1" x14ac:dyDescent="0.2">
      <c r="A57" s="946" t="s">
        <v>297</v>
      </c>
      <c r="B57" s="947"/>
      <c r="C57" s="247">
        <v>41919</v>
      </c>
      <c r="D57" s="247">
        <v>41919</v>
      </c>
      <c r="E57" s="248">
        <v>4499</v>
      </c>
    </row>
    <row r="58" spans="1:5" s="176" customFormat="1" ht="9.75" customHeight="1" x14ac:dyDescent="0.2">
      <c r="A58" s="946" t="s">
        <v>298</v>
      </c>
      <c r="B58" s="947"/>
      <c r="C58" s="247">
        <v>41955</v>
      </c>
      <c r="D58" s="247">
        <v>41962</v>
      </c>
      <c r="E58" s="248">
        <v>18000</v>
      </c>
    </row>
    <row r="59" spans="1:5" s="176" customFormat="1" ht="9.75" customHeight="1" x14ac:dyDescent="0.2">
      <c r="A59" s="946" t="s">
        <v>299</v>
      </c>
      <c r="B59" s="947"/>
      <c r="C59" s="247">
        <v>41955</v>
      </c>
      <c r="D59" s="247">
        <v>41962</v>
      </c>
      <c r="E59" s="248">
        <v>112000</v>
      </c>
    </row>
    <row r="60" spans="1:5" s="176" customFormat="1" ht="9.75" customHeight="1" x14ac:dyDescent="0.2">
      <c r="A60" s="946" t="s">
        <v>300</v>
      </c>
      <c r="B60" s="947"/>
      <c r="C60" s="247">
        <v>41992</v>
      </c>
      <c r="D60" s="247">
        <v>41992</v>
      </c>
      <c r="E60" s="248">
        <v>5051</v>
      </c>
    </row>
    <row r="61" spans="1:5" s="176" customFormat="1" ht="9.75" customHeight="1" x14ac:dyDescent="0.2">
      <c r="A61" s="946" t="s">
        <v>301</v>
      </c>
      <c r="B61" s="947"/>
      <c r="C61" s="247">
        <v>41992</v>
      </c>
      <c r="D61" s="247">
        <v>41992</v>
      </c>
      <c r="E61" s="248">
        <v>30223</v>
      </c>
    </row>
    <row r="62" spans="1:5" s="176" customFormat="1" ht="9.75" customHeight="1" x14ac:dyDescent="0.2">
      <c r="A62" s="946" t="s">
        <v>302</v>
      </c>
      <c r="B62" s="947"/>
      <c r="C62" s="247">
        <v>41992</v>
      </c>
      <c r="D62" s="247">
        <v>41992</v>
      </c>
      <c r="E62" s="248">
        <v>66</v>
      </c>
    </row>
    <row r="63" spans="1:5" s="176" customFormat="1" ht="9.75" customHeight="1" x14ac:dyDescent="0.2">
      <c r="A63" s="946" t="s">
        <v>303</v>
      </c>
      <c r="B63" s="947"/>
      <c r="C63" s="247">
        <v>41992</v>
      </c>
      <c r="D63" s="247">
        <v>41992</v>
      </c>
      <c r="E63" s="248">
        <v>100</v>
      </c>
    </row>
    <row r="64" spans="1:5" s="176" customFormat="1" ht="9.75" customHeight="1" x14ac:dyDescent="0.2">
      <c r="A64" s="946" t="s">
        <v>304</v>
      </c>
      <c r="B64" s="947"/>
      <c r="C64" s="247">
        <v>41992</v>
      </c>
      <c r="D64" s="247">
        <v>41992</v>
      </c>
      <c r="E64" s="248">
        <v>6949</v>
      </c>
    </row>
    <row r="65" spans="1:9" s="176" customFormat="1" ht="9.75" customHeight="1" x14ac:dyDescent="0.2">
      <c r="A65" s="946" t="s">
        <v>305</v>
      </c>
      <c r="B65" s="947"/>
      <c r="C65" s="247">
        <v>42004</v>
      </c>
      <c r="D65" s="247">
        <v>42004</v>
      </c>
      <c r="E65" s="248">
        <v>4000</v>
      </c>
    </row>
    <row r="66" spans="1:9" s="176" customFormat="1" ht="9.75" customHeight="1" x14ac:dyDescent="0.2">
      <c r="A66" s="946" t="s">
        <v>307</v>
      </c>
      <c r="B66" s="947"/>
      <c r="C66" s="247">
        <v>42004</v>
      </c>
      <c r="D66" s="247" t="s">
        <v>285</v>
      </c>
      <c r="E66" s="248">
        <v>3446</v>
      </c>
    </row>
    <row r="67" spans="1:9" s="176" customFormat="1" ht="9.75" customHeight="1" x14ac:dyDescent="0.2">
      <c r="A67" s="405"/>
      <c r="B67" s="405"/>
      <c r="C67" s="247"/>
      <c r="D67" s="247"/>
      <c r="E67" s="248"/>
    </row>
    <row r="68" spans="1:9" s="176" customFormat="1" ht="12" customHeight="1" x14ac:dyDescent="0.2">
      <c r="A68" s="494" t="s">
        <v>126</v>
      </c>
      <c r="B68" s="405"/>
      <c r="C68" s="247"/>
      <c r="D68" s="247"/>
      <c r="E68" s="248"/>
    </row>
    <row r="69" spans="1:9" s="176" customFormat="1" ht="9.75" customHeight="1" x14ac:dyDescent="0.2">
      <c r="A69" s="946" t="s">
        <v>306</v>
      </c>
      <c r="B69" s="947"/>
      <c r="C69" s="247">
        <v>41806</v>
      </c>
      <c r="D69" s="247">
        <v>41820</v>
      </c>
      <c r="E69" s="248">
        <v>1000</v>
      </c>
    </row>
    <row r="70" spans="1:9" s="176" customFormat="1" ht="9.75" customHeight="1" x14ac:dyDescent="0.2">
      <c r="A70" s="405" t="s">
        <v>286</v>
      </c>
      <c r="B70" s="405"/>
      <c r="C70" s="247"/>
      <c r="D70" s="247"/>
      <c r="E70" s="248"/>
    </row>
    <row r="71" spans="1:9" s="176" customFormat="1" ht="9" customHeight="1" x14ac:dyDescent="0.2">
      <c r="A71" s="487"/>
      <c r="C71" s="488"/>
      <c r="D71" s="488"/>
      <c r="E71" s="180"/>
    </row>
    <row r="72" spans="1:9" s="176" customFormat="1" ht="11.25" x14ac:dyDescent="0.2">
      <c r="A72" s="794" t="s">
        <v>152</v>
      </c>
      <c r="B72" s="794"/>
      <c r="C72" s="794"/>
      <c r="D72" s="794"/>
      <c r="E72" s="794"/>
      <c r="F72" s="794"/>
      <c r="G72" s="794"/>
      <c r="H72" s="794"/>
      <c r="I72" s="794"/>
    </row>
    <row r="73" spans="1:9" s="176" customFormat="1" ht="11.25" x14ac:dyDescent="0.2">
      <c r="A73" s="495"/>
      <c r="B73" s="495"/>
      <c r="C73" s="495"/>
      <c r="D73" s="495"/>
      <c r="E73" s="495"/>
      <c r="F73" s="495"/>
      <c r="G73" s="495"/>
      <c r="H73" s="495"/>
      <c r="I73" s="495"/>
    </row>
    <row r="74" spans="1:9" s="176" customFormat="1" ht="24" customHeight="1" x14ac:dyDescent="0.2">
      <c r="A74" s="887" t="s">
        <v>812</v>
      </c>
      <c r="B74" s="888"/>
      <c r="C74" s="888"/>
      <c r="D74" s="888"/>
      <c r="E74" s="888"/>
      <c r="F74" s="888"/>
      <c r="G74" s="888"/>
      <c r="H74" s="888"/>
      <c r="I74" s="889"/>
    </row>
    <row r="75" spans="1:9" s="176" customFormat="1" ht="11.25" x14ac:dyDescent="0.2"/>
    <row r="76" spans="1:9" s="175" customFormat="1" ht="10.5" x14ac:dyDescent="0.15">
      <c r="A76" s="750" t="s">
        <v>153</v>
      </c>
      <c r="B76" s="750"/>
      <c r="C76" s="750"/>
      <c r="D76" s="750"/>
      <c r="E76" s="750"/>
      <c r="F76" s="750"/>
      <c r="G76" s="750"/>
      <c r="H76" s="750"/>
      <c r="I76" s="750"/>
    </row>
    <row r="77" spans="1:9" s="176" customFormat="1" ht="11.25" x14ac:dyDescent="0.2">
      <c r="A77" s="175"/>
    </row>
    <row r="78" spans="1:9" s="176" customFormat="1" ht="45.75" customHeight="1" x14ac:dyDescent="0.2">
      <c r="A78" s="789" t="s">
        <v>308</v>
      </c>
      <c r="B78" s="790"/>
      <c r="C78" s="790"/>
      <c r="D78" s="790"/>
      <c r="E78" s="790"/>
      <c r="F78" s="790"/>
      <c r="G78" s="790"/>
      <c r="H78" s="790"/>
      <c r="I78" s="791"/>
    </row>
    <row r="79" spans="1:9" s="128" customFormat="1" x14ac:dyDescent="0.2">
      <c r="A79" s="789" t="s">
        <v>121</v>
      </c>
      <c r="B79" s="790"/>
      <c r="C79" s="790"/>
      <c r="D79" s="790"/>
      <c r="E79" s="790"/>
      <c r="F79" s="790"/>
      <c r="G79" s="790"/>
      <c r="H79" s="790"/>
      <c r="I79" s="791"/>
    </row>
  </sheetData>
  <mergeCells count="57">
    <mergeCell ref="A69:B69"/>
    <mergeCell ref="A79:I79"/>
    <mergeCell ref="D36:I36"/>
    <mergeCell ref="D37:I37"/>
    <mergeCell ref="C38:I38"/>
    <mergeCell ref="A40:I40"/>
    <mergeCell ref="A78:I78"/>
    <mergeCell ref="A76:I76"/>
    <mergeCell ref="A72:I72"/>
    <mergeCell ref="A74:I74"/>
    <mergeCell ref="A64:B64"/>
    <mergeCell ref="A65:B65"/>
    <mergeCell ref="A62:B62"/>
    <mergeCell ref="A63:B63"/>
    <mergeCell ref="C43:I43"/>
    <mergeCell ref="A59:B59"/>
    <mergeCell ref="D30:I30"/>
    <mergeCell ref="D9:I9"/>
    <mergeCell ref="F23:I23"/>
    <mergeCell ref="A66:B66"/>
    <mergeCell ref="F21:I21"/>
    <mergeCell ref="F22:I22"/>
    <mergeCell ref="A9:B9"/>
    <mergeCell ref="A11:I11"/>
    <mergeCell ref="A15:A16"/>
    <mergeCell ref="A55:B55"/>
    <mergeCell ref="A56:B56"/>
    <mergeCell ref="D31:I31"/>
    <mergeCell ref="A28:I28"/>
    <mergeCell ref="C32:I32"/>
    <mergeCell ref="A34:I34"/>
    <mergeCell ref="A60:B60"/>
    <mergeCell ref="A3:I3"/>
    <mergeCell ref="A5:B5"/>
    <mergeCell ref="D5:I5"/>
    <mergeCell ref="A6:B6"/>
    <mergeCell ref="D6:I6"/>
    <mergeCell ref="A7:B7"/>
    <mergeCell ref="D7:I7"/>
    <mergeCell ref="A8:B8"/>
    <mergeCell ref="D8:I8"/>
    <mergeCell ref="F26:I26"/>
    <mergeCell ref="F24:I24"/>
    <mergeCell ref="A19:I19"/>
    <mergeCell ref="F25:I25"/>
    <mergeCell ref="A61:B61"/>
    <mergeCell ref="C42:I42"/>
    <mergeCell ref="C45:I45"/>
    <mergeCell ref="A47:I47"/>
    <mergeCell ref="A49:B49"/>
    <mergeCell ref="A51:B51"/>
    <mergeCell ref="A57:B57"/>
    <mergeCell ref="A58:B58"/>
    <mergeCell ref="A53:B53"/>
    <mergeCell ref="C44:I44"/>
    <mergeCell ref="A52:B52"/>
    <mergeCell ref="A54:B54"/>
  </mergeCells>
  <printOptions horizontalCentered="1"/>
  <pageMargins left="0.19685039370078741" right="0.19685039370078741" top="0.59055118110236227" bottom="0.59055118110236227" header="0.31496062992125984" footer="0.31496062992125984"/>
  <pageSetup paperSize="9" firstPageNumber="94" orientation="landscape" r:id="rId1"/>
  <headerFooter>
    <oddFooter>&amp;C&amp;8Stránka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34</vt:i4>
      </vt:variant>
    </vt:vector>
  </HeadingPairs>
  <TitlesOfParts>
    <vt:vector size="34" baseType="lpstr">
      <vt:lpstr>MŠ Rumunská text</vt:lpstr>
      <vt:lpstr>MŠ Rumunská tabulka</vt:lpstr>
      <vt:lpstr>MŠ Šárka text</vt:lpstr>
      <vt:lpstr>MŠ Šárka tabulka</vt:lpstr>
      <vt:lpstr>MŠ Partyzánská text</vt:lpstr>
      <vt:lpstr>MŠ Partyzánská - tabulka</vt:lpstr>
      <vt:lpstr>MŠ Smetanova text</vt:lpstr>
      <vt:lpstr>MŠ Smetanova tabulka</vt:lpstr>
      <vt:lpstr>MŠ Moravská text</vt:lpstr>
      <vt:lpstr>MŠ Moravská tabulka</vt:lpstr>
      <vt:lpstr>ZŠ a MŠ Palackého text</vt:lpstr>
      <vt:lpstr> ZŠ a MŠ Palackého tabulka</vt:lpstr>
      <vt:lpstr>ZŠ a MŠ Kollárova text</vt:lpstr>
      <vt:lpstr> ZŠ a MŠ Kollárova - tabulka</vt:lpstr>
      <vt:lpstr>ZŠ a MŠ JŽ Sídl. svobody text</vt:lpstr>
      <vt:lpstr> ZŠ a MŠ JŽ Sídl. svobody tabul</vt:lpstr>
      <vt:lpstr>ZŠ a MŠ Melantrichova text</vt:lpstr>
      <vt:lpstr> ZŠ a MŠ Melantrichova tabulka</vt:lpstr>
      <vt:lpstr>ZŠ Majakovského text</vt:lpstr>
      <vt:lpstr> ZŠ Majakovského tabulka</vt:lpstr>
      <vt:lpstr>RG a ZŠ PV text</vt:lpstr>
      <vt:lpstr>RG a ZŠ PV tabulka</vt:lpstr>
      <vt:lpstr>ZŠ Dr. Horáka text</vt:lpstr>
      <vt:lpstr>ZŠ Dr. Horáka tabulka</vt:lpstr>
      <vt:lpstr>ZŠ E. Valenty text</vt:lpstr>
      <vt:lpstr>ZŠ E. Valenty tabulka</vt:lpstr>
      <vt:lpstr>SC DDM text</vt:lpstr>
      <vt:lpstr>SC DDM tabulka</vt:lpstr>
      <vt:lpstr>ZUŠ text</vt:lpstr>
      <vt:lpstr>ZUŠ tabulka</vt:lpstr>
      <vt:lpstr>MD PV text</vt:lpstr>
      <vt:lpstr>MD PV tabulka</vt:lpstr>
      <vt:lpstr>MK PV text</vt:lpstr>
      <vt:lpstr>MK PV tabulka</vt:lpstr>
    </vt:vector>
  </TitlesOfParts>
  <Company>Městský úřad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Neckař Milan</cp:lastModifiedBy>
  <cp:lastPrinted>2015-05-05T11:39:30Z</cp:lastPrinted>
  <dcterms:created xsi:type="dcterms:W3CDTF">1998-11-03T08:17:51Z</dcterms:created>
  <dcterms:modified xsi:type="dcterms:W3CDTF">2015-05-05T11:51:03Z</dcterms:modified>
</cp:coreProperties>
</file>