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15330" windowHeight="1875"/>
  </bookViews>
  <sheets>
    <sheet name="MŠ Rumunská text" sheetId="63" r:id="rId1"/>
    <sheet name="MŠ Rumunská tabulka" sheetId="46" r:id="rId2"/>
    <sheet name="MŠ Šárka text" sheetId="64" r:id="rId3"/>
    <sheet name="MŠ Šárka tabulka" sheetId="45" r:id="rId4"/>
    <sheet name="MŠ Partyzánská text" sheetId="65" r:id="rId5"/>
    <sheet name="MŠ Partyzánská - tabulka" sheetId="44" r:id="rId6"/>
    <sheet name="MŠ Smetanova text" sheetId="66" r:id="rId7"/>
    <sheet name="MŠ Smetanova tabulka" sheetId="43" r:id="rId8"/>
    <sheet name="MŠ Moravská text" sheetId="67" r:id="rId9"/>
    <sheet name="MŠ Moravská tabulka" sheetId="42" r:id="rId10"/>
    <sheet name="ZŠ a MŠ Palackého text" sheetId="68" r:id="rId11"/>
    <sheet name=" ZŠ a MŠ Palackého tabulka" sheetId="25" r:id="rId12"/>
    <sheet name="ZŠ a MŠ Kollárova text" sheetId="69" r:id="rId13"/>
    <sheet name=" ZŠ a MŠ Kollárova - tabulka" sheetId="49" r:id="rId14"/>
    <sheet name="ZŠ a MŠ JŽ Sídl. svobody text" sheetId="70" r:id="rId15"/>
    <sheet name=" ZŠ a MŠ JŽ Sídl. svobody tabul" sheetId="50" r:id="rId16"/>
    <sheet name="ZŠ a MŠ Melantrichova text" sheetId="71" r:id="rId17"/>
    <sheet name=" ZŠ a MŠ Melantrichova tabulka" sheetId="51" r:id="rId18"/>
    <sheet name="ZŠ Majakovského text" sheetId="72" r:id="rId19"/>
    <sheet name=" ZŠ Majakovského tabulka" sheetId="52" r:id="rId20"/>
    <sheet name="RG a ZŠ PV text" sheetId="73" r:id="rId21"/>
    <sheet name="RG a ZŠ PV tabulka" sheetId="53" r:id="rId22"/>
    <sheet name="ZŠ Dr. Horáka text" sheetId="74" r:id="rId23"/>
    <sheet name="ZŠ Dr. Horáka tabulka" sheetId="54" r:id="rId24"/>
    <sheet name="ZŠ E. Valenty text" sheetId="75" r:id="rId25"/>
    <sheet name="ZŠ E. Valenty tabulka" sheetId="55" r:id="rId26"/>
    <sheet name="SC DDM text" sheetId="76" r:id="rId27"/>
    <sheet name="SC DDM tabulka" sheetId="56" r:id="rId28"/>
    <sheet name="ZUŠ text" sheetId="77" r:id="rId29"/>
    <sheet name="ZUŠ tabulka" sheetId="57" r:id="rId30"/>
    <sheet name="MD PV text" sheetId="62" r:id="rId31"/>
    <sheet name="MD PV tabulka" sheetId="58" r:id="rId32"/>
    <sheet name="MK PV text" sheetId="78" r:id="rId33"/>
    <sheet name="MK PV tabulka" sheetId="61" r:id="rId34"/>
  </sheets>
  <calcPr calcId="145621"/>
</workbook>
</file>

<file path=xl/calcChain.xml><?xml version="1.0" encoding="utf-8"?>
<calcChain xmlns="http://schemas.openxmlformats.org/spreadsheetml/2006/main">
  <c r="F17" i="70" l="1"/>
  <c r="D17" i="70"/>
  <c r="C17" i="70"/>
  <c r="B17" i="70"/>
  <c r="E16" i="70"/>
  <c r="E15" i="70"/>
  <c r="E14" i="70"/>
  <c r="E13" i="70"/>
  <c r="E17" i="70" l="1"/>
  <c r="K11" i="49" l="1"/>
  <c r="L11" i="49"/>
  <c r="N11" i="49"/>
  <c r="O11" i="49"/>
  <c r="P11" i="49"/>
  <c r="Q11" i="49"/>
  <c r="S11" i="49"/>
  <c r="T11" i="49"/>
  <c r="U11" i="49"/>
  <c r="V11" i="49"/>
  <c r="X11" i="49"/>
  <c r="D17" i="69" l="1"/>
  <c r="C17" i="69"/>
  <c r="B17" i="69"/>
  <c r="F16" i="69"/>
  <c r="F15" i="69"/>
  <c r="E14" i="69"/>
  <c r="F14" i="69" s="1"/>
  <c r="E13" i="69"/>
  <c r="E17" i="69" l="1"/>
  <c r="F13" i="69"/>
  <c r="F17" i="69" s="1"/>
  <c r="D17" i="68"/>
  <c r="C17" i="68"/>
  <c r="B17" i="68"/>
  <c r="E16" i="68"/>
  <c r="F16" i="68" s="1"/>
  <c r="E15" i="68"/>
  <c r="F15" i="68" s="1"/>
  <c r="E14" i="68"/>
  <c r="E13" i="68"/>
  <c r="F13" i="68" s="1"/>
  <c r="F17" i="67"/>
  <c r="E17" i="67"/>
  <c r="D17" i="67"/>
  <c r="C17" i="67"/>
  <c r="B17" i="67"/>
  <c r="E17" i="68" l="1"/>
  <c r="F14" i="68"/>
  <c r="F17" i="68" s="1"/>
  <c r="F17" i="66"/>
  <c r="E17" i="66"/>
  <c r="D17" i="66"/>
  <c r="C17" i="66"/>
  <c r="B17" i="66"/>
  <c r="F17" i="64" l="1"/>
  <c r="E17" i="64"/>
  <c r="D17" i="64"/>
  <c r="C17" i="64"/>
  <c r="B17" i="64"/>
  <c r="F17" i="71" l="1"/>
  <c r="D17" i="71"/>
  <c r="C17" i="71"/>
  <c r="B17" i="71"/>
  <c r="E16" i="71"/>
  <c r="E15" i="71"/>
  <c r="E14" i="71"/>
  <c r="E13" i="71"/>
  <c r="E17" i="71" l="1"/>
  <c r="F17" i="72" l="1"/>
  <c r="E17" i="72"/>
  <c r="D17" i="72"/>
  <c r="C17" i="72"/>
  <c r="B17" i="72"/>
  <c r="C17" i="73" l="1"/>
  <c r="E16" i="73"/>
  <c r="F16" i="73" s="1"/>
  <c r="E15" i="73"/>
  <c r="F15" i="73" s="1"/>
  <c r="E14" i="73"/>
  <c r="F14" i="73" s="1"/>
  <c r="D13" i="73"/>
  <c r="D17" i="73" s="1"/>
  <c r="B13" i="73"/>
  <c r="B17" i="73" s="1"/>
  <c r="E13" i="73" l="1"/>
  <c r="E17" i="73" l="1"/>
  <c r="F13" i="73"/>
  <c r="F17" i="73" s="1"/>
  <c r="F17" i="74" l="1"/>
  <c r="E17" i="74"/>
  <c r="D17" i="74"/>
  <c r="C17" i="74"/>
  <c r="B17" i="74"/>
  <c r="H36" i="54"/>
  <c r="H35" i="54"/>
  <c r="H34" i="54"/>
  <c r="F17" i="75"/>
  <c r="D17" i="75"/>
  <c r="C17" i="75"/>
  <c r="B17" i="75"/>
  <c r="E16" i="75"/>
  <c r="E15" i="75"/>
  <c r="E14" i="75"/>
  <c r="E13" i="75"/>
  <c r="E17" i="75" l="1"/>
  <c r="F17" i="76" l="1"/>
  <c r="D17" i="76"/>
  <c r="C17" i="76"/>
  <c r="B17" i="76"/>
  <c r="E16" i="76"/>
  <c r="E15" i="76"/>
  <c r="E14" i="76"/>
  <c r="E13" i="76"/>
  <c r="E17" i="76" s="1"/>
  <c r="F17" i="78" l="1"/>
  <c r="E17" i="78"/>
  <c r="D17" i="78"/>
  <c r="C17" i="78"/>
  <c r="B17" i="78"/>
  <c r="F17" i="62" l="1"/>
  <c r="E17" i="62"/>
  <c r="D17" i="62"/>
  <c r="C17" i="62"/>
  <c r="B17" i="62"/>
  <c r="F17" i="65" l="1"/>
  <c r="E17" i="65"/>
  <c r="D17" i="65"/>
  <c r="C17" i="65"/>
  <c r="B17" i="65"/>
  <c r="F17" i="63" l="1"/>
  <c r="E17" i="63"/>
  <c r="D17" i="63"/>
  <c r="C17" i="63"/>
  <c r="B17" i="63"/>
  <c r="V33" i="44" l="1"/>
  <c r="U33" i="44"/>
  <c r="T33" i="44"/>
  <c r="S33" i="44"/>
  <c r="Q33" i="44"/>
  <c r="P33" i="44"/>
  <c r="O33" i="44"/>
  <c r="N33" i="44"/>
  <c r="L33" i="44"/>
  <c r="K33" i="44"/>
  <c r="J33" i="44"/>
  <c r="X11" i="44"/>
  <c r="X33" i="44" s="1"/>
  <c r="V11" i="44"/>
  <c r="U11" i="44"/>
  <c r="T11" i="44"/>
  <c r="S11" i="44"/>
  <c r="Q11" i="44"/>
  <c r="P11" i="44"/>
  <c r="O11" i="44"/>
  <c r="N11" i="44"/>
  <c r="L11" i="44"/>
  <c r="K11" i="44"/>
  <c r="J11" i="44"/>
  <c r="I11" i="44"/>
  <c r="X6" i="44"/>
  <c r="V6" i="44"/>
  <c r="U6" i="44"/>
  <c r="T6" i="44"/>
  <c r="S6" i="44"/>
  <c r="Q6" i="44"/>
  <c r="P6" i="44"/>
  <c r="O6" i="44"/>
  <c r="N6" i="44"/>
  <c r="L6" i="44"/>
  <c r="K6" i="44"/>
  <c r="J6" i="44"/>
  <c r="H36" i="44"/>
  <c r="H35" i="44"/>
  <c r="H34" i="44"/>
  <c r="W32" i="45" l="1"/>
  <c r="R32" i="45"/>
  <c r="M32" i="45"/>
  <c r="W31" i="45"/>
  <c r="R31" i="45"/>
  <c r="M31" i="45"/>
  <c r="W30" i="45"/>
  <c r="R30" i="45"/>
  <c r="M30" i="45"/>
  <c r="W29" i="45"/>
  <c r="R29" i="45"/>
  <c r="M29" i="45"/>
  <c r="W28" i="45"/>
  <c r="R28" i="45"/>
  <c r="M28" i="45"/>
  <c r="W27" i="45"/>
  <c r="R27" i="45"/>
  <c r="M27" i="45"/>
  <c r="W26" i="45"/>
  <c r="R26" i="45"/>
  <c r="M26" i="45"/>
  <c r="W25" i="45"/>
  <c r="R25" i="45"/>
  <c r="M25" i="45"/>
  <c r="W24" i="45"/>
  <c r="R24" i="45"/>
  <c r="M24" i="45"/>
  <c r="W23" i="45"/>
  <c r="R23" i="45"/>
  <c r="M23" i="45"/>
  <c r="W22" i="45"/>
  <c r="R22" i="45"/>
  <c r="M22" i="45"/>
  <c r="W21" i="45"/>
  <c r="R21" i="45"/>
  <c r="M21" i="45"/>
  <c r="W20" i="45"/>
  <c r="R20" i="45"/>
  <c r="M20" i="45"/>
  <c r="W19" i="45"/>
  <c r="R19" i="45"/>
  <c r="M19" i="45"/>
  <c r="W18" i="45"/>
  <c r="R18" i="45"/>
  <c r="M18" i="45"/>
  <c r="W17" i="45"/>
  <c r="R17" i="45"/>
  <c r="M17" i="45"/>
  <c r="W16" i="45"/>
  <c r="R16" i="45"/>
  <c r="M16" i="45"/>
  <c r="W15" i="45"/>
  <c r="R15" i="45"/>
  <c r="M15" i="45"/>
  <c r="W14" i="45"/>
  <c r="R14" i="45"/>
  <c r="M14" i="45"/>
  <c r="W13" i="45"/>
  <c r="R13" i="45"/>
  <c r="M13" i="45"/>
  <c r="W12" i="45"/>
  <c r="R12" i="45"/>
  <c r="M12" i="45"/>
  <c r="X11" i="45"/>
  <c r="W11" i="45"/>
  <c r="V11" i="45"/>
  <c r="U11" i="45"/>
  <c r="U33" i="45" s="1"/>
  <c r="T11" i="45"/>
  <c r="S11" i="45"/>
  <c r="Q11" i="45"/>
  <c r="P11" i="45"/>
  <c r="O11" i="45"/>
  <c r="N11" i="45"/>
  <c r="L11" i="45"/>
  <c r="K11" i="45"/>
  <c r="J11" i="45"/>
  <c r="W10" i="45"/>
  <c r="R10" i="45"/>
  <c r="M10" i="45"/>
  <c r="W9" i="45"/>
  <c r="R9" i="45"/>
  <c r="M9" i="45"/>
  <c r="W8" i="45"/>
  <c r="R8" i="45"/>
  <c r="M8" i="45"/>
  <c r="W7" i="45"/>
  <c r="R7" i="45"/>
  <c r="M7" i="45"/>
  <c r="X6" i="45"/>
  <c r="X33" i="45" s="1"/>
  <c r="V6" i="45"/>
  <c r="W6" i="45" s="1"/>
  <c r="U6" i="45"/>
  <c r="T6" i="45"/>
  <c r="T33" i="45" s="1"/>
  <c r="S6" i="45"/>
  <c r="S33" i="45" s="1"/>
  <c r="Q6" i="45"/>
  <c r="Q33" i="45" s="1"/>
  <c r="P6" i="45"/>
  <c r="P33" i="45" s="1"/>
  <c r="O6" i="45"/>
  <c r="O33" i="45" s="1"/>
  <c r="N6" i="45"/>
  <c r="L6" i="45"/>
  <c r="L33" i="45" s="1"/>
  <c r="K6" i="45"/>
  <c r="K33" i="45" s="1"/>
  <c r="J6" i="45"/>
  <c r="J33" i="45" s="1"/>
  <c r="H36" i="45"/>
  <c r="H35" i="45"/>
  <c r="H34" i="45"/>
  <c r="N33" i="45" l="1"/>
  <c r="R11" i="45"/>
  <c r="M11" i="45"/>
  <c r="R6" i="45"/>
  <c r="R33" i="45"/>
  <c r="M33" i="45"/>
  <c r="V33" i="45"/>
  <c r="W33" i="45" s="1"/>
  <c r="M6" i="45"/>
  <c r="G25" i="57" l="1"/>
  <c r="G11" i="57"/>
  <c r="V33" i="57"/>
  <c r="N33" i="57"/>
  <c r="J33" i="57"/>
  <c r="W32" i="57"/>
  <c r="R32" i="57"/>
  <c r="M32" i="57"/>
  <c r="W31" i="57"/>
  <c r="R31" i="57"/>
  <c r="M31" i="57"/>
  <c r="W30" i="57"/>
  <c r="R30" i="57"/>
  <c r="M30" i="57"/>
  <c r="W29" i="57"/>
  <c r="R29" i="57"/>
  <c r="M29" i="57"/>
  <c r="W28" i="57"/>
  <c r="R28" i="57"/>
  <c r="M28" i="57"/>
  <c r="W27" i="57"/>
  <c r="R27" i="57"/>
  <c r="M27" i="57"/>
  <c r="W26" i="57"/>
  <c r="R26" i="57"/>
  <c r="M26" i="57"/>
  <c r="W25" i="57"/>
  <c r="R25" i="57"/>
  <c r="M25" i="57"/>
  <c r="W24" i="57"/>
  <c r="R24" i="57"/>
  <c r="M24" i="57"/>
  <c r="W23" i="57"/>
  <c r="R23" i="57"/>
  <c r="M23" i="57"/>
  <c r="W22" i="57"/>
  <c r="R22" i="57"/>
  <c r="M22" i="57"/>
  <c r="W21" i="57"/>
  <c r="R21" i="57"/>
  <c r="M21" i="57"/>
  <c r="W20" i="57"/>
  <c r="R20" i="57"/>
  <c r="M20" i="57"/>
  <c r="W19" i="57"/>
  <c r="R19" i="57"/>
  <c r="M19" i="57"/>
  <c r="W18" i="57"/>
  <c r="R18" i="57"/>
  <c r="M18" i="57"/>
  <c r="W17" i="57"/>
  <c r="R17" i="57"/>
  <c r="M17" i="57"/>
  <c r="W16" i="57"/>
  <c r="R16" i="57"/>
  <c r="M16" i="57"/>
  <c r="W15" i="57"/>
  <c r="R15" i="57"/>
  <c r="M15" i="57"/>
  <c r="W14" i="57"/>
  <c r="R14" i="57"/>
  <c r="M14" i="57"/>
  <c r="W13" i="57"/>
  <c r="R13" i="57"/>
  <c r="M13" i="57"/>
  <c r="W12" i="57"/>
  <c r="R12" i="57"/>
  <c r="M12" i="57"/>
  <c r="X11" i="57"/>
  <c r="V11" i="57"/>
  <c r="W11" i="57" s="1"/>
  <c r="U11" i="57"/>
  <c r="T11" i="57"/>
  <c r="S11" i="57"/>
  <c r="Q11" i="57"/>
  <c r="R11" i="57" s="1"/>
  <c r="P11" i="57"/>
  <c r="O11" i="57"/>
  <c r="N11" i="57"/>
  <c r="L11" i="57"/>
  <c r="M11" i="57" s="1"/>
  <c r="K11" i="57"/>
  <c r="J11" i="57"/>
  <c r="W10" i="57"/>
  <c r="R10" i="57"/>
  <c r="M10" i="57"/>
  <c r="W9" i="57"/>
  <c r="R9" i="57"/>
  <c r="M9" i="57"/>
  <c r="W8" i="57"/>
  <c r="R8" i="57"/>
  <c r="M8" i="57"/>
  <c r="W7" i="57"/>
  <c r="R7" i="57"/>
  <c r="M7" i="57"/>
  <c r="X6" i="57"/>
  <c r="X33" i="57" s="1"/>
  <c r="W6" i="57"/>
  <c r="V6" i="57"/>
  <c r="U6" i="57"/>
  <c r="U33" i="57" s="1"/>
  <c r="T6" i="57"/>
  <c r="T33" i="57" s="1"/>
  <c r="S6" i="57"/>
  <c r="S33" i="57" s="1"/>
  <c r="Q6" i="57"/>
  <c r="Q33" i="57" s="1"/>
  <c r="P6" i="57"/>
  <c r="P33" i="57" s="1"/>
  <c r="O6" i="57"/>
  <c r="O33" i="57" s="1"/>
  <c r="N6" i="57"/>
  <c r="L6" i="57"/>
  <c r="L33" i="57" s="1"/>
  <c r="K6" i="57"/>
  <c r="K33" i="57" s="1"/>
  <c r="J6" i="57"/>
  <c r="H36" i="57"/>
  <c r="H35" i="57"/>
  <c r="H34" i="57"/>
  <c r="M33" i="57" l="1"/>
  <c r="R33" i="57"/>
  <c r="W33" i="57"/>
  <c r="M6" i="57"/>
  <c r="R6" i="57"/>
  <c r="H36" i="61" l="1"/>
  <c r="H35" i="61"/>
  <c r="H34" i="61"/>
  <c r="I9" i="56" l="1"/>
  <c r="I8" i="56"/>
  <c r="I7" i="56"/>
  <c r="I32" i="56"/>
  <c r="I31" i="56"/>
  <c r="I30" i="56"/>
  <c r="I29" i="56"/>
  <c r="I28" i="56"/>
  <c r="I27" i="56"/>
  <c r="I26" i="56"/>
  <c r="I25" i="56"/>
  <c r="I24" i="56"/>
  <c r="I23" i="56"/>
  <c r="I22" i="56"/>
  <c r="I21" i="56"/>
  <c r="I20" i="56"/>
  <c r="I19" i="56"/>
  <c r="I18" i="56"/>
  <c r="I17" i="56"/>
  <c r="I16" i="56"/>
  <c r="I15" i="56"/>
  <c r="I14" i="56"/>
  <c r="I13" i="56"/>
  <c r="I11" i="56" s="1"/>
  <c r="I12" i="56"/>
  <c r="X11" i="56"/>
  <c r="V11" i="56"/>
  <c r="V33" i="56" s="1"/>
  <c r="U11" i="56"/>
  <c r="T11" i="56"/>
  <c r="S11" i="56"/>
  <c r="Q11" i="56"/>
  <c r="P11" i="56"/>
  <c r="O11" i="56"/>
  <c r="N11" i="56"/>
  <c r="N33" i="56" s="1"/>
  <c r="L11" i="56"/>
  <c r="K11" i="56"/>
  <c r="J11" i="56"/>
  <c r="G11" i="56"/>
  <c r="F11" i="56"/>
  <c r="E11" i="56"/>
  <c r="M11" i="56"/>
  <c r="M10" i="56"/>
  <c r="W10" i="56"/>
  <c r="R11" i="56"/>
  <c r="R10" i="56"/>
  <c r="W32" i="56"/>
  <c r="W31" i="56"/>
  <c r="W30" i="56"/>
  <c r="W29" i="56"/>
  <c r="W28" i="56"/>
  <c r="W27" i="56"/>
  <c r="W26" i="56"/>
  <c r="W25" i="56"/>
  <c r="W24" i="56"/>
  <c r="W23" i="56"/>
  <c r="W22" i="56"/>
  <c r="W21" i="56"/>
  <c r="W20" i="56"/>
  <c r="W19" i="56"/>
  <c r="W18" i="56"/>
  <c r="W17" i="56"/>
  <c r="W16" i="56"/>
  <c r="W15" i="56"/>
  <c r="W14" i="56"/>
  <c r="W13" i="56"/>
  <c r="W12" i="56"/>
  <c r="W9" i="56"/>
  <c r="W8" i="56"/>
  <c r="W7" i="56"/>
  <c r="R32" i="56"/>
  <c r="R31" i="56"/>
  <c r="R30" i="56"/>
  <c r="R29" i="56"/>
  <c r="R28" i="56"/>
  <c r="R27" i="56"/>
  <c r="R26" i="56"/>
  <c r="R25" i="56"/>
  <c r="R24" i="56"/>
  <c r="R23" i="56"/>
  <c r="R22" i="56"/>
  <c r="R21" i="56"/>
  <c r="R20" i="56"/>
  <c r="R19" i="56"/>
  <c r="R18" i="56"/>
  <c r="R17" i="56"/>
  <c r="R16" i="56"/>
  <c r="R15" i="56"/>
  <c r="R14" i="56"/>
  <c r="R13" i="56"/>
  <c r="R12" i="56"/>
  <c r="R9" i="56"/>
  <c r="R8" i="56"/>
  <c r="R7" i="56"/>
  <c r="M9" i="56"/>
  <c r="M8" i="56"/>
  <c r="M7" i="56"/>
  <c r="M32" i="56"/>
  <c r="M31" i="56"/>
  <c r="M30" i="56"/>
  <c r="M29" i="56"/>
  <c r="M28" i="56"/>
  <c r="M27" i="56"/>
  <c r="M26" i="56"/>
  <c r="M25" i="56"/>
  <c r="M24" i="56"/>
  <c r="M23" i="56"/>
  <c r="M22" i="56"/>
  <c r="M21" i="56"/>
  <c r="M20" i="56"/>
  <c r="M19" i="56"/>
  <c r="M18" i="56"/>
  <c r="M17" i="56"/>
  <c r="M15" i="56"/>
  <c r="M14" i="56"/>
  <c r="M13" i="56"/>
  <c r="M12" i="56"/>
  <c r="U29" i="56"/>
  <c r="K29" i="56"/>
  <c r="U26" i="56"/>
  <c r="K26" i="56"/>
  <c r="K22" i="56"/>
  <c r="U21" i="56"/>
  <c r="K21" i="56"/>
  <c r="U20" i="56"/>
  <c r="P20" i="56"/>
  <c r="K20" i="56"/>
  <c r="U19" i="56"/>
  <c r="Q19" i="56"/>
  <c r="P19" i="56"/>
  <c r="O19" i="56"/>
  <c r="L19" i="56"/>
  <c r="K19" i="56"/>
  <c r="U18" i="56"/>
  <c r="K18" i="56"/>
  <c r="K17" i="56"/>
  <c r="K16" i="56"/>
  <c r="M16" i="56" s="1"/>
  <c r="U15" i="56"/>
  <c r="K15" i="56"/>
  <c r="U13" i="56"/>
  <c r="K13" i="56"/>
  <c r="U12" i="56"/>
  <c r="O12" i="56"/>
  <c r="P12" i="56" s="1"/>
  <c r="K12" i="56"/>
  <c r="J33" i="56"/>
  <c r="O9" i="56"/>
  <c r="P9" i="56" s="1"/>
  <c r="K9" i="56"/>
  <c r="K8" i="56"/>
  <c r="U7" i="56"/>
  <c r="U6" i="56" s="1"/>
  <c r="K7" i="56"/>
  <c r="X6" i="56"/>
  <c r="X33" i="56" s="1"/>
  <c r="V6" i="56"/>
  <c r="T6" i="56"/>
  <c r="T33" i="56" s="1"/>
  <c r="S6" i="56"/>
  <c r="S33" i="56" s="1"/>
  <c r="Q6" i="56"/>
  <c r="O6" i="56"/>
  <c r="O33" i="56" s="1"/>
  <c r="N6" i="56"/>
  <c r="L6" i="56"/>
  <c r="M6" i="56" s="1"/>
  <c r="K6" i="56"/>
  <c r="J6" i="56"/>
  <c r="H36" i="56"/>
  <c r="H35" i="56"/>
  <c r="H34" i="56"/>
  <c r="W11" i="56" l="1"/>
  <c r="P6" i="56"/>
  <c r="R6" i="56" s="1"/>
  <c r="L33" i="56"/>
  <c r="M33" i="56" s="1"/>
  <c r="K33" i="56"/>
  <c r="U33" i="56"/>
  <c r="W33" i="56" s="1"/>
  <c r="W6" i="56"/>
  <c r="Q33" i="56"/>
  <c r="P33" i="56" l="1"/>
  <c r="R33" i="56" s="1"/>
  <c r="X11" i="51" l="1"/>
  <c r="I33" i="51"/>
  <c r="N33" i="51"/>
  <c r="W32" i="51"/>
  <c r="W31" i="51"/>
  <c r="W30" i="51"/>
  <c r="W29" i="51"/>
  <c r="W28" i="51"/>
  <c r="W27" i="51"/>
  <c r="W26" i="51"/>
  <c r="W25" i="51"/>
  <c r="W24" i="51"/>
  <c r="W23" i="51"/>
  <c r="W22" i="51"/>
  <c r="W21" i="51"/>
  <c r="W20" i="51"/>
  <c r="W19" i="51"/>
  <c r="W18" i="51"/>
  <c r="W17" i="51"/>
  <c r="W16" i="51"/>
  <c r="W15" i="51"/>
  <c r="W14" i="51"/>
  <c r="W13" i="51"/>
  <c r="W12" i="51"/>
  <c r="W9" i="51"/>
  <c r="W8" i="51"/>
  <c r="W7" i="51"/>
  <c r="R32" i="51"/>
  <c r="R31" i="51"/>
  <c r="R30" i="51"/>
  <c r="R29" i="51"/>
  <c r="R28" i="51"/>
  <c r="R27" i="51"/>
  <c r="R26" i="51"/>
  <c r="R25" i="51"/>
  <c r="R24" i="51"/>
  <c r="R23" i="51"/>
  <c r="R22" i="51"/>
  <c r="R21" i="51"/>
  <c r="R20" i="51"/>
  <c r="R19" i="51"/>
  <c r="R18" i="51"/>
  <c r="R17" i="51"/>
  <c r="R16" i="51"/>
  <c r="R15" i="51"/>
  <c r="R14" i="51"/>
  <c r="R13" i="51"/>
  <c r="R12" i="51"/>
  <c r="R9" i="51"/>
  <c r="R8" i="51"/>
  <c r="R7" i="51"/>
  <c r="M32" i="51"/>
  <c r="M31" i="51"/>
  <c r="M30" i="51"/>
  <c r="M29" i="51"/>
  <c r="M28" i="51"/>
  <c r="M27" i="51"/>
  <c r="M26" i="51"/>
  <c r="M25" i="51"/>
  <c r="M24" i="51"/>
  <c r="M23" i="51"/>
  <c r="M22" i="51"/>
  <c r="M21" i="51"/>
  <c r="M20" i="51"/>
  <c r="M19" i="51"/>
  <c r="M18" i="51"/>
  <c r="M17" i="51"/>
  <c r="M16" i="51"/>
  <c r="M14" i="51"/>
  <c r="M13" i="51"/>
  <c r="M12" i="51"/>
  <c r="M9" i="51"/>
  <c r="M8" i="51"/>
  <c r="M7" i="51"/>
  <c r="M15" i="51"/>
  <c r="W10" i="51"/>
  <c r="R10" i="51"/>
  <c r="M10" i="51"/>
  <c r="K29" i="51"/>
  <c r="L28" i="51"/>
  <c r="K28" i="51"/>
  <c r="K26" i="51"/>
  <c r="O21" i="51"/>
  <c r="V20" i="51"/>
  <c r="V11" i="51" s="1"/>
  <c r="U20" i="51"/>
  <c r="U11" i="51" s="1"/>
  <c r="O20" i="51"/>
  <c r="L19" i="51"/>
  <c r="L18" i="51"/>
  <c r="K18" i="51"/>
  <c r="K17" i="51"/>
  <c r="L16" i="51"/>
  <c r="L13" i="51"/>
  <c r="L12" i="51"/>
  <c r="K12" i="51"/>
  <c r="T11" i="51"/>
  <c r="S11" i="51"/>
  <c r="Q11" i="51"/>
  <c r="P11" i="51"/>
  <c r="R11" i="51" s="1"/>
  <c r="O11" i="51"/>
  <c r="N11" i="51"/>
  <c r="K11" i="51"/>
  <c r="J11" i="51"/>
  <c r="Q9" i="51"/>
  <c r="L9" i="51"/>
  <c r="K9" i="51"/>
  <c r="V7" i="51"/>
  <c r="L6" i="51"/>
  <c r="K6" i="51"/>
  <c r="X6" i="51"/>
  <c r="U6" i="51"/>
  <c r="T6" i="51"/>
  <c r="S6" i="51"/>
  <c r="Q6" i="51"/>
  <c r="R6" i="51" s="1"/>
  <c r="P6" i="51"/>
  <c r="O6" i="51"/>
  <c r="J6" i="51"/>
  <c r="H36" i="51"/>
  <c r="H35" i="51"/>
  <c r="N6" i="51" l="1"/>
  <c r="W11" i="51"/>
  <c r="M6" i="51"/>
  <c r="L11" i="51"/>
  <c r="M11" i="51" s="1"/>
  <c r="V6" i="51"/>
  <c r="W6" i="51" s="1"/>
  <c r="W10" i="53" l="1"/>
  <c r="R10" i="53"/>
  <c r="M33" i="53"/>
  <c r="R33" i="53"/>
  <c r="M32" i="53"/>
  <c r="M31" i="53"/>
  <c r="M30" i="53"/>
  <c r="M29" i="53"/>
  <c r="M28" i="53"/>
  <c r="M27" i="53"/>
  <c r="M26" i="53"/>
  <c r="M25" i="53"/>
  <c r="M24" i="53"/>
  <c r="M23" i="53"/>
  <c r="M22" i="53"/>
  <c r="M21" i="53"/>
  <c r="M20" i="53"/>
  <c r="M19" i="53"/>
  <c r="M18" i="53"/>
  <c r="M17" i="53"/>
  <c r="M16" i="53"/>
  <c r="M15" i="53"/>
  <c r="M14" i="53"/>
  <c r="M12" i="53"/>
  <c r="M9" i="53"/>
  <c r="M8" i="53"/>
  <c r="M7" i="53"/>
  <c r="W32" i="53"/>
  <c r="W31" i="53"/>
  <c r="W30" i="53"/>
  <c r="W29" i="53"/>
  <c r="W28" i="53"/>
  <c r="W27" i="53"/>
  <c r="W26" i="53"/>
  <c r="W25" i="53"/>
  <c r="W24" i="53"/>
  <c r="W23" i="53"/>
  <c r="W22" i="53"/>
  <c r="W21" i="53"/>
  <c r="W20" i="53"/>
  <c r="W19" i="53"/>
  <c r="W18" i="53"/>
  <c r="W17" i="53"/>
  <c r="W16" i="53"/>
  <c r="W15" i="53"/>
  <c r="W14" i="53"/>
  <c r="W13" i="53"/>
  <c r="W12" i="53"/>
  <c r="W9" i="53"/>
  <c r="W8" i="53"/>
  <c r="W7" i="53"/>
  <c r="R8" i="53"/>
  <c r="R7" i="53"/>
  <c r="R32" i="53"/>
  <c r="R31" i="53"/>
  <c r="R30" i="53"/>
  <c r="R29" i="53"/>
  <c r="R28" i="53"/>
  <c r="R27" i="53"/>
  <c r="R26" i="53"/>
  <c r="R25" i="53"/>
  <c r="R24" i="53"/>
  <c r="R23" i="53"/>
  <c r="R22" i="53"/>
  <c r="R21" i="53"/>
  <c r="R20" i="53"/>
  <c r="R19" i="53"/>
  <c r="R18" i="53"/>
  <c r="R17" i="53"/>
  <c r="R16" i="53"/>
  <c r="R15" i="53"/>
  <c r="R14" i="53"/>
  <c r="R13" i="53"/>
  <c r="M10" i="53"/>
  <c r="K33" i="53"/>
  <c r="P20" i="53"/>
  <c r="P19" i="53"/>
  <c r="M13" i="53"/>
  <c r="R12" i="53"/>
  <c r="X11" i="53"/>
  <c r="V11" i="53"/>
  <c r="U11" i="53"/>
  <c r="U33" i="53" s="1"/>
  <c r="T11" i="53"/>
  <c r="S11" i="53"/>
  <c r="Q11" i="53"/>
  <c r="R11" i="53" s="1"/>
  <c r="P11" i="53"/>
  <c r="O11" i="53"/>
  <c r="N11" i="53"/>
  <c r="L11" i="53"/>
  <c r="L33" i="53" s="1"/>
  <c r="K11" i="53"/>
  <c r="J11" i="53"/>
  <c r="P9" i="53"/>
  <c r="P6" i="53" s="1"/>
  <c r="X6" i="53"/>
  <c r="V6" i="53"/>
  <c r="U6" i="53"/>
  <c r="T6" i="53"/>
  <c r="T33" i="53" s="1"/>
  <c r="S6" i="53"/>
  <c r="S33" i="53" s="1"/>
  <c r="Q6" i="53"/>
  <c r="O6" i="53"/>
  <c r="O33" i="53" s="1"/>
  <c r="N6" i="53"/>
  <c r="N33" i="53" s="1"/>
  <c r="L6" i="53"/>
  <c r="M6" i="53" s="1"/>
  <c r="K6" i="53"/>
  <c r="J6" i="53"/>
  <c r="J33" i="53" s="1"/>
  <c r="H36" i="53"/>
  <c r="H35" i="53"/>
  <c r="W11" i="53" l="1"/>
  <c r="V33" i="53"/>
  <c r="W33" i="53" s="1"/>
  <c r="X33" i="53"/>
  <c r="P33" i="53"/>
  <c r="R6" i="53"/>
  <c r="W6" i="53"/>
  <c r="R9" i="53"/>
  <c r="M11" i="53"/>
  <c r="Q33" i="53"/>
  <c r="W32" i="54" l="1"/>
  <c r="R32" i="54"/>
  <c r="M32" i="54"/>
  <c r="W31" i="54"/>
  <c r="R31" i="54"/>
  <c r="M31" i="54"/>
  <c r="W30" i="54"/>
  <c r="R30" i="54"/>
  <c r="M30" i="54"/>
  <c r="W29" i="54"/>
  <c r="R29" i="54"/>
  <c r="M29" i="54"/>
  <c r="W28" i="54"/>
  <c r="R28" i="54"/>
  <c r="M28" i="54"/>
  <c r="W27" i="54"/>
  <c r="R27" i="54"/>
  <c r="M27" i="54"/>
  <c r="W26" i="54"/>
  <c r="R26" i="54"/>
  <c r="M26" i="54"/>
  <c r="W25" i="54"/>
  <c r="R25" i="54"/>
  <c r="M25" i="54"/>
  <c r="W24" i="54"/>
  <c r="R24" i="54"/>
  <c r="M24" i="54"/>
  <c r="W23" i="54"/>
  <c r="R23" i="54"/>
  <c r="M23" i="54"/>
  <c r="W22" i="54"/>
  <c r="R22" i="54"/>
  <c r="M22" i="54"/>
  <c r="W21" i="54"/>
  <c r="R21" i="54"/>
  <c r="M21" i="54"/>
  <c r="W20" i="54"/>
  <c r="R20" i="54"/>
  <c r="M20" i="54"/>
  <c r="W19" i="54"/>
  <c r="R19" i="54"/>
  <c r="O19" i="54"/>
  <c r="M19" i="54"/>
  <c r="W18" i="54"/>
  <c r="R18" i="54"/>
  <c r="M18" i="54"/>
  <c r="W17" i="54"/>
  <c r="R17" i="54"/>
  <c r="M17" i="54"/>
  <c r="W16" i="54"/>
  <c r="R16" i="54"/>
  <c r="M16" i="54"/>
  <c r="W15" i="54"/>
  <c r="R15" i="54"/>
  <c r="M15" i="54"/>
  <c r="W14" i="54"/>
  <c r="R14" i="54"/>
  <c r="M14" i="54"/>
  <c r="W13" i="54"/>
  <c r="R13" i="54"/>
  <c r="M13" i="54"/>
  <c r="W12" i="54"/>
  <c r="R12" i="54"/>
  <c r="M12" i="54"/>
  <c r="X11" i="54"/>
  <c r="V11" i="54"/>
  <c r="W11" i="54" s="1"/>
  <c r="U11" i="54"/>
  <c r="T11" i="54"/>
  <c r="S11" i="54"/>
  <c r="Q11" i="54"/>
  <c r="R11" i="54" s="1"/>
  <c r="P11" i="54"/>
  <c r="O11" i="54"/>
  <c r="N11" i="54"/>
  <c r="L11" i="54"/>
  <c r="M11" i="54" s="1"/>
  <c r="K11" i="54"/>
  <c r="J11" i="54"/>
  <c r="W10" i="54"/>
  <c r="R10" i="54"/>
  <c r="M10" i="54"/>
  <c r="W9" i="54"/>
  <c r="R9" i="54"/>
  <c r="M9" i="54"/>
  <c r="K9" i="54"/>
  <c r="J9" i="54"/>
  <c r="W8" i="54"/>
  <c r="R8" i="54"/>
  <c r="M8" i="54"/>
  <c r="U7" i="54"/>
  <c r="U6" i="54" s="1"/>
  <c r="U33" i="54" s="1"/>
  <c r="R7" i="54"/>
  <c r="M7" i="54"/>
  <c r="X6" i="54"/>
  <c r="X33" i="54" s="1"/>
  <c r="V6" i="54"/>
  <c r="W6" i="54" s="1"/>
  <c r="T6" i="54"/>
  <c r="T33" i="54" s="1"/>
  <c r="S6" i="54"/>
  <c r="S33" i="54" s="1"/>
  <c r="R6" i="54"/>
  <c r="Q6" i="54"/>
  <c r="P6" i="54"/>
  <c r="P33" i="54" s="1"/>
  <c r="O6" i="54"/>
  <c r="O33" i="54" s="1"/>
  <c r="N6" i="54"/>
  <c r="N33" i="54" s="1"/>
  <c r="L6" i="54"/>
  <c r="L33" i="54" s="1"/>
  <c r="K6" i="54"/>
  <c r="K33" i="54" s="1"/>
  <c r="J6" i="54"/>
  <c r="J33" i="54" s="1"/>
  <c r="M33" i="54" l="1"/>
  <c r="Q33" i="54"/>
  <c r="R33" i="54" s="1"/>
  <c r="V33" i="54"/>
  <c r="W33" i="54" s="1"/>
  <c r="W7" i="54"/>
  <c r="M6" i="54"/>
  <c r="H36" i="55"/>
  <c r="H35" i="55"/>
  <c r="H34" i="55"/>
  <c r="W32" i="55"/>
  <c r="R32" i="55"/>
  <c r="M32" i="55"/>
  <c r="W31" i="55"/>
  <c r="R31" i="55"/>
  <c r="M31" i="55"/>
  <c r="W30" i="55"/>
  <c r="R30" i="55"/>
  <c r="M30" i="55"/>
  <c r="W29" i="55"/>
  <c r="R29" i="55"/>
  <c r="M29" i="55"/>
  <c r="W28" i="55"/>
  <c r="R28" i="55"/>
  <c r="M28" i="55"/>
  <c r="W27" i="55"/>
  <c r="R27" i="55"/>
  <c r="M27" i="55"/>
  <c r="W26" i="55"/>
  <c r="R26" i="55"/>
  <c r="M26" i="55"/>
  <c r="W25" i="55"/>
  <c r="R25" i="55"/>
  <c r="M25" i="55"/>
  <c r="W24" i="55"/>
  <c r="R24" i="55"/>
  <c r="M24" i="55"/>
  <c r="W23" i="55"/>
  <c r="R23" i="55"/>
  <c r="M23" i="55"/>
  <c r="W22" i="55"/>
  <c r="R22" i="55"/>
  <c r="M22" i="55"/>
  <c r="W21" i="55"/>
  <c r="R21" i="55"/>
  <c r="M21" i="55"/>
  <c r="W20" i="55"/>
  <c r="R20" i="55"/>
  <c r="M20" i="55"/>
  <c r="W19" i="55"/>
  <c r="R19" i="55"/>
  <c r="M19" i="55"/>
  <c r="W18" i="55"/>
  <c r="R18" i="55"/>
  <c r="M18" i="55"/>
  <c r="W17" i="55"/>
  <c r="R17" i="55"/>
  <c r="M17" i="55"/>
  <c r="W16" i="55"/>
  <c r="R16" i="55"/>
  <c r="M16" i="55"/>
  <c r="W15" i="55"/>
  <c r="R15" i="55"/>
  <c r="M15" i="55"/>
  <c r="W14" i="55"/>
  <c r="R14" i="55"/>
  <c r="M14" i="55"/>
  <c r="W13" i="55"/>
  <c r="R13" i="55"/>
  <c r="M13" i="55"/>
  <c r="W12" i="55"/>
  <c r="R12" i="55"/>
  <c r="M12" i="55"/>
  <c r="X11" i="55"/>
  <c r="V11" i="55"/>
  <c r="U11" i="55"/>
  <c r="T11" i="55"/>
  <c r="S11" i="55"/>
  <c r="Q11" i="55"/>
  <c r="P11" i="55"/>
  <c r="O11" i="55"/>
  <c r="N11" i="55"/>
  <c r="L11" i="55"/>
  <c r="K11" i="55"/>
  <c r="J11" i="55"/>
  <c r="W10" i="55"/>
  <c r="R10" i="55"/>
  <c r="M10" i="55"/>
  <c r="W9" i="55"/>
  <c r="R9" i="55"/>
  <c r="M9" i="55"/>
  <c r="W8" i="55"/>
  <c r="R8" i="55"/>
  <c r="M8" i="55"/>
  <c r="W7" i="55"/>
  <c r="R7" i="55"/>
  <c r="M7" i="55"/>
  <c r="X6" i="55"/>
  <c r="V6" i="55"/>
  <c r="U6" i="55"/>
  <c r="T6" i="55"/>
  <c r="T33" i="55" s="1"/>
  <c r="S6" i="55"/>
  <c r="Q6" i="55"/>
  <c r="P6" i="55"/>
  <c r="O6" i="55"/>
  <c r="O33" i="55" s="1"/>
  <c r="N6" i="55"/>
  <c r="M6" i="55"/>
  <c r="L6" i="55"/>
  <c r="K6" i="55"/>
  <c r="K33" i="55" s="1"/>
  <c r="J6" i="55"/>
  <c r="U33" i="55" l="1"/>
  <c r="X33" i="55"/>
  <c r="V33" i="55"/>
  <c r="W33" i="55" s="1"/>
  <c r="W11" i="55"/>
  <c r="Q33" i="55"/>
  <c r="R33" i="55" s="1"/>
  <c r="M11" i="55"/>
  <c r="J33" i="55"/>
  <c r="P33" i="55"/>
  <c r="R11" i="55"/>
  <c r="S33" i="55"/>
  <c r="N33" i="55"/>
  <c r="L33" i="55"/>
  <c r="M33" i="55" s="1"/>
  <c r="R6" i="55"/>
  <c r="W6" i="55"/>
  <c r="X11" i="52" l="1"/>
  <c r="X6" i="52"/>
  <c r="X33" i="52" s="1"/>
  <c r="V11" i="52"/>
  <c r="W11" i="52" s="1"/>
  <c r="U11" i="52"/>
  <c r="T11" i="52"/>
  <c r="S11" i="52"/>
  <c r="V6" i="52"/>
  <c r="V33" i="52" s="1"/>
  <c r="U6" i="52"/>
  <c r="W6" i="52" s="1"/>
  <c r="T6" i="52"/>
  <c r="T33" i="52" s="1"/>
  <c r="S6" i="52"/>
  <c r="S33" i="52" s="1"/>
  <c r="Q11" i="52"/>
  <c r="R11" i="52" s="1"/>
  <c r="P11" i="52"/>
  <c r="O11" i="52"/>
  <c r="N11" i="52"/>
  <c r="Q6" i="52"/>
  <c r="Q33" i="52" s="1"/>
  <c r="P6" i="52"/>
  <c r="P33" i="52" s="1"/>
  <c r="O6" i="52"/>
  <c r="O33" i="52" s="1"/>
  <c r="N6" i="52"/>
  <c r="N33" i="52" s="1"/>
  <c r="K33" i="52"/>
  <c r="J33" i="52"/>
  <c r="L11" i="52"/>
  <c r="K11" i="52"/>
  <c r="J11" i="52"/>
  <c r="L6" i="52"/>
  <c r="L33" i="52" s="1"/>
  <c r="K6" i="52"/>
  <c r="J6" i="52"/>
  <c r="M7" i="52"/>
  <c r="W7" i="52"/>
  <c r="M8" i="52"/>
  <c r="M9" i="52"/>
  <c r="R9" i="52"/>
  <c r="M10" i="52"/>
  <c r="R10" i="52"/>
  <c r="W10" i="52"/>
  <c r="M11" i="52"/>
  <c r="M12" i="52"/>
  <c r="R12" i="52"/>
  <c r="W12" i="52"/>
  <c r="M13" i="52"/>
  <c r="R13" i="52"/>
  <c r="W13" i="52"/>
  <c r="M14" i="52"/>
  <c r="R14" i="52"/>
  <c r="W14" i="52"/>
  <c r="M15" i="52"/>
  <c r="R15" i="52"/>
  <c r="W15" i="52"/>
  <c r="M16" i="52"/>
  <c r="R16" i="52"/>
  <c r="W16" i="52"/>
  <c r="M17" i="52"/>
  <c r="R17" i="52"/>
  <c r="W17" i="52"/>
  <c r="M18" i="52"/>
  <c r="R18" i="52"/>
  <c r="W18" i="52"/>
  <c r="M19" i="52"/>
  <c r="R19" i="52"/>
  <c r="W19" i="52"/>
  <c r="M20" i="52"/>
  <c r="R20" i="52"/>
  <c r="W20" i="52"/>
  <c r="M21" i="52"/>
  <c r="R21" i="52"/>
  <c r="W21" i="52"/>
  <c r="M22" i="52"/>
  <c r="R22" i="52"/>
  <c r="W22" i="52"/>
  <c r="M23" i="52"/>
  <c r="R23" i="52"/>
  <c r="W23" i="52"/>
  <c r="M24" i="52"/>
  <c r="R24" i="52"/>
  <c r="W24" i="52"/>
  <c r="M25" i="52"/>
  <c r="R25" i="52"/>
  <c r="W25" i="52"/>
  <c r="M26" i="52"/>
  <c r="R26" i="52"/>
  <c r="W26" i="52"/>
  <c r="M27" i="52"/>
  <c r="R27" i="52"/>
  <c r="W27" i="52"/>
  <c r="M28" i="52"/>
  <c r="R28" i="52"/>
  <c r="W28" i="52"/>
  <c r="M29" i="52"/>
  <c r="R29" i="52"/>
  <c r="W29" i="52"/>
  <c r="M30" i="52"/>
  <c r="R30" i="52"/>
  <c r="W30" i="52"/>
  <c r="M31" i="52"/>
  <c r="R31" i="52"/>
  <c r="W31" i="52"/>
  <c r="M32" i="52"/>
  <c r="R32" i="52"/>
  <c r="W32" i="52"/>
  <c r="H36" i="52"/>
  <c r="H35" i="52"/>
  <c r="H34" i="52"/>
  <c r="U33" i="52" l="1"/>
  <c r="M6" i="52"/>
  <c r="W33" i="52"/>
  <c r="R33" i="52"/>
  <c r="R6" i="52"/>
  <c r="M33" i="52"/>
  <c r="W32" i="43" l="1"/>
  <c r="R32" i="43"/>
  <c r="M32" i="43"/>
  <c r="W31" i="43"/>
  <c r="R31" i="43"/>
  <c r="M31" i="43"/>
  <c r="W30" i="43"/>
  <c r="R30" i="43"/>
  <c r="M30" i="43"/>
  <c r="W29" i="43"/>
  <c r="R29" i="43"/>
  <c r="M29" i="43"/>
  <c r="W28" i="43"/>
  <c r="R28" i="43"/>
  <c r="M28" i="43"/>
  <c r="W27" i="43"/>
  <c r="R27" i="43"/>
  <c r="M27" i="43"/>
  <c r="W26" i="43"/>
  <c r="R26" i="43"/>
  <c r="W25" i="43"/>
  <c r="R25" i="43"/>
  <c r="M25" i="43"/>
  <c r="W24" i="43"/>
  <c r="R24" i="43"/>
  <c r="M24" i="43"/>
  <c r="W23" i="43"/>
  <c r="R23" i="43"/>
  <c r="M23" i="43"/>
  <c r="W22" i="43"/>
  <c r="R22" i="43"/>
  <c r="M22" i="43"/>
  <c r="W21" i="43"/>
  <c r="R21" i="43"/>
  <c r="M21" i="43"/>
  <c r="W20" i="43"/>
  <c r="R20" i="43"/>
  <c r="M20" i="43"/>
  <c r="W19" i="43"/>
  <c r="R19" i="43"/>
  <c r="M19" i="43"/>
  <c r="W18" i="43"/>
  <c r="R18" i="43"/>
  <c r="M18" i="43"/>
  <c r="W17" i="43"/>
  <c r="R17" i="43"/>
  <c r="M17" i="43"/>
  <c r="W16" i="43"/>
  <c r="R16" i="43"/>
  <c r="M16" i="43"/>
  <c r="W15" i="43"/>
  <c r="R15" i="43"/>
  <c r="M15" i="43"/>
  <c r="W14" i="43"/>
  <c r="R14" i="43"/>
  <c r="M14" i="43"/>
  <c r="W13" i="43"/>
  <c r="R13" i="43"/>
  <c r="M13" i="43"/>
  <c r="W12" i="43"/>
  <c r="R12" i="43"/>
  <c r="M12" i="43"/>
  <c r="X11" i="43"/>
  <c r="W11" i="43"/>
  <c r="V11" i="43"/>
  <c r="U11" i="43"/>
  <c r="T11" i="43"/>
  <c r="S11" i="43"/>
  <c r="Q11" i="43"/>
  <c r="R11" i="43" s="1"/>
  <c r="P11" i="43"/>
  <c r="O11" i="43"/>
  <c r="N11" i="43"/>
  <c r="L11" i="43"/>
  <c r="M11" i="43" s="1"/>
  <c r="K11" i="43"/>
  <c r="J11" i="43"/>
  <c r="W10" i="43"/>
  <c r="R10" i="43"/>
  <c r="M10" i="43"/>
  <c r="W9" i="43"/>
  <c r="R9" i="43"/>
  <c r="M9" i="43"/>
  <c r="W8" i="43"/>
  <c r="R8" i="43"/>
  <c r="M8" i="43"/>
  <c r="W7" i="43"/>
  <c r="R7" i="43"/>
  <c r="M7" i="43"/>
  <c r="X6" i="43"/>
  <c r="X33" i="43" s="1"/>
  <c r="V6" i="43"/>
  <c r="W6" i="43" s="1"/>
  <c r="U6" i="43"/>
  <c r="U33" i="43" s="1"/>
  <c r="T6" i="43"/>
  <c r="T33" i="43" s="1"/>
  <c r="S6" i="43"/>
  <c r="S33" i="43" s="1"/>
  <c r="R6" i="43"/>
  <c r="Q6" i="43"/>
  <c r="Q33" i="43" s="1"/>
  <c r="P6" i="43"/>
  <c r="P33" i="43" s="1"/>
  <c r="O6" i="43"/>
  <c r="O33" i="43" s="1"/>
  <c r="N6" i="43"/>
  <c r="N33" i="43" s="1"/>
  <c r="L6" i="43"/>
  <c r="M6" i="43" s="1"/>
  <c r="K6" i="43"/>
  <c r="K33" i="43" s="1"/>
  <c r="J6" i="43"/>
  <c r="J33" i="43" s="1"/>
  <c r="H36" i="43"/>
  <c r="H35" i="43"/>
  <c r="H34" i="43"/>
  <c r="H34" i="50"/>
  <c r="H35" i="50"/>
  <c r="H36" i="50"/>
  <c r="R33" i="43" l="1"/>
  <c r="V33" i="43"/>
  <c r="W33" i="43" s="1"/>
  <c r="L33" i="43"/>
  <c r="M33" i="43" s="1"/>
  <c r="W32" i="50" l="1"/>
  <c r="R32" i="50"/>
  <c r="M32" i="50"/>
  <c r="W31" i="50"/>
  <c r="R31" i="50"/>
  <c r="M31" i="50"/>
  <c r="W30" i="50"/>
  <c r="R30" i="50"/>
  <c r="M30" i="50"/>
  <c r="W29" i="50"/>
  <c r="R29" i="50"/>
  <c r="M29" i="50"/>
  <c r="W28" i="50"/>
  <c r="R28" i="50"/>
  <c r="M28" i="50"/>
  <c r="W27" i="50"/>
  <c r="R27" i="50"/>
  <c r="M27" i="50"/>
  <c r="W26" i="50"/>
  <c r="R26" i="50"/>
  <c r="M26" i="50"/>
  <c r="W25" i="50"/>
  <c r="R25" i="50"/>
  <c r="M25" i="50"/>
  <c r="W24" i="50"/>
  <c r="R24" i="50"/>
  <c r="M24" i="50"/>
  <c r="W23" i="50"/>
  <c r="R23" i="50"/>
  <c r="M23" i="50"/>
  <c r="W22" i="50"/>
  <c r="R22" i="50"/>
  <c r="M22" i="50"/>
  <c r="W21" i="50"/>
  <c r="R21" i="50"/>
  <c r="M21" i="50"/>
  <c r="W20" i="50"/>
  <c r="R20" i="50"/>
  <c r="M20" i="50"/>
  <c r="W19" i="50"/>
  <c r="R19" i="50"/>
  <c r="M19" i="50"/>
  <c r="W18" i="50"/>
  <c r="R18" i="50"/>
  <c r="M18" i="50"/>
  <c r="W17" i="50"/>
  <c r="R17" i="50"/>
  <c r="M17" i="50"/>
  <c r="W16" i="50"/>
  <c r="R16" i="50"/>
  <c r="M16" i="50"/>
  <c r="W15" i="50"/>
  <c r="R15" i="50"/>
  <c r="M15" i="50"/>
  <c r="W14" i="50"/>
  <c r="R14" i="50"/>
  <c r="M14" i="50"/>
  <c r="W13" i="50"/>
  <c r="R13" i="50"/>
  <c r="M13" i="50"/>
  <c r="W12" i="50"/>
  <c r="R12" i="50"/>
  <c r="M12" i="50"/>
  <c r="X11" i="50"/>
  <c r="V11" i="50"/>
  <c r="U11" i="50"/>
  <c r="W11" i="50" s="1"/>
  <c r="T11" i="50"/>
  <c r="S11" i="50"/>
  <c r="Q11" i="50"/>
  <c r="R11" i="50" s="1"/>
  <c r="P11" i="50"/>
  <c r="O11" i="50"/>
  <c r="N11" i="50"/>
  <c r="M11" i="50"/>
  <c r="L11" i="50"/>
  <c r="K11" i="50"/>
  <c r="J11" i="50"/>
  <c r="W10" i="50"/>
  <c r="R10" i="50"/>
  <c r="M10" i="50"/>
  <c r="W9" i="50"/>
  <c r="R9" i="50"/>
  <c r="M9" i="50"/>
  <c r="W8" i="50"/>
  <c r="R8" i="50"/>
  <c r="M8" i="50"/>
  <c r="W7" i="50"/>
  <c r="R7" i="50"/>
  <c r="M7" i="50"/>
  <c r="X6" i="50"/>
  <c r="X33" i="50" s="1"/>
  <c r="V6" i="50"/>
  <c r="V33" i="50" s="1"/>
  <c r="W33" i="50" s="1"/>
  <c r="U6" i="50"/>
  <c r="U33" i="50" s="1"/>
  <c r="T6" i="50"/>
  <c r="T33" i="50" s="1"/>
  <c r="S6" i="50"/>
  <c r="S33" i="50" s="1"/>
  <c r="Q6" i="50"/>
  <c r="Q33" i="50" s="1"/>
  <c r="R33" i="50" s="1"/>
  <c r="P6" i="50"/>
  <c r="P33" i="50" s="1"/>
  <c r="O6" i="50"/>
  <c r="O33" i="50" s="1"/>
  <c r="N6" i="50"/>
  <c r="N33" i="50" s="1"/>
  <c r="L6" i="50"/>
  <c r="L33" i="50" s="1"/>
  <c r="M33" i="50" s="1"/>
  <c r="K6" i="50"/>
  <c r="K33" i="50" s="1"/>
  <c r="J6" i="50"/>
  <c r="J33" i="50" s="1"/>
  <c r="R6" i="50" l="1"/>
  <c r="W6" i="50"/>
  <c r="M6" i="50"/>
  <c r="W32" i="25" l="1"/>
  <c r="R32" i="25"/>
  <c r="M32" i="25"/>
  <c r="W31" i="25"/>
  <c r="R31" i="25"/>
  <c r="M31" i="25"/>
  <c r="W30" i="25"/>
  <c r="R30" i="25"/>
  <c r="M30" i="25"/>
  <c r="W29" i="25"/>
  <c r="R29" i="25"/>
  <c r="M29" i="25"/>
  <c r="W28" i="25"/>
  <c r="R28" i="25"/>
  <c r="M28" i="25"/>
  <c r="K28" i="25"/>
  <c r="W27" i="25"/>
  <c r="R27" i="25"/>
  <c r="M27" i="25"/>
  <c r="W26" i="25"/>
  <c r="R26" i="25"/>
  <c r="M26" i="25"/>
  <c r="W25" i="25"/>
  <c r="R25" i="25"/>
  <c r="M25" i="25"/>
  <c r="W24" i="25"/>
  <c r="R24" i="25"/>
  <c r="M24" i="25"/>
  <c r="W23" i="25"/>
  <c r="R23" i="25"/>
  <c r="M23" i="25"/>
  <c r="W22" i="25"/>
  <c r="R22" i="25"/>
  <c r="M22" i="25"/>
  <c r="W21" i="25"/>
  <c r="R21" i="25"/>
  <c r="M21" i="25"/>
  <c r="V20" i="25"/>
  <c r="W20" i="25" s="1"/>
  <c r="T20" i="25"/>
  <c r="R20" i="25"/>
  <c r="Q20" i="25"/>
  <c r="O20" i="25"/>
  <c r="M20" i="25"/>
  <c r="W19" i="25"/>
  <c r="R19" i="25"/>
  <c r="M19" i="25"/>
  <c r="W18" i="25"/>
  <c r="R18" i="25"/>
  <c r="M18" i="25"/>
  <c r="W17" i="25"/>
  <c r="R17" i="25"/>
  <c r="M17" i="25"/>
  <c r="W16" i="25"/>
  <c r="R16" i="25"/>
  <c r="M16" i="25"/>
  <c r="W15" i="25"/>
  <c r="R15" i="25"/>
  <c r="M15" i="25"/>
  <c r="K15" i="25"/>
  <c r="W14" i="25"/>
  <c r="R14" i="25"/>
  <c r="M14" i="25"/>
  <c r="W13" i="25"/>
  <c r="R13" i="25"/>
  <c r="K13" i="25"/>
  <c r="M13" i="25" s="1"/>
  <c r="W12" i="25"/>
  <c r="R12" i="25"/>
  <c r="K12" i="25"/>
  <c r="M12" i="25" s="1"/>
  <c r="X11" i="25"/>
  <c r="U11" i="25"/>
  <c r="U33" i="25" s="1"/>
  <c r="T11" i="25"/>
  <c r="S11" i="25"/>
  <c r="Q11" i="25"/>
  <c r="P11" i="25"/>
  <c r="O11" i="25"/>
  <c r="N11" i="25"/>
  <c r="L11" i="25"/>
  <c r="K11" i="25"/>
  <c r="M11" i="25" s="1"/>
  <c r="J11" i="25"/>
  <c r="W10" i="25"/>
  <c r="R10" i="25"/>
  <c r="M10" i="25"/>
  <c r="W9" i="25"/>
  <c r="R9" i="25"/>
  <c r="M9" i="25"/>
  <c r="W8" i="25"/>
  <c r="R8" i="25"/>
  <c r="M8" i="25"/>
  <c r="W7" i="25"/>
  <c r="R7" i="25"/>
  <c r="L7" i="25"/>
  <c r="M7" i="25" s="1"/>
  <c r="K7" i="25"/>
  <c r="K6" i="25" s="1"/>
  <c r="X6" i="25"/>
  <c r="V6" i="25"/>
  <c r="W6" i="25" s="1"/>
  <c r="U6" i="25"/>
  <c r="T6" i="25"/>
  <c r="S6" i="25"/>
  <c r="S33" i="25" s="1"/>
  <c r="Q6" i="25"/>
  <c r="P6" i="25"/>
  <c r="O6" i="25"/>
  <c r="O33" i="25" s="1"/>
  <c r="N6" i="25"/>
  <c r="N33" i="25" s="1"/>
  <c r="L6" i="25"/>
  <c r="L33" i="25" s="1"/>
  <c r="J6" i="25"/>
  <c r="J33" i="25" s="1"/>
  <c r="H36" i="25"/>
  <c r="H35" i="25"/>
  <c r="X33" i="25" l="1"/>
  <c r="T33" i="25"/>
  <c r="R11" i="25"/>
  <c r="P33" i="25"/>
  <c r="Q33" i="25"/>
  <c r="R33" i="25" s="1"/>
  <c r="K33" i="25"/>
  <c r="M33" i="25"/>
  <c r="M6" i="25"/>
  <c r="R6" i="25"/>
  <c r="V11" i="25"/>
  <c r="W11" i="25" s="1"/>
  <c r="S11" i="46"/>
  <c r="S6" i="46"/>
  <c r="S33" i="46" s="1"/>
  <c r="Q11" i="46"/>
  <c r="P11" i="46"/>
  <c r="O11" i="46"/>
  <c r="N11" i="46"/>
  <c r="Q6" i="46"/>
  <c r="Q33" i="46" s="1"/>
  <c r="P6" i="46"/>
  <c r="P33" i="46" s="1"/>
  <c r="O6" i="46"/>
  <c r="O33" i="46" s="1"/>
  <c r="N6" i="46"/>
  <c r="N33" i="46" s="1"/>
  <c r="L33" i="46"/>
  <c r="L11" i="46"/>
  <c r="K11" i="46"/>
  <c r="J11" i="46"/>
  <c r="L6" i="46"/>
  <c r="K6" i="46"/>
  <c r="K33" i="46" s="1"/>
  <c r="J6" i="46"/>
  <c r="J33" i="46" s="1"/>
  <c r="H36" i="46"/>
  <c r="H35" i="46"/>
  <c r="H34" i="46"/>
  <c r="V33" i="25" l="1"/>
  <c r="W33" i="25" s="1"/>
  <c r="I32" i="42"/>
  <c r="H32" i="42"/>
  <c r="G32" i="42"/>
  <c r="F32" i="42"/>
  <c r="E32" i="42"/>
  <c r="I31" i="42"/>
  <c r="G31" i="42"/>
  <c r="H31" i="42" s="1"/>
  <c r="F31" i="42"/>
  <c r="E31" i="42"/>
  <c r="I30" i="42"/>
  <c r="G30" i="42"/>
  <c r="H30" i="42" s="1"/>
  <c r="F30" i="42"/>
  <c r="E30" i="42"/>
  <c r="I29" i="42"/>
  <c r="G29" i="42"/>
  <c r="H29" i="42" s="1"/>
  <c r="F29" i="42"/>
  <c r="E29" i="42"/>
  <c r="I28" i="42"/>
  <c r="H28" i="42"/>
  <c r="G28" i="42"/>
  <c r="F28" i="42"/>
  <c r="E28" i="42"/>
  <c r="I27" i="42"/>
  <c r="G27" i="42"/>
  <c r="H27" i="42" s="1"/>
  <c r="F27" i="42"/>
  <c r="E27" i="42"/>
  <c r="I26" i="42"/>
  <c r="G26" i="42"/>
  <c r="H26" i="42" s="1"/>
  <c r="F26" i="42"/>
  <c r="E26" i="42"/>
  <c r="I25" i="42"/>
  <c r="G25" i="42"/>
  <c r="H25" i="42" s="1"/>
  <c r="F25" i="42"/>
  <c r="E25" i="42"/>
  <c r="I24" i="42"/>
  <c r="H24" i="42"/>
  <c r="G24" i="42"/>
  <c r="F24" i="42"/>
  <c r="E24" i="42"/>
  <c r="I23" i="42"/>
  <c r="G23" i="42"/>
  <c r="H23" i="42" s="1"/>
  <c r="F23" i="42"/>
  <c r="E23" i="42"/>
  <c r="I22" i="42"/>
  <c r="G22" i="42"/>
  <c r="H22" i="42" s="1"/>
  <c r="F22" i="42"/>
  <c r="E22" i="42"/>
  <c r="I21" i="42"/>
  <c r="G21" i="42"/>
  <c r="H21" i="42" s="1"/>
  <c r="F21" i="42"/>
  <c r="E21" i="42"/>
  <c r="I20" i="42"/>
  <c r="H20" i="42"/>
  <c r="G20" i="42"/>
  <c r="F20" i="42"/>
  <c r="E20" i="42"/>
  <c r="I19" i="42"/>
  <c r="G19" i="42"/>
  <c r="H19" i="42" s="1"/>
  <c r="F19" i="42"/>
  <c r="E19" i="42"/>
  <c r="I18" i="42"/>
  <c r="G18" i="42"/>
  <c r="H18" i="42" s="1"/>
  <c r="F18" i="42"/>
  <c r="E18" i="42"/>
  <c r="I17" i="42"/>
  <c r="G17" i="42"/>
  <c r="H17" i="42" s="1"/>
  <c r="F17" i="42"/>
  <c r="E17" i="42"/>
  <c r="I16" i="42"/>
  <c r="H16" i="42"/>
  <c r="G16" i="42"/>
  <c r="F16" i="42"/>
  <c r="E16" i="42"/>
  <c r="I15" i="42"/>
  <c r="G15" i="42"/>
  <c r="H15" i="42" s="1"/>
  <c r="F15" i="42"/>
  <c r="E15" i="42"/>
  <c r="I14" i="42"/>
  <c r="G14" i="42"/>
  <c r="H14" i="42" s="1"/>
  <c r="F14" i="42"/>
  <c r="F11" i="42" s="1"/>
  <c r="E14" i="42"/>
  <c r="I13" i="42"/>
  <c r="G13" i="42"/>
  <c r="G11" i="42" s="1"/>
  <c r="H11" i="42" s="1"/>
  <c r="F13" i="42"/>
  <c r="E13" i="42"/>
  <c r="I12" i="42"/>
  <c r="H12" i="42"/>
  <c r="G12" i="42"/>
  <c r="F12" i="42"/>
  <c r="E12" i="42"/>
  <c r="I11" i="42"/>
  <c r="E11" i="42"/>
  <c r="I10" i="42"/>
  <c r="G10" i="42"/>
  <c r="H10" i="42" s="1"/>
  <c r="F10" i="42"/>
  <c r="E10" i="42"/>
  <c r="I9" i="42"/>
  <c r="G9" i="42"/>
  <c r="H9" i="42" s="1"/>
  <c r="F9" i="42"/>
  <c r="E9" i="42"/>
  <c r="I8" i="42"/>
  <c r="H8" i="42"/>
  <c r="G8" i="42"/>
  <c r="F8" i="42"/>
  <c r="E8" i="42"/>
  <c r="I7" i="42"/>
  <c r="I6" i="42" s="1"/>
  <c r="I33" i="42" s="1"/>
  <c r="G7" i="42"/>
  <c r="H7" i="42" s="1"/>
  <c r="F7" i="42"/>
  <c r="E7" i="42"/>
  <c r="E6" i="42" s="1"/>
  <c r="E33" i="42" s="1"/>
  <c r="F6" i="42"/>
  <c r="F33" i="42" s="1"/>
  <c r="X11" i="42"/>
  <c r="X6" i="42"/>
  <c r="X33" i="42"/>
  <c r="V33" i="42"/>
  <c r="U33" i="42"/>
  <c r="T33" i="42"/>
  <c r="S33" i="42"/>
  <c r="Q33" i="42"/>
  <c r="P33" i="42"/>
  <c r="O33" i="42"/>
  <c r="N33" i="42"/>
  <c r="L33" i="42"/>
  <c r="K33" i="42"/>
  <c r="V11" i="42"/>
  <c r="U11" i="42"/>
  <c r="T11" i="42"/>
  <c r="S11" i="42"/>
  <c r="V6" i="42"/>
  <c r="U6" i="42"/>
  <c r="T6" i="42"/>
  <c r="S6" i="42"/>
  <c r="Q11" i="42"/>
  <c r="P11" i="42"/>
  <c r="O11" i="42"/>
  <c r="N11" i="42"/>
  <c r="Q6" i="42"/>
  <c r="P6" i="42"/>
  <c r="O6" i="42"/>
  <c r="N6" i="42"/>
  <c r="L11" i="42"/>
  <c r="K11" i="42"/>
  <c r="J11" i="42"/>
  <c r="L6" i="42"/>
  <c r="K6" i="42"/>
  <c r="J6" i="42"/>
  <c r="H36" i="42"/>
  <c r="H35" i="42"/>
  <c r="H34" i="42"/>
  <c r="H13" i="42" l="1"/>
  <c r="G6" i="42"/>
  <c r="W33" i="58"/>
  <c r="W32" i="58"/>
  <c r="W31" i="58"/>
  <c r="W30" i="58"/>
  <c r="W29" i="58"/>
  <c r="W28" i="58"/>
  <c r="W27" i="58"/>
  <c r="W26" i="58"/>
  <c r="W25" i="58"/>
  <c r="W24" i="58"/>
  <c r="W23" i="58"/>
  <c r="W22" i="58"/>
  <c r="W21" i="58"/>
  <c r="W20" i="58"/>
  <c r="W19" i="58"/>
  <c r="W18" i="58"/>
  <c r="W17" i="58"/>
  <c r="W16" i="58"/>
  <c r="W15" i="58"/>
  <c r="W14" i="58"/>
  <c r="W13" i="58"/>
  <c r="W12" i="58"/>
  <c r="W11" i="58"/>
  <c r="W10" i="58"/>
  <c r="W9" i="58"/>
  <c r="W8" i="58"/>
  <c r="W7" i="58"/>
  <c r="W6" i="58"/>
  <c r="R33" i="58"/>
  <c r="R32" i="58"/>
  <c r="R31" i="58"/>
  <c r="R30" i="58"/>
  <c r="R29" i="58"/>
  <c r="R28" i="58"/>
  <c r="R27" i="58"/>
  <c r="R26" i="58"/>
  <c r="R25" i="58"/>
  <c r="R24" i="58"/>
  <c r="R23" i="58"/>
  <c r="R22" i="58"/>
  <c r="R21" i="58"/>
  <c r="R20" i="58"/>
  <c r="R19" i="58"/>
  <c r="R18" i="58"/>
  <c r="R17" i="58"/>
  <c r="R16" i="58"/>
  <c r="R15" i="58"/>
  <c r="R14" i="58"/>
  <c r="R13" i="58"/>
  <c r="R12" i="58"/>
  <c r="R11" i="58"/>
  <c r="R10" i="58"/>
  <c r="R9" i="58"/>
  <c r="R8" i="58"/>
  <c r="R7" i="58"/>
  <c r="R6" i="58"/>
  <c r="M33" i="58"/>
  <c r="M32" i="58"/>
  <c r="M31" i="58"/>
  <c r="M30" i="58"/>
  <c r="M29" i="58"/>
  <c r="M28" i="58"/>
  <c r="M27" i="58"/>
  <c r="M26" i="58"/>
  <c r="M25" i="58"/>
  <c r="M24" i="58"/>
  <c r="M23" i="58"/>
  <c r="M22" i="58"/>
  <c r="M21" i="58"/>
  <c r="M20" i="58"/>
  <c r="M19" i="58"/>
  <c r="M18" i="58"/>
  <c r="M17" i="58"/>
  <c r="M16" i="58"/>
  <c r="M15" i="58"/>
  <c r="M14" i="58"/>
  <c r="M10" i="58"/>
  <c r="U33" i="58"/>
  <c r="P33" i="58"/>
  <c r="M13" i="58"/>
  <c r="M12" i="58"/>
  <c r="X11" i="58"/>
  <c r="V11" i="58"/>
  <c r="V33" i="58" s="1"/>
  <c r="U11" i="58"/>
  <c r="T11" i="58"/>
  <c r="S11" i="58"/>
  <c r="S33" i="58" s="1"/>
  <c r="Q11" i="58"/>
  <c r="Q33" i="58" s="1"/>
  <c r="P11" i="58"/>
  <c r="O11" i="58"/>
  <c r="N11" i="58"/>
  <c r="N33" i="58" s="1"/>
  <c r="M11" i="58"/>
  <c r="L11" i="58"/>
  <c r="K11" i="58"/>
  <c r="J11" i="58"/>
  <c r="M9" i="58"/>
  <c r="M8" i="58"/>
  <c r="M7" i="58"/>
  <c r="X6" i="58"/>
  <c r="X33" i="58" s="1"/>
  <c r="V6" i="58"/>
  <c r="U6" i="58"/>
  <c r="T6" i="58"/>
  <c r="T33" i="58" s="1"/>
  <c r="S6" i="58"/>
  <c r="Q6" i="58"/>
  <c r="P6" i="58"/>
  <c r="O6" i="58"/>
  <c r="O33" i="58" s="1"/>
  <c r="N6" i="58"/>
  <c r="L6" i="58"/>
  <c r="M6" i="58" s="1"/>
  <c r="K6" i="58"/>
  <c r="K33" i="58" s="1"/>
  <c r="J6" i="58"/>
  <c r="J33" i="58" s="1"/>
  <c r="H36" i="58"/>
  <c r="H35" i="58"/>
  <c r="H34" i="58"/>
  <c r="G33" i="42" l="1"/>
  <c r="H33" i="42" s="1"/>
  <c r="H6" i="42"/>
  <c r="L33" i="58"/>
  <c r="J33" i="51" l="1"/>
  <c r="T6" i="49"/>
  <c r="T33" i="49" s="1"/>
  <c r="J33" i="49"/>
  <c r="J11" i="49"/>
  <c r="J6" i="49"/>
  <c r="J33" i="42"/>
  <c r="T33" i="51" l="1"/>
  <c r="H10" i="58" l="1"/>
  <c r="H29" i="58"/>
  <c r="H25" i="58"/>
  <c r="I32" i="58"/>
  <c r="I31" i="58"/>
  <c r="I30" i="58"/>
  <c r="I29" i="58"/>
  <c r="I28" i="58"/>
  <c r="I27" i="58"/>
  <c r="I26" i="58"/>
  <c r="I25" i="58"/>
  <c r="I24" i="58"/>
  <c r="I23" i="58"/>
  <c r="G32" i="58"/>
  <c r="H32" i="58" s="1"/>
  <c r="F32" i="58"/>
  <c r="E32" i="58"/>
  <c r="G31" i="58"/>
  <c r="H31" i="58" s="1"/>
  <c r="F31" i="58"/>
  <c r="E31" i="58"/>
  <c r="G30" i="58"/>
  <c r="H30" i="58" s="1"/>
  <c r="F30" i="58"/>
  <c r="E30" i="58"/>
  <c r="G29" i="58"/>
  <c r="F29" i="58"/>
  <c r="E29" i="58"/>
  <c r="G28" i="58"/>
  <c r="H28" i="58" s="1"/>
  <c r="F28" i="58"/>
  <c r="E28" i="58"/>
  <c r="G27" i="58"/>
  <c r="H27" i="58" s="1"/>
  <c r="F27" i="58"/>
  <c r="E27" i="58"/>
  <c r="G26" i="58"/>
  <c r="H26" i="58" s="1"/>
  <c r="F26" i="58"/>
  <c r="E26" i="58"/>
  <c r="G25" i="58"/>
  <c r="F25" i="58"/>
  <c r="E25" i="58"/>
  <c r="G24" i="58"/>
  <c r="H24" i="58" s="1"/>
  <c r="F24" i="58"/>
  <c r="E24" i="58"/>
  <c r="G23" i="58"/>
  <c r="H23" i="58" s="1"/>
  <c r="F23" i="58"/>
  <c r="E23" i="58"/>
  <c r="F17" i="77"/>
  <c r="E17" i="77"/>
  <c r="D17" i="77"/>
  <c r="C17" i="77"/>
  <c r="B17" i="77"/>
  <c r="W33" i="42" l="1"/>
  <c r="R33" i="42"/>
  <c r="M33" i="42"/>
  <c r="W32" i="42"/>
  <c r="R32" i="42"/>
  <c r="M32" i="42"/>
  <c r="W31" i="42"/>
  <c r="R31" i="42"/>
  <c r="M31" i="42"/>
  <c r="W30" i="42"/>
  <c r="R30" i="42"/>
  <c r="M30" i="42"/>
  <c r="W29" i="42"/>
  <c r="R29" i="42"/>
  <c r="M29" i="42"/>
  <c r="W28" i="42"/>
  <c r="R28" i="42"/>
  <c r="M28" i="42"/>
  <c r="W27" i="42"/>
  <c r="R27" i="42"/>
  <c r="M27" i="42"/>
  <c r="W26" i="42"/>
  <c r="R26" i="42"/>
  <c r="M26" i="42"/>
  <c r="W25" i="42"/>
  <c r="R25" i="42"/>
  <c r="M25" i="42"/>
  <c r="W24" i="42"/>
  <c r="R24" i="42"/>
  <c r="M24" i="42"/>
  <c r="W23" i="42"/>
  <c r="R23" i="42"/>
  <c r="M23" i="42"/>
  <c r="W22" i="42"/>
  <c r="R22" i="42"/>
  <c r="M22" i="42"/>
  <c r="W21" i="42"/>
  <c r="R21" i="42"/>
  <c r="M21" i="42"/>
  <c r="W20" i="42"/>
  <c r="R20" i="42"/>
  <c r="M20" i="42"/>
  <c r="W19" i="42"/>
  <c r="R19" i="42"/>
  <c r="M19" i="42"/>
  <c r="W18" i="42"/>
  <c r="R18" i="42"/>
  <c r="M18" i="42"/>
  <c r="W17" i="42"/>
  <c r="R17" i="42"/>
  <c r="M17" i="42"/>
  <c r="W16" i="42"/>
  <c r="R16" i="42"/>
  <c r="M16" i="42"/>
  <c r="W15" i="42"/>
  <c r="R15" i="42"/>
  <c r="M15" i="42"/>
  <c r="W14" i="42"/>
  <c r="R14" i="42"/>
  <c r="M14" i="42"/>
  <c r="W13" i="42"/>
  <c r="R13" i="42"/>
  <c r="M13" i="42"/>
  <c r="W12" i="42"/>
  <c r="R12" i="42"/>
  <c r="M12" i="42"/>
  <c r="W11" i="42"/>
  <c r="R11" i="42"/>
  <c r="M11" i="42"/>
  <c r="W10" i="42"/>
  <c r="R10" i="42"/>
  <c r="M10" i="42"/>
  <c r="W9" i="42"/>
  <c r="R9" i="42"/>
  <c r="M9" i="42"/>
  <c r="W8" i="42"/>
  <c r="R8" i="42"/>
  <c r="M8" i="42"/>
  <c r="W7" i="42"/>
  <c r="R7" i="42"/>
  <c r="M7" i="42"/>
  <c r="W6" i="42"/>
  <c r="R6" i="42"/>
  <c r="M6" i="42"/>
  <c r="I32" i="43" l="1"/>
  <c r="G32" i="43"/>
  <c r="H32" i="43" s="1"/>
  <c r="F32" i="43"/>
  <c r="E32" i="43"/>
  <c r="I31" i="43"/>
  <c r="G31" i="43"/>
  <c r="F31" i="43"/>
  <c r="E31" i="43"/>
  <c r="I30" i="43"/>
  <c r="G30" i="43"/>
  <c r="H30" i="43" s="1"/>
  <c r="F30" i="43"/>
  <c r="E30" i="43"/>
  <c r="I29" i="43"/>
  <c r="G29" i="43"/>
  <c r="F29" i="43"/>
  <c r="E29" i="43"/>
  <c r="I28" i="43"/>
  <c r="G28" i="43"/>
  <c r="F28" i="43"/>
  <c r="E28" i="43"/>
  <c r="I27" i="43"/>
  <c r="G27" i="43"/>
  <c r="F27" i="43"/>
  <c r="E27" i="43"/>
  <c r="I26" i="43"/>
  <c r="G26" i="43"/>
  <c r="H26" i="43" s="1"/>
  <c r="F26" i="43"/>
  <c r="E26" i="43"/>
  <c r="I25" i="43"/>
  <c r="G25" i="43"/>
  <c r="F25" i="43"/>
  <c r="E25" i="43"/>
  <c r="I24" i="43"/>
  <c r="G24" i="43"/>
  <c r="H24" i="43" s="1"/>
  <c r="F24" i="43"/>
  <c r="E24" i="43"/>
  <c r="I23" i="43"/>
  <c r="G23" i="43"/>
  <c r="F23" i="43"/>
  <c r="E23" i="43"/>
  <c r="I22" i="43"/>
  <c r="G22" i="43"/>
  <c r="F22" i="43"/>
  <c r="E22" i="43"/>
  <c r="I21" i="43"/>
  <c r="G21" i="43"/>
  <c r="F21" i="43"/>
  <c r="E21" i="43"/>
  <c r="I20" i="43"/>
  <c r="G20" i="43"/>
  <c r="H20" i="43" s="1"/>
  <c r="F20" i="43"/>
  <c r="E20" i="43"/>
  <c r="I19" i="43"/>
  <c r="G19" i="43"/>
  <c r="F19" i="43"/>
  <c r="E19" i="43"/>
  <c r="I18" i="43"/>
  <c r="G18" i="43"/>
  <c r="H18" i="43" s="1"/>
  <c r="F18" i="43"/>
  <c r="E18" i="43"/>
  <c r="I17" i="43"/>
  <c r="G17" i="43"/>
  <c r="F17" i="43"/>
  <c r="E17" i="43"/>
  <c r="I16" i="43"/>
  <c r="G16" i="43"/>
  <c r="H16" i="43" s="1"/>
  <c r="F16" i="43"/>
  <c r="E16" i="43"/>
  <c r="I15" i="43"/>
  <c r="G15" i="43"/>
  <c r="F15" i="43"/>
  <c r="E15" i="43"/>
  <c r="I14" i="43"/>
  <c r="G14" i="43"/>
  <c r="H14" i="43" s="1"/>
  <c r="F14" i="43"/>
  <c r="E14" i="43"/>
  <c r="I13" i="43"/>
  <c r="G13" i="43"/>
  <c r="F13" i="43"/>
  <c r="E13" i="43"/>
  <c r="I12" i="43"/>
  <c r="G12" i="43"/>
  <c r="H12" i="43" s="1"/>
  <c r="F12" i="43"/>
  <c r="E12" i="43"/>
  <c r="E11" i="43" s="1"/>
  <c r="I10" i="43"/>
  <c r="G10" i="43"/>
  <c r="F10" i="43"/>
  <c r="E10" i="43"/>
  <c r="I9" i="43"/>
  <c r="G9" i="43"/>
  <c r="F9" i="43"/>
  <c r="E9" i="43"/>
  <c r="I8" i="43"/>
  <c r="G8" i="43"/>
  <c r="F8" i="43"/>
  <c r="E8" i="43"/>
  <c r="I7" i="43"/>
  <c r="G7" i="43"/>
  <c r="H7" i="43" s="1"/>
  <c r="F7" i="43"/>
  <c r="E7" i="43"/>
  <c r="E6" i="43" s="1"/>
  <c r="F6" i="43"/>
  <c r="I6" i="43" l="1"/>
  <c r="H8" i="43"/>
  <c r="H15" i="43"/>
  <c r="H19" i="43"/>
  <c r="H23" i="43"/>
  <c r="H27" i="43"/>
  <c r="H31" i="43"/>
  <c r="H10" i="43"/>
  <c r="H13" i="43"/>
  <c r="H17" i="43"/>
  <c r="H21" i="43"/>
  <c r="H25" i="43"/>
  <c r="H29" i="43"/>
  <c r="H9" i="43"/>
  <c r="H28" i="43"/>
  <c r="G11" i="43"/>
  <c r="I11" i="43"/>
  <c r="I33" i="43" s="1"/>
  <c r="H22" i="43"/>
  <c r="F11" i="43"/>
  <c r="H11" i="43" s="1"/>
  <c r="E33" i="43"/>
  <c r="G6" i="43"/>
  <c r="F33" i="43" l="1"/>
  <c r="G33" i="43"/>
  <c r="H33" i="43" s="1"/>
  <c r="H6" i="43"/>
  <c r="I32" i="44" l="1"/>
  <c r="G32" i="44"/>
  <c r="F32" i="44"/>
  <c r="H32" i="44" s="1"/>
  <c r="E32" i="44"/>
  <c r="I31" i="44"/>
  <c r="G31" i="44"/>
  <c r="F31" i="44"/>
  <c r="E31" i="44"/>
  <c r="I30" i="44"/>
  <c r="G30" i="44"/>
  <c r="F30" i="44"/>
  <c r="E30" i="44"/>
  <c r="I29" i="44"/>
  <c r="G29" i="44"/>
  <c r="F29" i="44"/>
  <c r="H29" i="44" s="1"/>
  <c r="E29" i="44"/>
  <c r="I28" i="44"/>
  <c r="G28" i="44"/>
  <c r="F28" i="44"/>
  <c r="H28" i="44" s="1"/>
  <c r="E28" i="44"/>
  <c r="I27" i="44"/>
  <c r="G27" i="44"/>
  <c r="F27" i="44"/>
  <c r="E27" i="44"/>
  <c r="I26" i="44"/>
  <c r="G26" i="44"/>
  <c r="F26" i="44"/>
  <c r="E26" i="44"/>
  <c r="I25" i="44"/>
  <c r="G25" i="44"/>
  <c r="F25" i="44"/>
  <c r="H25" i="44" s="1"/>
  <c r="E25" i="44"/>
  <c r="I24" i="44"/>
  <c r="G24" i="44"/>
  <c r="F24" i="44"/>
  <c r="E24" i="44"/>
  <c r="I23" i="44"/>
  <c r="G23" i="44"/>
  <c r="F23" i="44"/>
  <c r="E23" i="44"/>
  <c r="I22" i="44"/>
  <c r="G22" i="44"/>
  <c r="F22" i="44"/>
  <c r="E22" i="44"/>
  <c r="I21" i="44"/>
  <c r="G21" i="44"/>
  <c r="F21" i="44"/>
  <c r="E21" i="44"/>
  <c r="I20" i="44"/>
  <c r="G20" i="44"/>
  <c r="F20" i="44"/>
  <c r="E20" i="44"/>
  <c r="I19" i="44"/>
  <c r="G19" i="44"/>
  <c r="F19" i="44"/>
  <c r="E19" i="44"/>
  <c r="I18" i="44"/>
  <c r="G18" i="44"/>
  <c r="F18" i="44"/>
  <c r="E18" i="44"/>
  <c r="I17" i="44"/>
  <c r="G17" i="44"/>
  <c r="F17" i="44"/>
  <c r="E17" i="44"/>
  <c r="I16" i="44"/>
  <c r="G16" i="44"/>
  <c r="F16" i="44"/>
  <c r="E16" i="44"/>
  <c r="I15" i="44"/>
  <c r="G15" i="44"/>
  <c r="F15" i="44"/>
  <c r="E15" i="44"/>
  <c r="I14" i="44"/>
  <c r="G14" i="44"/>
  <c r="F14" i="44"/>
  <c r="E14" i="44"/>
  <c r="I13" i="44"/>
  <c r="G13" i="44"/>
  <c r="F13" i="44"/>
  <c r="E13" i="44"/>
  <c r="I12" i="44"/>
  <c r="G12" i="44"/>
  <c r="F12" i="44"/>
  <c r="E12" i="44"/>
  <c r="I10" i="44"/>
  <c r="G10" i="44"/>
  <c r="F10" i="44"/>
  <c r="E10" i="44"/>
  <c r="I9" i="44"/>
  <c r="G9" i="44"/>
  <c r="F9" i="44"/>
  <c r="E9" i="44"/>
  <c r="I8" i="44"/>
  <c r="G8" i="44"/>
  <c r="F8" i="44"/>
  <c r="E8" i="44"/>
  <c r="I7" i="44"/>
  <c r="G7" i="44"/>
  <c r="H7" i="44" s="1"/>
  <c r="F7" i="44"/>
  <c r="E7" i="44"/>
  <c r="E6" i="44" s="1"/>
  <c r="I6" i="44" l="1"/>
  <c r="F6" i="44"/>
  <c r="H9" i="44"/>
  <c r="H10" i="44"/>
  <c r="H12" i="44"/>
  <c r="H15" i="44"/>
  <c r="H19" i="44"/>
  <c r="H20" i="44"/>
  <c r="H21" i="44"/>
  <c r="H23" i="44"/>
  <c r="H8" i="44"/>
  <c r="H26" i="44"/>
  <c r="H30" i="44"/>
  <c r="H13" i="44"/>
  <c r="H18" i="44"/>
  <c r="H22" i="44"/>
  <c r="H24" i="44"/>
  <c r="H27" i="44"/>
  <c r="H17" i="44"/>
  <c r="H16" i="44"/>
  <c r="E11" i="44"/>
  <c r="E33" i="44" s="1"/>
  <c r="H31" i="44"/>
  <c r="I33" i="44"/>
  <c r="F11" i="44"/>
  <c r="F33" i="44" s="1"/>
  <c r="G11" i="44"/>
  <c r="G6" i="44"/>
  <c r="H14" i="44"/>
  <c r="H11" i="44" l="1"/>
  <c r="G33" i="44"/>
  <c r="H33" i="44" s="1"/>
  <c r="H6" i="44"/>
  <c r="I32" i="45" l="1"/>
  <c r="G32" i="45"/>
  <c r="F32" i="45"/>
  <c r="H32" i="45" s="1"/>
  <c r="E32" i="45"/>
  <c r="I31" i="45"/>
  <c r="G31" i="45"/>
  <c r="F31" i="45"/>
  <c r="E31" i="45"/>
  <c r="I30" i="45"/>
  <c r="G30" i="45"/>
  <c r="F30" i="45"/>
  <c r="E30" i="45"/>
  <c r="I29" i="45"/>
  <c r="G29" i="45"/>
  <c r="F29" i="45"/>
  <c r="H29" i="45" s="1"/>
  <c r="E29" i="45"/>
  <c r="I28" i="45"/>
  <c r="G28" i="45"/>
  <c r="F28" i="45"/>
  <c r="H28" i="45" s="1"/>
  <c r="E28" i="45"/>
  <c r="I27" i="45"/>
  <c r="G27" i="45"/>
  <c r="F27" i="45"/>
  <c r="E27" i="45"/>
  <c r="I26" i="45"/>
  <c r="G26" i="45"/>
  <c r="F26" i="45"/>
  <c r="E26" i="45"/>
  <c r="I25" i="45"/>
  <c r="G25" i="45"/>
  <c r="F25" i="45"/>
  <c r="H25" i="45" s="1"/>
  <c r="E25" i="45"/>
  <c r="I24" i="45"/>
  <c r="G24" i="45"/>
  <c r="F24" i="45"/>
  <c r="H24" i="45" s="1"/>
  <c r="E24" i="45"/>
  <c r="I23" i="45"/>
  <c r="G23" i="45"/>
  <c r="F23" i="45"/>
  <c r="E23" i="45"/>
  <c r="I22" i="45"/>
  <c r="G22" i="45"/>
  <c r="F22" i="45"/>
  <c r="E22" i="45"/>
  <c r="I21" i="45"/>
  <c r="G21" i="45"/>
  <c r="F21" i="45"/>
  <c r="H21" i="45" s="1"/>
  <c r="E21" i="45"/>
  <c r="I20" i="45"/>
  <c r="G20" i="45"/>
  <c r="F20" i="45"/>
  <c r="E20" i="45"/>
  <c r="I19" i="45"/>
  <c r="G19" i="45"/>
  <c r="F19" i="45"/>
  <c r="E19" i="45"/>
  <c r="I18" i="45"/>
  <c r="G18" i="45"/>
  <c r="H18" i="45" s="1"/>
  <c r="F18" i="45"/>
  <c r="E18" i="45"/>
  <c r="I17" i="45"/>
  <c r="G17" i="45"/>
  <c r="F17" i="45"/>
  <c r="E17" i="45"/>
  <c r="I16" i="45"/>
  <c r="G16" i="45"/>
  <c r="F16" i="45"/>
  <c r="E16" i="45"/>
  <c r="I15" i="45"/>
  <c r="G15" i="45"/>
  <c r="F15" i="45"/>
  <c r="E15" i="45"/>
  <c r="I14" i="45"/>
  <c r="G14" i="45"/>
  <c r="F14" i="45"/>
  <c r="E14" i="45"/>
  <c r="I13" i="45"/>
  <c r="G13" i="45"/>
  <c r="H13" i="45" s="1"/>
  <c r="F13" i="45"/>
  <c r="E13" i="45"/>
  <c r="I12" i="45"/>
  <c r="G12" i="45"/>
  <c r="H12" i="45" s="1"/>
  <c r="F12" i="45"/>
  <c r="E12" i="45"/>
  <c r="I10" i="45"/>
  <c r="G10" i="45"/>
  <c r="H10" i="45" s="1"/>
  <c r="F10" i="45"/>
  <c r="E10" i="45"/>
  <c r="I9" i="45"/>
  <c r="G9" i="45"/>
  <c r="H9" i="45" s="1"/>
  <c r="F9" i="45"/>
  <c r="E9" i="45"/>
  <c r="I8" i="45"/>
  <c r="G8" i="45"/>
  <c r="F8" i="45"/>
  <c r="E8" i="45"/>
  <c r="I7" i="45"/>
  <c r="G7" i="45"/>
  <c r="F7" i="45"/>
  <c r="E7" i="45"/>
  <c r="I6" i="45"/>
  <c r="G6" i="45" l="1"/>
  <c r="H19" i="45"/>
  <c r="E6" i="45"/>
  <c r="F6" i="45"/>
  <c r="H7" i="45"/>
  <c r="H15" i="45"/>
  <c r="H20" i="45"/>
  <c r="H22" i="45"/>
  <c r="H26" i="45"/>
  <c r="H30" i="45"/>
  <c r="H8" i="45"/>
  <c r="H16" i="45"/>
  <c r="I11" i="45"/>
  <c r="I33" i="45" s="1"/>
  <c r="H27" i="45"/>
  <c r="H14" i="45"/>
  <c r="H31" i="45"/>
  <c r="F11" i="45"/>
  <c r="E11" i="45"/>
  <c r="G11" i="45"/>
  <c r="H23" i="45"/>
  <c r="H17" i="45"/>
  <c r="E33" i="45" l="1"/>
  <c r="H6" i="45"/>
  <c r="F33" i="45"/>
  <c r="H11" i="45"/>
  <c r="G33" i="45"/>
  <c r="H33" i="45" l="1"/>
  <c r="M6" i="46"/>
  <c r="T6" i="46"/>
  <c r="U6" i="46"/>
  <c r="V6" i="46"/>
  <c r="W6" i="46" s="1"/>
  <c r="X6" i="46"/>
  <c r="E7" i="46"/>
  <c r="F7" i="46"/>
  <c r="G7" i="46"/>
  <c r="I7" i="46"/>
  <c r="M7" i="46"/>
  <c r="R7" i="46"/>
  <c r="W7" i="46"/>
  <c r="E8" i="46"/>
  <c r="F8" i="46"/>
  <c r="G8" i="46"/>
  <c r="I8" i="46"/>
  <c r="M8" i="46"/>
  <c r="R8" i="46"/>
  <c r="W8" i="46"/>
  <c r="E9" i="46"/>
  <c r="F9" i="46"/>
  <c r="G9" i="46"/>
  <c r="I9" i="46"/>
  <c r="M9" i="46"/>
  <c r="R9" i="46"/>
  <c r="W9" i="46"/>
  <c r="E10" i="46"/>
  <c r="F10" i="46"/>
  <c r="G10" i="46"/>
  <c r="H10" i="46" s="1"/>
  <c r="I10" i="46"/>
  <c r="M10" i="46"/>
  <c r="R10" i="46"/>
  <c r="W10" i="46"/>
  <c r="T11" i="46"/>
  <c r="U11" i="46"/>
  <c r="V11" i="46"/>
  <c r="W11" i="46"/>
  <c r="X11" i="46"/>
  <c r="E12" i="46"/>
  <c r="F12" i="46"/>
  <c r="G12" i="46"/>
  <c r="I12" i="46"/>
  <c r="M12" i="46"/>
  <c r="R12" i="46"/>
  <c r="W12" i="46"/>
  <c r="E13" i="46"/>
  <c r="F13" i="46"/>
  <c r="G13" i="46"/>
  <c r="I13" i="46"/>
  <c r="M13" i="46"/>
  <c r="R13" i="46"/>
  <c r="W13" i="46"/>
  <c r="E14" i="46"/>
  <c r="F14" i="46"/>
  <c r="G14" i="46"/>
  <c r="I14" i="46"/>
  <c r="M14" i="46"/>
  <c r="R14" i="46"/>
  <c r="W14" i="46"/>
  <c r="E15" i="46"/>
  <c r="F15" i="46"/>
  <c r="G15" i="46"/>
  <c r="I15" i="46"/>
  <c r="M15" i="46"/>
  <c r="R15" i="46"/>
  <c r="W15" i="46"/>
  <c r="E16" i="46"/>
  <c r="F16" i="46"/>
  <c r="G16" i="46"/>
  <c r="I16" i="46"/>
  <c r="M16" i="46"/>
  <c r="R16" i="46"/>
  <c r="W16" i="46"/>
  <c r="E17" i="46"/>
  <c r="F17" i="46"/>
  <c r="G17" i="46"/>
  <c r="I17" i="46"/>
  <c r="M17" i="46"/>
  <c r="R17" i="46"/>
  <c r="W17" i="46"/>
  <c r="E18" i="46"/>
  <c r="F18" i="46"/>
  <c r="G18" i="46"/>
  <c r="I18" i="46"/>
  <c r="M18" i="46"/>
  <c r="R18" i="46"/>
  <c r="W18" i="46"/>
  <c r="E19" i="46"/>
  <c r="F19" i="46"/>
  <c r="G19" i="46"/>
  <c r="I19" i="46"/>
  <c r="M19" i="46"/>
  <c r="R19" i="46"/>
  <c r="W19" i="46"/>
  <c r="E20" i="46"/>
  <c r="F20" i="46"/>
  <c r="G20" i="46"/>
  <c r="H20" i="46" s="1"/>
  <c r="I20" i="46"/>
  <c r="M20" i="46"/>
  <c r="R20" i="46"/>
  <c r="W20" i="46"/>
  <c r="E21" i="46"/>
  <c r="F21" i="46"/>
  <c r="G21" i="46"/>
  <c r="I21" i="46"/>
  <c r="M21" i="46"/>
  <c r="R21" i="46"/>
  <c r="W21" i="46"/>
  <c r="E22" i="46"/>
  <c r="F22" i="46"/>
  <c r="G22" i="46"/>
  <c r="I22" i="46"/>
  <c r="M22" i="46"/>
  <c r="R22" i="46"/>
  <c r="W22" i="46"/>
  <c r="E23" i="46"/>
  <c r="F23" i="46"/>
  <c r="G23" i="46"/>
  <c r="I23" i="46"/>
  <c r="M23" i="46"/>
  <c r="R23" i="46"/>
  <c r="W23" i="46"/>
  <c r="E24" i="46"/>
  <c r="F24" i="46"/>
  <c r="G24" i="46"/>
  <c r="H24" i="46" s="1"/>
  <c r="I24" i="46"/>
  <c r="M24" i="46"/>
  <c r="R24" i="46"/>
  <c r="W24" i="46"/>
  <c r="E25" i="46"/>
  <c r="F25" i="46"/>
  <c r="G25" i="46"/>
  <c r="I25" i="46"/>
  <c r="M25" i="46"/>
  <c r="R25" i="46"/>
  <c r="W25" i="46"/>
  <c r="E26" i="46"/>
  <c r="F26" i="46"/>
  <c r="G26" i="46"/>
  <c r="I26" i="46"/>
  <c r="M26" i="46"/>
  <c r="R26" i="46"/>
  <c r="W26" i="46"/>
  <c r="E27" i="46"/>
  <c r="F27" i="46"/>
  <c r="G27" i="46"/>
  <c r="I27" i="46"/>
  <c r="M27" i="46"/>
  <c r="R27" i="46"/>
  <c r="W27" i="46"/>
  <c r="E28" i="46"/>
  <c r="F28" i="46"/>
  <c r="G28" i="46"/>
  <c r="H28" i="46" s="1"/>
  <c r="I28" i="46"/>
  <c r="M28" i="46"/>
  <c r="R28" i="46"/>
  <c r="W28" i="46"/>
  <c r="E29" i="46"/>
  <c r="F29" i="46"/>
  <c r="G29" i="46"/>
  <c r="I29" i="46"/>
  <c r="M29" i="46"/>
  <c r="R29" i="46"/>
  <c r="W29" i="46"/>
  <c r="E30" i="46"/>
  <c r="F30" i="46"/>
  <c r="G30" i="46"/>
  <c r="I30" i="46"/>
  <c r="M30" i="46"/>
  <c r="R30" i="46"/>
  <c r="W30" i="46"/>
  <c r="E31" i="46"/>
  <c r="F31" i="46"/>
  <c r="G31" i="46"/>
  <c r="I31" i="46"/>
  <c r="M31" i="46"/>
  <c r="R31" i="46"/>
  <c r="W31" i="46"/>
  <c r="E32" i="46"/>
  <c r="F32" i="46"/>
  <c r="G32" i="46"/>
  <c r="H32" i="46" s="1"/>
  <c r="I32" i="46"/>
  <c r="M32" i="46"/>
  <c r="R32" i="46"/>
  <c r="W32" i="46"/>
  <c r="T33" i="46"/>
  <c r="U33" i="46"/>
  <c r="W33" i="46" s="1"/>
  <c r="V33" i="46"/>
  <c r="X33" i="46"/>
  <c r="H8" i="46" l="1"/>
  <c r="H16" i="46"/>
  <c r="R11" i="46"/>
  <c r="F6" i="46"/>
  <c r="H31" i="46"/>
  <c r="H27" i="46"/>
  <c r="H23" i="46"/>
  <c r="H19" i="46"/>
  <c r="H15" i="46"/>
  <c r="H9" i="46"/>
  <c r="R6" i="46"/>
  <c r="E6" i="46"/>
  <c r="H29" i="46"/>
  <c r="H25" i="46"/>
  <c r="H21" i="46"/>
  <c r="H17" i="46"/>
  <c r="H13" i="46"/>
  <c r="E11" i="46"/>
  <c r="I11" i="46"/>
  <c r="I6" i="46"/>
  <c r="G11" i="46"/>
  <c r="F11" i="46"/>
  <c r="F33" i="46" s="1"/>
  <c r="H30" i="46"/>
  <c r="H26" i="46"/>
  <c r="H22" i="46"/>
  <c r="H18" i="46"/>
  <c r="H14" i="46"/>
  <c r="M11" i="46"/>
  <c r="M33" i="46"/>
  <c r="G6" i="46"/>
  <c r="H12" i="46"/>
  <c r="H7" i="46"/>
  <c r="G32" i="56"/>
  <c r="F32" i="56"/>
  <c r="E32" i="56"/>
  <c r="G31" i="56"/>
  <c r="F31" i="56"/>
  <c r="E31" i="56"/>
  <c r="G30" i="56"/>
  <c r="F30" i="56"/>
  <c r="E30" i="56"/>
  <c r="G29" i="56"/>
  <c r="F29" i="56"/>
  <c r="H29" i="56" s="1"/>
  <c r="E29" i="56"/>
  <c r="G28" i="56"/>
  <c r="F28" i="56"/>
  <c r="E28" i="56"/>
  <c r="G27" i="56"/>
  <c r="F27" i="56"/>
  <c r="H27" i="56" s="1"/>
  <c r="E27" i="56"/>
  <c r="G26" i="56"/>
  <c r="F26" i="56"/>
  <c r="E26" i="56"/>
  <c r="G25" i="56"/>
  <c r="E25" i="56"/>
  <c r="G24" i="56"/>
  <c r="F24" i="56"/>
  <c r="E24" i="56"/>
  <c r="G23" i="56"/>
  <c r="F23" i="56"/>
  <c r="E23" i="56"/>
  <c r="G22" i="56"/>
  <c r="F22" i="56"/>
  <c r="E22" i="56"/>
  <c r="G21" i="56"/>
  <c r="F21" i="56"/>
  <c r="E21" i="56"/>
  <c r="G20" i="56"/>
  <c r="F20" i="56"/>
  <c r="E20" i="56"/>
  <c r="G19" i="56"/>
  <c r="F19" i="56"/>
  <c r="H19" i="56" s="1"/>
  <c r="E19" i="56"/>
  <c r="G18" i="56"/>
  <c r="F18" i="56"/>
  <c r="H18" i="56" s="1"/>
  <c r="E18" i="56"/>
  <c r="G17" i="56"/>
  <c r="F17" i="56"/>
  <c r="E17" i="56"/>
  <c r="G16" i="56"/>
  <c r="F16" i="56"/>
  <c r="H16" i="56" s="1"/>
  <c r="E16" i="56"/>
  <c r="G15" i="56"/>
  <c r="F15" i="56"/>
  <c r="E15" i="56"/>
  <c r="G14" i="56"/>
  <c r="H14" i="56" s="1"/>
  <c r="F14" i="56"/>
  <c r="E14" i="56"/>
  <c r="G13" i="56"/>
  <c r="F13" i="56"/>
  <c r="E13" i="56"/>
  <c r="H12" i="56"/>
  <c r="G12" i="56"/>
  <c r="F12" i="56"/>
  <c r="E12" i="56"/>
  <c r="I10" i="56"/>
  <c r="G10" i="56"/>
  <c r="F10" i="56"/>
  <c r="E10" i="56"/>
  <c r="F9" i="56"/>
  <c r="E9" i="56"/>
  <c r="G8" i="56"/>
  <c r="F8" i="56"/>
  <c r="E8" i="56"/>
  <c r="G7" i="56"/>
  <c r="F7" i="56"/>
  <c r="E7" i="56"/>
  <c r="I6" i="56"/>
  <c r="H31" i="56" l="1"/>
  <c r="H7" i="56"/>
  <c r="H10" i="56"/>
  <c r="H22" i="56"/>
  <c r="E33" i="56"/>
  <c r="H20" i="56"/>
  <c r="H23" i="56"/>
  <c r="I33" i="46"/>
  <c r="E33" i="46"/>
  <c r="E6" i="56"/>
  <c r="H8" i="56"/>
  <c r="H13" i="56"/>
  <c r="R33" i="46"/>
  <c r="F6" i="56"/>
  <c r="H15" i="56"/>
  <c r="H17" i="56"/>
  <c r="H30" i="56"/>
  <c r="I33" i="56"/>
  <c r="H21" i="56"/>
  <c r="H24" i="56"/>
  <c r="H26" i="56"/>
  <c r="H28" i="56"/>
  <c r="H32" i="56"/>
  <c r="H11" i="46"/>
  <c r="G33" i="46"/>
  <c r="H33" i="46" s="1"/>
  <c r="H6" i="46"/>
  <c r="G9" i="56"/>
  <c r="F25" i="56"/>
  <c r="F33" i="56" s="1"/>
  <c r="H25" i="56" l="1"/>
  <c r="H11" i="56"/>
  <c r="H9" i="56"/>
  <c r="G6" i="56"/>
  <c r="G33" i="56" l="1"/>
  <c r="H33" i="56" s="1"/>
  <c r="H6" i="56"/>
  <c r="G22" i="58" l="1"/>
  <c r="F22" i="58"/>
  <c r="E22" i="58"/>
  <c r="G21" i="58"/>
  <c r="F21" i="58"/>
  <c r="E21" i="58"/>
  <c r="G20" i="58"/>
  <c r="H20" i="58" s="1"/>
  <c r="F20" i="58"/>
  <c r="E20" i="58"/>
  <c r="G19" i="58"/>
  <c r="F19" i="58"/>
  <c r="E19" i="58"/>
  <c r="G18" i="58"/>
  <c r="H18" i="58" s="1"/>
  <c r="F18" i="58"/>
  <c r="E18" i="58"/>
  <c r="G17" i="58"/>
  <c r="F17" i="58"/>
  <c r="E17" i="58"/>
  <c r="G16" i="58"/>
  <c r="F16" i="58"/>
  <c r="E16" i="58"/>
  <c r="G15" i="58"/>
  <c r="F15" i="58"/>
  <c r="E15" i="58"/>
  <c r="I14" i="58"/>
  <c r="I11" i="58" s="1"/>
  <c r="G14" i="58"/>
  <c r="F14" i="58"/>
  <c r="E14" i="58"/>
  <c r="G13" i="58"/>
  <c r="F13" i="58"/>
  <c r="E13" i="58"/>
  <c r="G12" i="58"/>
  <c r="F12" i="58"/>
  <c r="E12" i="58"/>
  <c r="F11" i="58"/>
  <c r="G9" i="58"/>
  <c r="F9" i="58"/>
  <c r="E9" i="58"/>
  <c r="G8" i="58"/>
  <c r="H8" i="58" s="1"/>
  <c r="F8" i="58"/>
  <c r="E8" i="58"/>
  <c r="G7" i="58"/>
  <c r="F7" i="58"/>
  <c r="F6" i="58" s="1"/>
  <c r="E7" i="58"/>
  <c r="E6" i="58" s="1"/>
  <c r="I6" i="58"/>
  <c r="H9" i="58" l="1"/>
  <c r="H15" i="58"/>
  <c r="H17" i="58"/>
  <c r="H22" i="58"/>
  <c r="F33" i="58"/>
  <c r="E11" i="58"/>
  <c r="E33" i="58" s="1"/>
  <c r="H16" i="58"/>
  <c r="H21" i="58"/>
  <c r="H7" i="58"/>
  <c r="H12" i="58"/>
  <c r="H13" i="58"/>
  <c r="H19" i="58"/>
  <c r="I33" i="58"/>
  <c r="G11" i="58"/>
  <c r="H11" i="58" s="1"/>
  <c r="G6" i="58"/>
  <c r="H6" i="58" l="1"/>
  <c r="G33" i="58"/>
  <c r="H33" i="58" s="1"/>
  <c r="I32" i="51" l="1"/>
  <c r="G32" i="51"/>
  <c r="F32" i="51"/>
  <c r="E32" i="51"/>
  <c r="I31" i="51"/>
  <c r="F31" i="51"/>
  <c r="E31" i="51"/>
  <c r="I30" i="51"/>
  <c r="F30" i="51"/>
  <c r="E30" i="51"/>
  <c r="I29" i="51"/>
  <c r="F29" i="51"/>
  <c r="E29" i="51"/>
  <c r="I28" i="51"/>
  <c r="F28" i="51"/>
  <c r="E28" i="51"/>
  <c r="I27" i="51"/>
  <c r="F27" i="51"/>
  <c r="E27" i="51"/>
  <c r="I26" i="51"/>
  <c r="F26" i="51"/>
  <c r="E26" i="51"/>
  <c r="I25" i="51"/>
  <c r="F25" i="51"/>
  <c r="E25" i="51"/>
  <c r="I24" i="51"/>
  <c r="G24" i="51"/>
  <c r="F24" i="51"/>
  <c r="E24" i="51"/>
  <c r="I23" i="51"/>
  <c r="F23" i="51"/>
  <c r="E23" i="51"/>
  <c r="I22" i="51"/>
  <c r="G22" i="51"/>
  <c r="F22" i="51"/>
  <c r="E22" i="51"/>
  <c r="I21" i="51"/>
  <c r="E21" i="51"/>
  <c r="G20" i="51"/>
  <c r="I20" i="51"/>
  <c r="E20" i="51"/>
  <c r="E19" i="51"/>
  <c r="E34" i="51" s="1"/>
  <c r="I19" i="51"/>
  <c r="F19" i="51"/>
  <c r="F34" i="51" s="1"/>
  <c r="I18" i="51"/>
  <c r="F18" i="51"/>
  <c r="E18" i="51"/>
  <c r="I17" i="51"/>
  <c r="F17" i="51"/>
  <c r="E17" i="51"/>
  <c r="I16" i="51"/>
  <c r="F16" i="51"/>
  <c r="E16" i="51"/>
  <c r="G15" i="51"/>
  <c r="I15" i="51"/>
  <c r="F15" i="51"/>
  <c r="E15" i="51"/>
  <c r="I14" i="51"/>
  <c r="G14" i="51"/>
  <c r="F14" i="51"/>
  <c r="E14" i="51"/>
  <c r="G13" i="51"/>
  <c r="I13" i="51"/>
  <c r="F13" i="51"/>
  <c r="E13" i="51"/>
  <c r="I12" i="51"/>
  <c r="F12" i="51"/>
  <c r="E12" i="51"/>
  <c r="I10" i="51"/>
  <c r="G10" i="51"/>
  <c r="F10" i="51"/>
  <c r="E10" i="51"/>
  <c r="I9" i="51"/>
  <c r="F9" i="51"/>
  <c r="I8" i="51"/>
  <c r="F8" i="51"/>
  <c r="E8" i="51"/>
  <c r="I7" i="51"/>
  <c r="G7" i="51"/>
  <c r="F7" i="51"/>
  <c r="E7" i="51"/>
  <c r="X33" i="51"/>
  <c r="V33" i="51"/>
  <c r="P33" i="51"/>
  <c r="F6" i="51" l="1"/>
  <c r="H13" i="51"/>
  <c r="H15" i="51"/>
  <c r="I6" i="51"/>
  <c r="H10" i="51"/>
  <c r="H7" i="51"/>
  <c r="G17" i="51"/>
  <c r="E9" i="51"/>
  <c r="E6" i="51" s="1"/>
  <c r="G28" i="51"/>
  <c r="H28" i="51" s="1"/>
  <c r="S33" i="51"/>
  <c r="H24" i="51"/>
  <c r="G26" i="51"/>
  <c r="H26" i="51" s="1"/>
  <c r="H17" i="51"/>
  <c r="I11" i="51"/>
  <c r="G8" i="51"/>
  <c r="H8" i="51" s="1"/>
  <c r="O33" i="51"/>
  <c r="H32" i="51"/>
  <c r="K33" i="51"/>
  <c r="H22" i="51"/>
  <c r="H14" i="51"/>
  <c r="G16" i="51"/>
  <c r="H16" i="51" s="1"/>
  <c r="U33" i="51"/>
  <c r="W33" i="51" s="1"/>
  <c r="E11" i="51"/>
  <c r="G18" i="51"/>
  <c r="H18" i="51" s="1"/>
  <c r="G9" i="51"/>
  <c r="H9" i="51" s="1"/>
  <c r="G12" i="51"/>
  <c r="G19" i="51"/>
  <c r="G34" i="51" s="1"/>
  <c r="H34" i="51" s="1"/>
  <c r="F20" i="51"/>
  <c r="H20" i="51" s="1"/>
  <c r="G25" i="51"/>
  <c r="H25" i="51" s="1"/>
  <c r="G29" i="51"/>
  <c r="H29" i="51" s="1"/>
  <c r="F21" i="51"/>
  <c r="G30" i="51"/>
  <c r="H30" i="51" s="1"/>
  <c r="G21" i="51"/>
  <c r="G23" i="51"/>
  <c r="H23" i="51" s="1"/>
  <c r="G27" i="51"/>
  <c r="H27" i="51" s="1"/>
  <c r="G31" i="51"/>
  <c r="H31" i="51" s="1"/>
  <c r="E33" i="51" l="1"/>
  <c r="G6" i="51"/>
  <c r="H6" i="51" s="1"/>
  <c r="L33" i="51"/>
  <c r="M33" i="51" s="1"/>
  <c r="H19" i="51"/>
  <c r="H12" i="51"/>
  <c r="G11" i="51"/>
  <c r="Q33" i="51"/>
  <c r="R33" i="51" s="1"/>
  <c r="H21" i="51"/>
  <c r="F11" i="51"/>
  <c r="F33" i="51" s="1"/>
  <c r="H11" i="51" l="1"/>
  <c r="G33" i="51"/>
  <c r="H33" i="51" s="1"/>
  <c r="I32" i="57" l="1"/>
  <c r="G32" i="57"/>
  <c r="H32" i="57" s="1"/>
  <c r="F32" i="57"/>
  <c r="E32" i="57"/>
  <c r="I31" i="57"/>
  <c r="G31" i="57"/>
  <c r="H31" i="57" s="1"/>
  <c r="F31" i="57"/>
  <c r="E31" i="57"/>
  <c r="I30" i="57"/>
  <c r="G30" i="57"/>
  <c r="H30" i="57" s="1"/>
  <c r="F30" i="57"/>
  <c r="E30" i="57"/>
  <c r="I29" i="57"/>
  <c r="G29" i="57"/>
  <c r="H29" i="57" s="1"/>
  <c r="F29" i="57"/>
  <c r="E29" i="57"/>
  <c r="I28" i="57"/>
  <c r="G28" i="57"/>
  <c r="H28" i="57" s="1"/>
  <c r="F28" i="57"/>
  <c r="E28" i="57"/>
  <c r="I27" i="57"/>
  <c r="G27" i="57"/>
  <c r="H27" i="57" s="1"/>
  <c r="F27" i="57"/>
  <c r="E27" i="57"/>
  <c r="I26" i="57"/>
  <c r="G26" i="57"/>
  <c r="H26" i="57" s="1"/>
  <c r="F26" i="57"/>
  <c r="E26" i="57"/>
  <c r="I25" i="57"/>
  <c r="F25" i="57"/>
  <c r="H25" i="57" s="1"/>
  <c r="E25" i="57"/>
  <c r="I24" i="57"/>
  <c r="G24" i="57"/>
  <c r="F24" i="57"/>
  <c r="E24" i="57"/>
  <c r="I23" i="57"/>
  <c r="G23" i="57"/>
  <c r="F23" i="57"/>
  <c r="E23" i="57"/>
  <c r="I22" i="57"/>
  <c r="G22" i="57"/>
  <c r="F22" i="57"/>
  <c r="E22" i="57"/>
  <c r="I21" i="57"/>
  <c r="G21" i="57"/>
  <c r="F21" i="57"/>
  <c r="E21" i="57"/>
  <c r="I20" i="57"/>
  <c r="G20" i="57"/>
  <c r="F20" i="57"/>
  <c r="E20" i="57"/>
  <c r="I19" i="57"/>
  <c r="G19" i="57"/>
  <c r="F19" i="57"/>
  <c r="E19" i="57"/>
  <c r="I18" i="57"/>
  <c r="G18" i="57"/>
  <c r="F18" i="57"/>
  <c r="E18" i="57"/>
  <c r="I17" i="57"/>
  <c r="G17" i="57"/>
  <c r="F17" i="57"/>
  <c r="E17" i="57"/>
  <c r="I16" i="57"/>
  <c r="G16" i="57"/>
  <c r="F16" i="57"/>
  <c r="E16" i="57"/>
  <c r="I15" i="57"/>
  <c r="G15" i="57"/>
  <c r="F15" i="57"/>
  <c r="E15" i="57"/>
  <c r="I14" i="57"/>
  <c r="G14" i="57"/>
  <c r="F14" i="57"/>
  <c r="E14" i="57"/>
  <c r="I13" i="57"/>
  <c r="G13" i="57"/>
  <c r="F13" i="57"/>
  <c r="E13" i="57"/>
  <c r="I12" i="57"/>
  <c r="G12" i="57"/>
  <c r="F12" i="57"/>
  <c r="F11" i="57" s="1"/>
  <c r="E12" i="57"/>
  <c r="I10" i="57"/>
  <c r="G10" i="57"/>
  <c r="F10" i="57"/>
  <c r="E10" i="57"/>
  <c r="I9" i="57"/>
  <c r="G9" i="57"/>
  <c r="F9" i="57"/>
  <c r="E9" i="57"/>
  <c r="I8" i="57"/>
  <c r="G8" i="57"/>
  <c r="F8" i="57"/>
  <c r="E8" i="57"/>
  <c r="I7" i="57"/>
  <c r="G7" i="57"/>
  <c r="H7" i="57" s="1"/>
  <c r="F7" i="57"/>
  <c r="E7" i="57"/>
  <c r="E6" i="57" s="1"/>
  <c r="I6" i="57"/>
  <c r="G6" i="57"/>
  <c r="F6" i="57"/>
  <c r="F33" i="57" l="1"/>
  <c r="G33" i="57"/>
  <c r="H9" i="57"/>
  <c r="H12" i="57"/>
  <c r="H14" i="57"/>
  <c r="H16" i="57"/>
  <c r="H20" i="57"/>
  <c r="H24" i="57"/>
  <c r="H8" i="57"/>
  <c r="H11" i="57"/>
  <c r="H15" i="57"/>
  <c r="H19" i="57"/>
  <c r="H23" i="57"/>
  <c r="H18" i="57"/>
  <c r="H22" i="57"/>
  <c r="H10" i="57"/>
  <c r="H13" i="57"/>
  <c r="H17" i="57"/>
  <c r="H21" i="57"/>
  <c r="I11" i="57"/>
  <c r="I33" i="57" s="1"/>
  <c r="E11" i="57"/>
  <c r="E33" i="57" s="1"/>
  <c r="H33" i="57"/>
  <c r="H6" i="57"/>
  <c r="I32" i="61" l="1"/>
  <c r="G32" i="61"/>
  <c r="H32" i="61" s="1"/>
  <c r="F32" i="61"/>
  <c r="E32" i="61"/>
  <c r="I31" i="61"/>
  <c r="G31" i="61"/>
  <c r="F31" i="61"/>
  <c r="E31" i="61"/>
  <c r="I30" i="61"/>
  <c r="G30" i="61"/>
  <c r="F30" i="61"/>
  <c r="E30" i="61"/>
  <c r="I29" i="61"/>
  <c r="G29" i="61"/>
  <c r="F29" i="61"/>
  <c r="E29" i="61"/>
  <c r="I28" i="61"/>
  <c r="G28" i="61"/>
  <c r="H28" i="61" s="1"/>
  <c r="F28" i="61"/>
  <c r="E28" i="61"/>
  <c r="I27" i="61"/>
  <c r="G27" i="61"/>
  <c r="F27" i="61"/>
  <c r="E27" i="61"/>
  <c r="I26" i="61"/>
  <c r="G26" i="61"/>
  <c r="F26" i="61"/>
  <c r="E26" i="61"/>
  <c r="I25" i="61"/>
  <c r="G25" i="61"/>
  <c r="F25" i="61"/>
  <c r="E25" i="61"/>
  <c r="I24" i="61"/>
  <c r="G24" i="61"/>
  <c r="H24" i="61" s="1"/>
  <c r="F24" i="61"/>
  <c r="E24" i="61"/>
  <c r="I23" i="61"/>
  <c r="G23" i="61"/>
  <c r="F23" i="61"/>
  <c r="E23" i="61"/>
  <c r="I22" i="61"/>
  <c r="G22" i="61"/>
  <c r="H22" i="61" s="1"/>
  <c r="F22" i="61"/>
  <c r="E22" i="61"/>
  <c r="I21" i="61"/>
  <c r="G21" i="61"/>
  <c r="F21" i="61"/>
  <c r="E21" i="61"/>
  <c r="I20" i="61"/>
  <c r="G20" i="61"/>
  <c r="H20" i="61" s="1"/>
  <c r="F20" i="61"/>
  <c r="E20" i="61"/>
  <c r="I19" i="61"/>
  <c r="G19" i="61"/>
  <c r="F19" i="61"/>
  <c r="E19" i="61"/>
  <c r="I18" i="61"/>
  <c r="G18" i="61"/>
  <c r="H18" i="61" s="1"/>
  <c r="F18" i="61"/>
  <c r="E18" i="61"/>
  <c r="I17" i="61"/>
  <c r="G17" i="61"/>
  <c r="F17" i="61"/>
  <c r="E17" i="61"/>
  <c r="I16" i="61"/>
  <c r="G16" i="61"/>
  <c r="H16" i="61" s="1"/>
  <c r="F16" i="61"/>
  <c r="E16" i="61"/>
  <c r="I15" i="61"/>
  <c r="G15" i="61"/>
  <c r="F15" i="61"/>
  <c r="E15" i="61"/>
  <c r="I14" i="61"/>
  <c r="G14" i="61"/>
  <c r="H14" i="61" s="1"/>
  <c r="F14" i="61"/>
  <c r="E14" i="61"/>
  <c r="I13" i="61"/>
  <c r="G13" i="61"/>
  <c r="F13" i="61"/>
  <c r="E13" i="61"/>
  <c r="I12" i="61"/>
  <c r="G12" i="61"/>
  <c r="H12" i="61" s="1"/>
  <c r="F12" i="61"/>
  <c r="E12" i="61"/>
  <c r="E11" i="61" s="1"/>
  <c r="I11" i="61"/>
  <c r="F11" i="61"/>
  <c r="I10" i="61"/>
  <c r="G10" i="61"/>
  <c r="H10" i="61" s="1"/>
  <c r="F10" i="61"/>
  <c r="E10" i="61"/>
  <c r="I9" i="61"/>
  <c r="G9" i="61"/>
  <c r="F9" i="61"/>
  <c r="E9" i="61"/>
  <c r="I8" i="61"/>
  <c r="G8" i="61"/>
  <c r="H8" i="61" s="1"/>
  <c r="F8" i="61"/>
  <c r="E8" i="61"/>
  <c r="E6" i="61" s="1"/>
  <c r="I7" i="61"/>
  <c r="G7" i="61"/>
  <c r="F7" i="61"/>
  <c r="E7" i="61"/>
  <c r="I6" i="61"/>
  <c r="G6" i="61"/>
  <c r="F6" i="61"/>
  <c r="F33" i="61" l="1"/>
  <c r="E33" i="61"/>
  <c r="H7" i="61"/>
  <c r="H15" i="61"/>
  <c r="H19" i="61"/>
  <c r="H23" i="61"/>
  <c r="H27" i="61"/>
  <c r="H31" i="61"/>
  <c r="H26" i="61"/>
  <c r="H30" i="61"/>
  <c r="H9" i="61"/>
  <c r="H13" i="61"/>
  <c r="H17" i="61"/>
  <c r="H21" i="61"/>
  <c r="H25" i="61"/>
  <c r="H29" i="61"/>
  <c r="I33" i="61"/>
  <c r="G11" i="61"/>
  <c r="H11" i="61" s="1"/>
  <c r="H6" i="61"/>
  <c r="G33" i="61" l="1"/>
  <c r="H33" i="61" s="1"/>
  <c r="H14" i="52"/>
  <c r="G12" i="52"/>
  <c r="G13" i="52"/>
  <c r="G15" i="52"/>
  <c r="G17" i="52"/>
  <c r="G18" i="52"/>
  <c r="G19" i="52"/>
  <c r="G20" i="52"/>
  <c r="G21" i="52"/>
  <c r="G22" i="52"/>
  <c r="G23" i="52"/>
  <c r="G24" i="52"/>
  <c r="G25" i="52"/>
  <c r="G26" i="52"/>
  <c r="G27" i="52"/>
  <c r="G28" i="52"/>
  <c r="G29" i="52"/>
  <c r="G30" i="52"/>
  <c r="G31" i="52"/>
  <c r="G32" i="52"/>
  <c r="I32" i="52"/>
  <c r="F32" i="52"/>
  <c r="E32" i="52"/>
  <c r="I31" i="52"/>
  <c r="F31" i="52"/>
  <c r="E31" i="52"/>
  <c r="I30" i="52"/>
  <c r="F30" i="52"/>
  <c r="E30" i="52"/>
  <c r="I29" i="52"/>
  <c r="F29" i="52"/>
  <c r="E29" i="52"/>
  <c r="I28" i="52"/>
  <c r="F28" i="52"/>
  <c r="E28" i="52"/>
  <c r="I27" i="52"/>
  <c r="F27" i="52"/>
  <c r="E27" i="52"/>
  <c r="I26" i="52"/>
  <c r="F26" i="52"/>
  <c r="E26" i="52"/>
  <c r="I25" i="52"/>
  <c r="F25" i="52"/>
  <c r="E25" i="52"/>
  <c r="I24" i="52"/>
  <c r="F24" i="52"/>
  <c r="E24" i="52"/>
  <c r="I23" i="52"/>
  <c r="F23" i="52"/>
  <c r="E23" i="52"/>
  <c r="I22" i="52"/>
  <c r="F22" i="52"/>
  <c r="E22" i="52"/>
  <c r="I21" i="52"/>
  <c r="F21" i="52"/>
  <c r="E21" i="52"/>
  <c r="I20" i="52"/>
  <c r="F20" i="52"/>
  <c r="E20" i="52"/>
  <c r="I19" i="52"/>
  <c r="F19" i="52"/>
  <c r="E19" i="52"/>
  <c r="I18" i="52"/>
  <c r="F18" i="52"/>
  <c r="E18" i="52"/>
  <c r="I17" i="52"/>
  <c r="F17" i="52"/>
  <c r="E17" i="52"/>
  <c r="I16" i="52"/>
  <c r="G16" i="52"/>
  <c r="F16" i="52"/>
  <c r="F11" i="52" s="1"/>
  <c r="E16" i="52"/>
  <c r="I15" i="52"/>
  <c r="F15" i="52"/>
  <c r="H15" i="52" s="1"/>
  <c r="E15" i="52"/>
  <c r="I13" i="52"/>
  <c r="F13" i="52"/>
  <c r="E13" i="52"/>
  <c r="I12" i="52"/>
  <c r="F12" i="52"/>
  <c r="E12" i="52"/>
  <c r="I10" i="52"/>
  <c r="G10" i="52"/>
  <c r="F10" i="52"/>
  <c r="E10" i="52"/>
  <c r="I9" i="52"/>
  <c r="G9" i="52"/>
  <c r="F9" i="52"/>
  <c r="E9" i="52"/>
  <c r="I8" i="52"/>
  <c r="G8" i="52"/>
  <c r="F8" i="52"/>
  <c r="E8" i="52"/>
  <c r="I7" i="52"/>
  <c r="G7" i="52"/>
  <c r="F7" i="52"/>
  <c r="E7" i="52"/>
  <c r="F6" i="52"/>
  <c r="F33" i="52" l="1"/>
  <c r="I6" i="52"/>
  <c r="H31" i="52"/>
  <c r="H27" i="52"/>
  <c r="H23" i="52"/>
  <c r="H19" i="52"/>
  <c r="H13" i="52"/>
  <c r="H16" i="52"/>
  <c r="H30" i="52"/>
  <c r="H26" i="52"/>
  <c r="H22" i="52"/>
  <c r="H12" i="52"/>
  <c r="H29" i="52"/>
  <c r="H25" i="52"/>
  <c r="H21" i="52"/>
  <c r="H17" i="52"/>
  <c r="H8" i="52"/>
  <c r="H10" i="52"/>
  <c r="H32" i="52"/>
  <c r="H28" i="52"/>
  <c r="H24" i="52"/>
  <c r="H20" i="52"/>
  <c r="H18" i="52"/>
  <c r="H9" i="52"/>
  <c r="E11" i="52"/>
  <c r="H7" i="52"/>
  <c r="E6" i="52"/>
  <c r="I11" i="52"/>
  <c r="G11" i="52"/>
  <c r="H11" i="52" s="1"/>
  <c r="G6" i="52"/>
  <c r="I33" i="52" l="1"/>
  <c r="E33" i="52"/>
  <c r="H6" i="52"/>
  <c r="G33" i="52"/>
  <c r="H33" i="52" s="1"/>
  <c r="I32" i="55" l="1"/>
  <c r="G32" i="55"/>
  <c r="F32" i="55"/>
  <c r="E32" i="55"/>
  <c r="I31" i="55"/>
  <c r="G31" i="55"/>
  <c r="H31" i="55" s="1"/>
  <c r="F31" i="55"/>
  <c r="E31" i="55"/>
  <c r="I30" i="55"/>
  <c r="G30" i="55"/>
  <c r="F30" i="55"/>
  <c r="E30" i="55"/>
  <c r="I29" i="55"/>
  <c r="G29" i="55"/>
  <c r="F29" i="55"/>
  <c r="E29" i="55"/>
  <c r="I28" i="55"/>
  <c r="G28" i="55"/>
  <c r="H28" i="55" s="1"/>
  <c r="F28" i="55"/>
  <c r="E28" i="55"/>
  <c r="I27" i="55"/>
  <c r="G27" i="55"/>
  <c r="E27" i="55"/>
  <c r="I26" i="55"/>
  <c r="G26" i="55"/>
  <c r="F26" i="55"/>
  <c r="E26" i="55"/>
  <c r="I25" i="55"/>
  <c r="G25" i="55"/>
  <c r="F25" i="55"/>
  <c r="E25" i="55"/>
  <c r="I24" i="55"/>
  <c r="G24" i="55"/>
  <c r="F24" i="55"/>
  <c r="E24" i="55"/>
  <c r="I23" i="55"/>
  <c r="G23" i="55"/>
  <c r="F23" i="55"/>
  <c r="E23" i="55"/>
  <c r="I22" i="55"/>
  <c r="G22" i="55"/>
  <c r="F22" i="55"/>
  <c r="E22" i="55"/>
  <c r="I21" i="55"/>
  <c r="G21" i="55"/>
  <c r="F21" i="55"/>
  <c r="E21" i="55"/>
  <c r="I20" i="55"/>
  <c r="G20" i="55"/>
  <c r="F20" i="55"/>
  <c r="E20" i="55"/>
  <c r="I19" i="55"/>
  <c r="G19" i="55"/>
  <c r="F19" i="55"/>
  <c r="E19" i="55"/>
  <c r="I18" i="55"/>
  <c r="G18" i="55"/>
  <c r="H18" i="55" s="1"/>
  <c r="F18" i="55"/>
  <c r="E18" i="55"/>
  <c r="I17" i="55"/>
  <c r="G17" i="55"/>
  <c r="F17" i="55"/>
  <c r="E17" i="55"/>
  <c r="I16" i="55"/>
  <c r="G16" i="55"/>
  <c r="H16" i="55" s="1"/>
  <c r="F16" i="55"/>
  <c r="E16" i="55"/>
  <c r="I15" i="55"/>
  <c r="G15" i="55"/>
  <c r="F15" i="55"/>
  <c r="E15" i="55"/>
  <c r="I14" i="55"/>
  <c r="G14" i="55"/>
  <c r="F14" i="55"/>
  <c r="E14" i="55"/>
  <c r="I13" i="55"/>
  <c r="G13" i="55"/>
  <c r="F13" i="55"/>
  <c r="E13" i="55"/>
  <c r="I12" i="55"/>
  <c r="G12" i="55"/>
  <c r="H12" i="55" s="1"/>
  <c r="F12" i="55"/>
  <c r="E12" i="55"/>
  <c r="I10" i="55"/>
  <c r="G10" i="55"/>
  <c r="H10" i="55" s="1"/>
  <c r="F10" i="55"/>
  <c r="E10" i="55"/>
  <c r="I9" i="55"/>
  <c r="G9" i="55"/>
  <c r="F9" i="55"/>
  <c r="E9" i="55"/>
  <c r="I8" i="55"/>
  <c r="G8" i="55"/>
  <c r="H8" i="55" s="1"/>
  <c r="F8" i="55"/>
  <c r="E8" i="55"/>
  <c r="I7" i="55"/>
  <c r="I6" i="55" s="1"/>
  <c r="G7" i="55"/>
  <c r="G6" i="55" s="1"/>
  <c r="F7" i="55"/>
  <c r="E7" i="55"/>
  <c r="E6" i="55" s="1"/>
  <c r="F6" i="55"/>
  <c r="H19" i="55" l="1"/>
  <c r="H22" i="55"/>
  <c r="H9" i="55"/>
  <c r="H6" i="55"/>
  <c r="H26" i="55"/>
  <c r="H21" i="55"/>
  <c r="H20" i="55"/>
  <c r="F27" i="55"/>
  <c r="H27" i="55" s="1"/>
  <c r="H29" i="55"/>
  <c r="H25" i="55"/>
  <c r="H17" i="55"/>
  <c r="H13" i="55"/>
  <c r="G11" i="55"/>
  <c r="G33" i="55" s="1"/>
  <c r="H15" i="55"/>
  <c r="H32" i="55"/>
  <c r="E11" i="55"/>
  <c r="E33" i="55" s="1"/>
  <c r="H30" i="55"/>
  <c r="H24" i="55"/>
  <c r="H23" i="55"/>
  <c r="I11" i="55"/>
  <c r="I33" i="55" s="1"/>
  <c r="H14" i="55"/>
  <c r="H7" i="55"/>
  <c r="F11" i="55" l="1"/>
  <c r="F33" i="55" s="1"/>
  <c r="H11" i="55"/>
  <c r="H33" i="55"/>
  <c r="I32" i="54" l="1"/>
  <c r="G32" i="54"/>
  <c r="H32" i="54" s="1"/>
  <c r="F32" i="54"/>
  <c r="E32" i="54"/>
  <c r="I31" i="54"/>
  <c r="G31" i="54"/>
  <c r="F31" i="54"/>
  <c r="E31" i="54"/>
  <c r="I30" i="54"/>
  <c r="G30" i="54"/>
  <c r="F30" i="54"/>
  <c r="E30" i="54"/>
  <c r="I29" i="54"/>
  <c r="G29" i="54"/>
  <c r="F29" i="54"/>
  <c r="E29" i="54"/>
  <c r="I28" i="54"/>
  <c r="G28" i="54"/>
  <c r="H28" i="54" s="1"/>
  <c r="F28" i="54"/>
  <c r="E28" i="54"/>
  <c r="I27" i="54"/>
  <c r="G27" i="54"/>
  <c r="F27" i="54"/>
  <c r="E27" i="54"/>
  <c r="I26" i="54"/>
  <c r="G26" i="54"/>
  <c r="F26" i="54"/>
  <c r="E26" i="54"/>
  <c r="I25" i="54"/>
  <c r="G25" i="54"/>
  <c r="F25" i="54"/>
  <c r="E25" i="54"/>
  <c r="I24" i="54"/>
  <c r="G24" i="54"/>
  <c r="H24" i="54" s="1"/>
  <c r="F24" i="54"/>
  <c r="E24" i="54"/>
  <c r="I23" i="54"/>
  <c r="G23" i="54"/>
  <c r="F23" i="54"/>
  <c r="E23" i="54"/>
  <c r="I22" i="54"/>
  <c r="G22" i="54"/>
  <c r="H22" i="54" s="1"/>
  <c r="F22" i="54"/>
  <c r="E22" i="54"/>
  <c r="I21" i="54"/>
  <c r="G21" i="54"/>
  <c r="F21" i="54"/>
  <c r="E21" i="54"/>
  <c r="I20" i="54"/>
  <c r="G20" i="54"/>
  <c r="H20" i="54" s="1"/>
  <c r="F20" i="54"/>
  <c r="E20" i="54"/>
  <c r="I19" i="54"/>
  <c r="G19" i="54"/>
  <c r="F19" i="54"/>
  <c r="E19" i="54"/>
  <c r="I18" i="54"/>
  <c r="G18" i="54"/>
  <c r="H18" i="54" s="1"/>
  <c r="F18" i="54"/>
  <c r="E18" i="54"/>
  <c r="I17" i="54"/>
  <c r="G17" i="54"/>
  <c r="F17" i="54"/>
  <c r="E17" i="54"/>
  <c r="I16" i="54"/>
  <c r="G16" i="54"/>
  <c r="H16" i="54" s="1"/>
  <c r="F16" i="54"/>
  <c r="E16" i="54"/>
  <c r="I15" i="54"/>
  <c r="G15" i="54"/>
  <c r="F15" i="54"/>
  <c r="E15" i="54"/>
  <c r="I14" i="54"/>
  <c r="G14" i="54"/>
  <c r="H14" i="54" s="1"/>
  <c r="F14" i="54"/>
  <c r="E14" i="54"/>
  <c r="I13" i="54"/>
  <c r="G13" i="54"/>
  <c r="F13" i="54"/>
  <c r="E13" i="54"/>
  <c r="I12" i="54"/>
  <c r="G12" i="54"/>
  <c r="H12" i="54" s="1"/>
  <c r="F12" i="54"/>
  <c r="E12" i="54"/>
  <c r="E11" i="54" s="1"/>
  <c r="F11" i="54"/>
  <c r="I10" i="54"/>
  <c r="G10" i="54"/>
  <c r="F10" i="54"/>
  <c r="E10" i="54"/>
  <c r="I9" i="54"/>
  <c r="G9" i="54"/>
  <c r="F9" i="54"/>
  <c r="E9" i="54"/>
  <c r="I8" i="54"/>
  <c r="G8" i="54"/>
  <c r="F8" i="54"/>
  <c r="E8" i="54"/>
  <c r="I7" i="54"/>
  <c r="G7" i="54"/>
  <c r="F7" i="54"/>
  <c r="F6" i="54" s="1"/>
  <c r="F33" i="54" s="1"/>
  <c r="E7" i="54"/>
  <c r="E6" i="54" s="1"/>
  <c r="G6" i="54"/>
  <c r="H36" i="49"/>
  <c r="H35" i="49"/>
  <c r="H34" i="49"/>
  <c r="W32" i="49"/>
  <c r="R32" i="49"/>
  <c r="M32" i="49"/>
  <c r="I32" i="49"/>
  <c r="G32" i="49"/>
  <c r="F32" i="49"/>
  <c r="H32" i="49" s="1"/>
  <c r="E32" i="49"/>
  <c r="W31" i="49"/>
  <c r="R31" i="49"/>
  <c r="M31" i="49"/>
  <c r="I31" i="49"/>
  <c r="G31" i="49"/>
  <c r="F31" i="49"/>
  <c r="E31" i="49"/>
  <c r="W30" i="49"/>
  <c r="R30" i="49"/>
  <c r="M30" i="49"/>
  <c r="I30" i="49"/>
  <c r="G30" i="49"/>
  <c r="F30" i="49"/>
  <c r="H30" i="49" s="1"/>
  <c r="E30" i="49"/>
  <c r="W29" i="49"/>
  <c r="R29" i="49"/>
  <c r="M29" i="49"/>
  <c r="I29" i="49"/>
  <c r="G29" i="49"/>
  <c r="F29" i="49"/>
  <c r="E29" i="49"/>
  <c r="W28" i="49"/>
  <c r="R28" i="49"/>
  <c r="M28" i="49"/>
  <c r="I28" i="49"/>
  <c r="G28" i="49"/>
  <c r="F28" i="49"/>
  <c r="E28" i="49"/>
  <c r="W27" i="49"/>
  <c r="R27" i="49"/>
  <c r="M27" i="49"/>
  <c r="I27" i="49"/>
  <c r="G27" i="49"/>
  <c r="F27" i="49"/>
  <c r="E27" i="49"/>
  <c r="W26" i="49"/>
  <c r="R26" i="49"/>
  <c r="M26" i="49"/>
  <c r="I26" i="49"/>
  <c r="G26" i="49"/>
  <c r="F26" i="49"/>
  <c r="E26" i="49"/>
  <c r="W25" i="49"/>
  <c r="R25" i="49"/>
  <c r="M25" i="49"/>
  <c r="I25" i="49"/>
  <c r="G25" i="49"/>
  <c r="F25" i="49"/>
  <c r="E25" i="49"/>
  <c r="W24" i="49"/>
  <c r="R24" i="49"/>
  <c r="M24" i="49"/>
  <c r="I24" i="49"/>
  <c r="G24" i="49"/>
  <c r="F24" i="49"/>
  <c r="H24" i="49" s="1"/>
  <c r="E24" i="49"/>
  <c r="W23" i="49"/>
  <c r="R23" i="49"/>
  <c r="M23" i="49"/>
  <c r="I23" i="49"/>
  <c r="G23" i="49"/>
  <c r="F23" i="49"/>
  <c r="E23" i="49"/>
  <c r="W22" i="49"/>
  <c r="R22" i="49"/>
  <c r="M22" i="49"/>
  <c r="I22" i="49"/>
  <c r="G22" i="49"/>
  <c r="F22" i="49"/>
  <c r="H22" i="49" s="1"/>
  <c r="E22" i="49"/>
  <c r="W21" i="49"/>
  <c r="R21" i="49"/>
  <c r="M21" i="49"/>
  <c r="I21" i="49"/>
  <c r="G21" i="49"/>
  <c r="F21" i="49"/>
  <c r="E21" i="49"/>
  <c r="W20" i="49"/>
  <c r="R20" i="49"/>
  <c r="M20" i="49"/>
  <c r="I20" i="49"/>
  <c r="G20" i="49"/>
  <c r="F20" i="49"/>
  <c r="E20" i="49"/>
  <c r="W19" i="49"/>
  <c r="R19" i="49"/>
  <c r="M19" i="49"/>
  <c r="I19" i="49"/>
  <c r="G19" i="49"/>
  <c r="F19" i="49"/>
  <c r="E19" i="49"/>
  <c r="W18" i="49"/>
  <c r="R18" i="49"/>
  <c r="M18" i="49"/>
  <c r="I18" i="49"/>
  <c r="G18" i="49"/>
  <c r="F18" i="49"/>
  <c r="E18" i="49"/>
  <c r="W17" i="49"/>
  <c r="R17" i="49"/>
  <c r="M17" i="49"/>
  <c r="I17" i="49"/>
  <c r="G17" i="49"/>
  <c r="F17" i="49"/>
  <c r="E17" i="49"/>
  <c r="W16" i="49"/>
  <c r="R16" i="49"/>
  <c r="M16" i="49"/>
  <c r="I16" i="49"/>
  <c r="G16" i="49"/>
  <c r="F16" i="49"/>
  <c r="E16" i="49"/>
  <c r="W15" i="49"/>
  <c r="R15" i="49"/>
  <c r="M15" i="49"/>
  <c r="I15" i="49"/>
  <c r="G15" i="49"/>
  <c r="F15" i="49"/>
  <c r="E15" i="49"/>
  <c r="W14" i="49"/>
  <c r="R14" i="49"/>
  <c r="M14" i="49"/>
  <c r="I14" i="49"/>
  <c r="G14" i="49"/>
  <c r="H14" i="49" s="1"/>
  <c r="F14" i="49"/>
  <c r="E14" i="49"/>
  <c r="W13" i="49"/>
  <c r="R13" i="49"/>
  <c r="M13" i="49"/>
  <c r="I13" i="49"/>
  <c r="G13" i="49"/>
  <c r="F13" i="49"/>
  <c r="E13" i="49"/>
  <c r="W12" i="49"/>
  <c r="R12" i="49"/>
  <c r="M12" i="49"/>
  <c r="I12" i="49"/>
  <c r="G12" i="49"/>
  <c r="F12" i="49"/>
  <c r="E12" i="49"/>
  <c r="R11" i="49"/>
  <c r="W10" i="49"/>
  <c r="R10" i="49"/>
  <c r="M10" i="49"/>
  <c r="I10" i="49"/>
  <c r="G10" i="49"/>
  <c r="H10" i="49" s="1"/>
  <c r="F10" i="49"/>
  <c r="E10" i="49"/>
  <c r="W9" i="49"/>
  <c r="R9" i="49"/>
  <c r="M9" i="49"/>
  <c r="I9" i="49"/>
  <c r="G9" i="49"/>
  <c r="F9" i="49"/>
  <c r="E9" i="49"/>
  <c r="W8" i="49"/>
  <c r="R8" i="49"/>
  <c r="M8" i="49"/>
  <c r="I8" i="49"/>
  <c r="G8" i="49"/>
  <c r="F8" i="49"/>
  <c r="E8" i="49"/>
  <c r="W7" i="49"/>
  <c r="R7" i="49"/>
  <c r="M7" i="49"/>
  <c r="I7" i="49"/>
  <c r="G7" i="49"/>
  <c r="F7" i="49"/>
  <c r="E7" i="49"/>
  <c r="X6" i="49"/>
  <c r="V6" i="49"/>
  <c r="U6" i="49"/>
  <c r="S6" i="49"/>
  <c r="Q6" i="49"/>
  <c r="P6" i="49"/>
  <c r="P33" i="49" s="1"/>
  <c r="O6" i="49"/>
  <c r="N6" i="49"/>
  <c r="L6" i="49"/>
  <c r="K6" i="49"/>
  <c r="E11" i="49" l="1"/>
  <c r="E33" i="49" s="1"/>
  <c r="R6" i="49"/>
  <c r="E6" i="49"/>
  <c r="H7" i="49"/>
  <c r="F6" i="49"/>
  <c r="H8" i="49"/>
  <c r="H25" i="49"/>
  <c r="M6" i="49"/>
  <c r="H9" i="49"/>
  <c r="H28" i="49"/>
  <c r="H26" i="49"/>
  <c r="H29" i="49"/>
  <c r="H21" i="49"/>
  <c r="H20" i="49"/>
  <c r="H18" i="49"/>
  <c r="H16" i="49"/>
  <c r="H15" i="49"/>
  <c r="G11" i="49"/>
  <c r="M11" i="49"/>
  <c r="H13" i="49"/>
  <c r="H12" i="49"/>
  <c r="W11" i="49"/>
  <c r="U33" i="49"/>
  <c r="X33" i="49"/>
  <c r="W6" i="49"/>
  <c r="S33" i="49"/>
  <c r="I11" i="49"/>
  <c r="N33" i="49"/>
  <c r="I6" i="49"/>
  <c r="H8" i="54"/>
  <c r="H10" i="54"/>
  <c r="I6" i="54"/>
  <c r="I11" i="54"/>
  <c r="O33" i="49"/>
  <c r="G6" i="49"/>
  <c r="K33" i="49"/>
  <c r="F11" i="49"/>
  <c r="H19" i="49"/>
  <c r="H23" i="49"/>
  <c r="H27" i="49"/>
  <c r="H31" i="49"/>
  <c r="E33" i="54"/>
  <c r="H9" i="54"/>
  <c r="H15" i="54"/>
  <c r="H19" i="54"/>
  <c r="H23" i="54"/>
  <c r="H27" i="54"/>
  <c r="H31" i="54"/>
  <c r="H26" i="54"/>
  <c r="H30" i="54"/>
  <c r="H17" i="49"/>
  <c r="H7" i="54"/>
  <c r="G11" i="54"/>
  <c r="H11" i="54" s="1"/>
  <c r="H13" i="54"/>
  <c r="H17" i="54"/>
  <c r="H21" i="54"/>
  <c r="H25" i="54"/>
  <c r="H29" i="54"/>
  <c r="H6" i="54"/>
  <c r="L33" i="49"/>
  <c r="Q33" i="49"/>
  <c r="R33" i="49" s="1"/>
  <c r="V33" i="49"/>
  <c r="H11" i="49" l="1"/>
  <c r="M33" i="49"/>
  <c r="W33" i="49"/>
  <c r="I33" i="49"/>
  <c r="I33" i="54"/>
  <c r="G33" i="49"/>
  <c r="H6" i="49"/>
  <c r="F33" i="49"/>
  <c r="G33" i="54"/>
  <c r="H33" i="54" s="1"/>
  <c r="I32" i="53"/>
  <c r="G32" i="53"/>
  <c r="F32" i="53"/>
  <c r="E32" i="53"/>
  <c r="I31" i="53"/>
  <c r="G31" i="53"/>
  <c r="F31" i="53"/>
  <c r="E31" i="53"/>
  <c r="I30" i="53"/>
  <c r="G30" i="53"/>
  <c r="F30" i="53"/>
  <c r="E30" i="53"/>
  <c r="I29" i="53"/>
  <c r="G29" i="53"/>
  <c r="F29" i="53"/>
  <c r="E29" i="53"/>
  <c r="I28" i="53"/>
  <c r="G28" i="53"/>
  <c r="H28" i="53" s="1"/>
  <c r="F28" i="53"/>
  <c r="E28" i="53"/>
  <c r="I27" i="53"/>
  <c r="G27" i="53"/>
  <c r="F27" i="53"/>
  <c r="E27" i="53"/>
  <c r="I26" i="53"/>
  <c r="G26" i="53"/>
  <c r="H26" i="53" s="1"/>
  <c r="F26" i="53"/>
  <c r="E26" i="53"/>
  <c r="I25" i="53"/>
  <c r="G25" i="53"/>
  <c r="F25" i="53"/>
  <c r="E25" i="53"/>
  <c r="I24" i="53"/>
  <c r="G24" i="53"/>
  <c r="F24" i="53"/>
  <c r="E24" i="53"/>
  <c r="I23" i="53"/>
  <c r="G23" i="53"/>
  <c r="F23" i="53"/>
  <c r="E23" i="53"/>
  <c r="I22" i="53"/>
  <c r="G22" i="53"/>
  <c r="F22" i="53"/>
  <c r="E22" i="53"/>
  <c r="I21" i="53"/>
  <c r="G21" i="53"/>
  <c r="F21" i="53"/>
  <c r="E21" i="53"/>
  <c r="I20" i="53"/>
  <c r="G20" i="53"/>
  <c r="F20" i="53"/>
  <c r="E20" i="53"/>
  <c r="I19" i="53"/>
  <c r="G19" i="53"/>
  <c r="G34" i="53" s="1"/>
  <c r="F19" i="53"/>
  <c r="F34" i="53" s="1"/>
  <c r="E19" i="53"/>
  <c r="E34" i="53" s="1"/>
  <c r="I18" i="53"/>
  <c r="G18" i="53"/>
  <c r="F18" i="53"/>
  <c r="E18" i="53"/>
  <c r="I17" i="53"/>
  <c r="G17" i="53"/>
  <c r="H17" i="53" s="1"/>
  <c r="F17" i="53"/>
  <c r="E17" i="53"/>
  <c r="I16" i="53"/>
  <c r="G16" i="53"/>
  <c r="H16" i="53" s="1"/>
  <c r="F16" i="53"/>
  <c r="E16" i="53"/>
  <c r="I15" i="53"/>
  <c r="G15" i="53"/>
  <c r="F15" i="53"/>
  <c r="E15" i="53"/>
  <c r="I14" i="53"/>
  <c r="G14" i="53"/>
  <c r="H14" i="53" s="1"/>
  <c r="F14" i="53"/>
  <c r="E14" i="53"/>
  <c r="I13" i="53"/>
  <c r="G13" i="53"/>
  <c r="F13" i="53"/>
  <c r="E13" i="53"/>
  <c r="I12" i="53"/>
  <c r="G12" i="53"/>
  <c r="H12" i="53" s="1"/>
  <c r="F12" i="53"/>
  <c r="E12" i="53"/>
  <c r="F11" i="53"/>
  <c r="I10" i="53"/>
  <c r="G10" i="53"/>
  <c r="H10" i="53" s="1"/>
  <c r="F10" i="53"/>
  <c r="E10" i="53"/>
  <c r="I9" i="53"/>
  <c r="G9" i="53"/>
  <c r="F9" i="53"/>
  <c r="E9" i="53"/>
  <c r="I8" i="53"/>
  <c r="G8" i="53"/>
  <c r="F8" i="53"/>
  <c r="E8" i="53"/>
  <c r="I7" i="53"/>
  <c r="I6" i="53" s="1"/>
  <c r="G7" i="53"/>
  <c r="H7" i="53" s="1"/>
  <c r="F7" i="53"/>
  <c r="E7" i="53"/>
  <c r="E6" i="53" s="1"/>
  <c r="F6" i="53"/>
  <c r="H8" i="53" l="1"/>
  <c r="H9" i="53"/>
  <c r="H13" i="53"/>
  <c r="I11" i="53"/>
  <c r="I33" i="53" s="1"/>
  <c r="H34" i="53"/>
  <c r="H20" i="53"/>
  <c r="H21" i="53"/>
  <c r="H22" i="53"/>
  <c r="H23" i="53"/>
  <c r="H24" i="53"/>
  <c r="H25" i="53"/>
  <c r="H18" i="53"/>
  <c r="H29" i="53"/>
  <c r="H30" i="53"/>
  <c r="H31" i="53"/>
  <c r="H32" i="53"/>
  <c r="F33" i="53"/>
  <c r="E11" i="53"/>
  <c r="E33" i="53" s="1"/>
  <c r="G11" i="53"/>
  <c r="H11" i="53" s="1"/>
  <c r="H15" i="53"/>
  <c r="H27" i="53"/>
  <c r="H33" i="49"/>
  <c r="G6" i="53"/>
  <c r="H19" i="53"/>
  <c r="H6" i="53" l="1"/>
  <c r="G33" i="53"/>
  <c r="H33" i="53" s="1"/>
  <c r="I32" i="50" l="1"/>
  <c r="G32" i="50"/>
  <c r="F32" i="50"/>
  <c r="E32" i="50"/>
  <c r="I31" i="50"/>
  <c r="G31" i="50"/>
  <c r="H31" i="50" s="1"/>
  <c r="F31" i="50"/>
  <c r="E31" i="50"/>
  <c r="I30" i="50"/>
  <c r="G30" i="50"/>
  <c r="F30" i="50"/>
  <c r="E30" i="50"/>
  <c r="I29" i="50"/>
  <c r="G29" i="50"/>
  <c r="F29" i="50"/>
  <c r="E29" i="50"/>
  <c r="I28" i="50"/>
  <c r="G28" i="50"/>
  <c r="H28" i="50" s="1"/>
  <c r="F28" i="50"/>
  <c r="E28" i="50"/>
  <c r="I27" i="50"/>
  <c r="G27" i="50"/>
  <c r="H27" i="50" s="1"/>
  <c r="F27" i="50"/>
  <c r="E27" i="50"/>
  <c r="I26" i="50"/>
  <c r="G26" i="50"/>
  <c r="F26" i="50"/>
  <c r="E26" i="50"/>
  <c r="I25" i="50"/>
  <c r="G25" i="50"/>
  <c r="F25" i="50"/>
  <c r="E25" i="50"/>
  <c r="I24" i="50"/>
  <c r="G24" i="50"/>
  <c r="F24" i="50"/>
  <c r="E24" i="50"/>
  <c r="I23" i="50"/>
  <c r="G23" i="50"/>
  <c r="F23" i="50"/>
  <c r="E23" i="50"/>
  <c r="I22" i="50"/>
  <c r="G22" i="50"/>
  <c r="F22" i="50"/>
  <c r="E22" i="50"/>
  <c r="I21" i="50"/>
  <c r="G21" i="50"/>
  <c r="F21" i="50"/>
  <c r="E21" i="50"/>
  <c r="I20" i="50"/>
  <c r="G20" i="50"/>
  <c r="H20" i="50" s="1"/>
  <c r="F20" i="50"/>
  <c r="E20" i="50"/>
  <c r="I19" i="50"/>
  <c r="G19" i="50"/>
  <c r="H19" i="50" s="1"/>
  <c r="F19" i="50"/>
  <c r="E19" i="50"/>
  <c r="I18" i="50"/>
  <c r="G18" i="50"/>
  <c r="F18" i="50"/>
  <c r="E18" i="50"/>
  <c r="I17" i="50"/>
  <c r="G17" i="50"/>
  <c r="F17" i="50"/>
  <c r="E17" i="50"/>
  <c r="I16" i="50"/>
  <c r="G16" i="50"/>
  <c r="H16" i="50" s="1"/>
  <c r="F16" i="50"/>
  <c r="E16" i="50"/>
  <c r="I15" i="50"/>
  <c r="G15" i="50"/>
  <c r="H15" i="50" s="1"/>
  <c r="F15" i="50"/>
  <c r="E15" i="50"/>
  <c r="I14" i="50"/>
  <c r="G14" i="50"/>
  <c r="F14" i="50"/>
  <c r="E14" i="50"/>
  <c r="I13" i="50"/>
  <c r="G13" i="50"/>
  <c r="F13" i="50"/>
  <c r="E13" i="50"/>
  <c r="I12" i="50"/>
  <c r="G12" i="50"/>
  <c r="H12" i="50" s="1"/>
  <c r="F12" i="50"/>
  <c r="E12" i="50"/>
  <c r="I11" i="50"/>
  <c r="G11" i="50"/>
  <c r="I10" i="50"/>
  <c r="G10" i="50"/>
  <c r="F10" i="50"/>
  <c r="E10" i="50"/>
  <c r="I9" i="50"/>
  <c r="G9" i="50"/>
  <c r="H9" i="50" s="1"/>
  <c r="F9" i="50"/>
  <c r="E9" i="50"/>
  <c r="I8" i="50"/>
  <c r="G8" i="50"/>
  <c r="H8" i="50" s="1"/>
  <c r="F8" i="50"/>
  <c r="E8" i="50"/>
  <c r="I7" i="50"/>
  <c r="G7" i="50"/>
  <c r="F7" i="50"/>
  <c r="E7" i="50"/>
  <c r="E6" i="50" s="1"/>
  <c r="I6" i="50"/>
  <c r="I33" i="50" s="1"/>
  <c r="G6" i="50"/>
  <c r="G33" i="50" s="1"/>
  <c r="F6" i="50"/>
  <c r="E11" i="50" l="1"/>
  <c r="E33" i="50" s="1"/>
  <c r="H7" i="50"/>
  <c r="H18" i="50"/>
  <c r="H22" i="50"/>
  <c r="H10" i="50"/>
  <c r="H13" i="50"/>
  <c r="H17" i="50"/>
  <c r="H21" i="50"/>
  <c r="H25" i="50"/>
  <c r="H30" i="50"/>
  <c r="H29" i="50"/>
  <c r="H32" i="50"/>
  <c r="H26" i="50"/>
  <c r="H24" i="50"/>
  <c r="F11" i="50"/>
  <c r="F33" i="50" s="1"/>
  <c r="H33" i="50" s="1"/>
  <c r="H23" i="50"/>
  <c r="H14" i="50"/>
  <c r="H6" i="50"/>
  <c r="I32" i="25"/>
  <c r="G32" i="25"/>
  <c r="F32" i="25"/>
  <c r="E32" i="25"/>
  <c r="I31" i="25"/>
  <c r="G31" i="25"/>
  <c r="F31" i="25"/>
  <c r="E31" i="25"/>
  <c r="I30" i="25"/>
  <c r="G30" i="25"/>
  <c r="F30" i="25"/>
  <c r="E30" i="25"/>
  <c r="I29" i="25"/>
  <c r="G29" i="25"/>
  <c r="F29" i="25"/>
  <c r="E29" i="25"/>
  <c r="I28" i="25"/>
  <c r="G28" i="25"/>
  <c r="H28" i="25" s="1"/>
  <c r="F28" i="25"/>
  <c r="E28" i="25"/>
  <c r="I27" i="25"/>
  <c r="G27" i="25"/>
  <c r="F27" i="25"/>
  <c r="E27" i="25"/>
  <c r="I26" i="25"/>
  <c r="G26" i="25"/>
  <c r="F26" i="25"/>
  <c r="E26" i="25"/>
  <c r="I25" i="25"/>
  <c r="G25" i="25"/>
  <c r="F25" i="25"/>
  <c r="E25" i="25"/>
  <c r="I24" i="25"/>
  <c r="G24" i="25"/>
  <c r="F24" i="25"/>
  <c r="E24" i="25"/>
  <c r="I23" i="25"/>
  <c r="G23" i="25"/>
  <c r="F23" i="25"/>
  <c r="E23" i="25"/>
  <c r="I22" i="25"/>
  <c r="G22" i="25"/>
  <c r="F22" i="25"/>
  <c r="E22" i="25"/>
  <c r="E21" i="25"/>
  <c r="I21" i="25"/>
  <c r="G21" i="25"/>
  <c r="H21" i="25" s="1"/>
  <c r="F21" i="25"/>
  <c r="E20" i="25"/>
  <c r="I20" i="25"/>
  <c r="F20" i="25"/>
  <c r="G19" i="25"/>
  <c r="G34" i="25" s="1"/>
  <c r="I19" i="25"/>
  <c r="F19" i="25"/>
  <c r="F34" i="25" s="1"/>
  <c r="E19" i="25"/>
  <c r="E34" i="25" s="1"/>
  <c r="I18" i="25"/>
  <c r="G18" i="25"/>
  <c r="F18" i="25"/>
  <c r="E18" i="25"/>
  <c r="I17" i="25"/>
  <c r="G17" i="25"/>
  <c r="F17" i="25"/>
  <c r="E17" i="25"/>
  <c r="I16" i="25"/>
  <c r="G16" i="25"/>
  <c r="F16" i="25"/>
  <c r="E16" i="25"/>
  <c r="I15" i="25"/>
  <c r="F15" i="25"/>
  <c r="E15" i="25"/>
  <c r="I14" i="25"/>
  <c r="G14" i="25"/>
  <c r="F14" i="25"/>
  <c r="E14" i="25"/>
  <c r="I13" i="25"/>
  <c r="F13" i="25"/>
  <c r="E13" i="25"/>
  <c r="I12" i="25"/>
  <c r="G12" i="25"/>
  <c r="F12" i="25"/>
  <c r="E12" i="25"/>
  <c r="I10" i="25"/>
  <c r="G10" i="25"/>
  <c r="H10" i="25" s="1"/>
  <c r="F10" i="25"/>
  <c r="E10" i="25"/>
  <c r="I9" i="25"/>
  <c r="H9" i="25"/>
  <c r="G9" i="25"/>
  <c r="F9" i="25"/>
  <c r="E9" i="25"/>
  <c r="I8" i="25"/>
  <c r="G8" i="25"/>
  <c r="F8" i="25"/>
  <c r="E8" i="25"/>
  <c r="I7" i="25"/>
  <c r="G7" i="25"/>
  <c r="G6" i="25" s="1"/>
  <c r="F7" i="25"/>
  <c r="E7" i="25"/>
  <c r="H29" i="25" l="1"/>
  <c r="H30" i="25"/>
  <c r="H31" i="25"/>
  <c r="H32" i="25"/>
  <c r="H7" i="25"/>
  <c r="H16" i="25"/>
  <c r="H34" i="25"/>
  <c r="H12" i="25"/>
  <c r="G20" i="25"/>
  <c r="H18" i="25"/>
  <c r="H11" i="50"/>
  <c r="H23" i="25"/>
  <c r="H27" i="25"/>
  <c r="H25" i="25"/>
  <c r="H17" i="25"/>
  <c r="F11" i="25"/>
  <c r="E11" i="25"/>
  <c r="H26" i="25"/>
  <c r="H22" i="25"/>
  <c r="H24" i="25"/>
  <c r="H20" i="25"/>
  <c r="I11" i="25"/>
  <c r="H14" i="25"/>
  <c r="I6" i="25"/>
  <c r="E6" i="25"/>
  <c r="F6" i="25"/>
  <c r="H6" i="25" s="1"/>
  <c r="H8" i="25"/>
  <c r="H19" i="25"/>
  <c r="G15" i="25"/>
  <c r="H15" i="25" s="1"/>
  <c r="G13" i="25"/>
  <c r="E33" i="25" l="1"/>
  <c r="F33" i="25"/>
  <c r="I33" i="25"/>
  <c r="H13" i="25"/>
  <c r="G11" i="25"/>
  <c r="H11" i="25" l="1"/>
  <c r="G33" i="25"/>
  <c r="H33" i="25" s="1"/>
</calcChain>
</file>

<file path=xl/sharedStrings.xml><?xml version="1.0" encoding="utf-8"?>
<sst xmlns="http://schemas.openxmlformats.org/spreadsheetml/2006/main" count="2744" uniqueCount="277">
  <si>
    <t>1.</t>
  </si>
  <si>
    <t>Výnosy celkem</t>
  </si>
  <si>
    <t>2.</t>
  </si>
  <si>
    <t>3.</t>
  </si>
  <si>
    <t>4.</t>
  </si>
  <si>
    <t>5.</t>
  </si>
  <si>
    <t>6.</t>
  </si>
  <si>
    <t>Příspěvek na investice</t>
  </si>
  <si>
    <t>7.</t>
  </si>
  <si>
    <t>Náklady celkem</t>
  </si>
  <si>
    <t>8.</t>
  </si>
  <si>
    <t>9.</t>
  </si>
  <si>
    <t>10.</t>
  </si>
  <si>
    <t>11.</t>
  </si>
  <si>
    <t>12.</t>
  </si>
  <si>
    <t>13.</t>
  </si>
  <si>
    <t>14.</t>
  </si>
  <si>
    <t>15.</t>
  </si>
  <si>
    <t>16.</t>
  </si>
  <si>
    <t>17.</t>
  </si>
  <si>
    <t>18.</t>
  </si>
  <si>
    <t>19.</t>
  </si>
  <si>
    <t>20.</t>
  </si>
  <si>
    <t>21.</t>
  </si>
  <si>
    <t>Průměrná měsíční mzda</t>
  </si>
  <si>
    <t>Kč</t>
  </si>
  <si>
    <t>osob</t>
  </si>
  <si>
    <t>Fyzický stav pracovníků</t>
  </si>
  <si>
    <t>501 - Spotřeba materiálu</t>
  </si>
  <si>
    <t>502 - Spotřeba energie</t>
  </si>
  <si>
    <t>512 - Cestovné</t>
  </si>
  <si>
    <t>518 - Ostatní služby</t>
  </si>
  <si>
    <t>521 - Mzdové náklady</t>
  </si>
  <si>
    <t>Evid. přepočtený stav pracovníků</t>
  </si>
  <si>
    <t>Celkem</t>
  </si>
  <si>
    <t>Roční plán</t>
  </si>
  <si>
    <t>Skutečnost</t>
  </si>
  <si>
    <t>SK/RP</t>
  </si>
  <si>
    <t>Doplňková činnost</t>
  </si>
  <si>
    <t>Vztah ke zřizovateli</t>
  </si>
  <si>
    <t>Poř. číslo</t>
  </si>
  <si>
    <t>Ukazatel</t>
  </si>
  <si>
    <t>Měrná jednotka</t>
  </si>
  <si>
    <t>Schválený roční plán</t>
  </si>
  <si>
    <t>22.</t>
  </si>
  <si>
    <t>60X až 64X - Výnosy z činnosti</t>
  </si>
  <si>
    <t>66X - Finanční výnosy</t>
  </si>
  <si>
    <t>513 - Náklady na reprezentaci</t>
  </si>
  <si>
    <t>524, 525 - Zákonné a jiné sociální pojištění</t>
  </si>
  <si>
    <t>527, 528 - Zákonné a jiné sociální náklady</t>
  </si>
  <si>
    <t>23.</t>
  </si>
  <si>
    <t>24.</t>
  </si>
  <si>
    <t>56X - Finanční náklady</t>
  </si>
  <si>
    <t>25.</t>
  </si>
  <si>
    <t>26.</t>
  </si>
  <si>
    <t>27.</t>
  </si>
  <si>
    <t>28.</t>
  </si>
  <si>
    <t>29.</t>
  </si>
  <si>
    <t>30.</t>
  </si>
  <si>
    <t>31.</t>
  </si>
  <si>
    <t>67X - Výnosy z transferů</t>
  </si>
  <si>
    <t>50X - Jiné spotřebované nákupy</t>
  </si>
  <si>
    <t>53X - Daně a poplatky</t>
  </si>
  <si>
    <t>54X - Jiné ostatní náklady</t>
  </si>
  <si>
    <t>551 - Odpisy dlouhodobého majetku</t>
  </si>
  <si>
    <t>55X - Jiné odpisy, rezervy a opravné položky</t>
  </si>
  <si>
    <t>549 - Ostatní náklady z činnosti</t>
  </si>
  <si>
    <t>57X - Náklady na transfery</t>
  </si>
  <si>
    <t>59X - Daň z příjmů</t>
  </si>
  <si>
    <t>Kategorie</t>
  </si>
  <si>
    <t>Hlavní činnost (zřizovatel)</t>
  </si>
  <si>
    <t>Ostatní (kraj, SR ČR, EF apod.)</t>
  </si>
  <si>
    <t>Rezervní fond</t>
  </si>
  <si>
    <t>Fond odměn</t>
  </si>
  <si>
    <t>Mateřská škola Prostějov, ul. Šárka 4a, příspěvková organizace</t>
  </si>
  <si>
    <t>Mateřská škola Prostějov, Partyzánská ul. 34, příspěvková organizace</t>
  </si>
  <si>
    <t>Mateřská škola Prostějov, Smetanova ul. 24, příspěvková organizace</t>
  </si>
  <si>
    <t>Mateřská škola Prostějov, Moravská ul. 30, příspěvková organizace</t>
  </si>
  <si>
    <t>Základní škola a mateřská škola Prostějov, Palackého tř. 14</t>
  </si>
  <si>
    <t>Základní škola a mateřská škola Prostějov, Kollárova ul. 4</t>
  </si>
  <si>
    <t>Základní škola a mateřská škola Jana Železného Prostějov, Sídliště svobody 24/79</t>
  </si>
  <si>
    <t>Základní škola a mateřská škola Prostějov, Melantrichova 60</t>
  </si>
  <si>
    <t>Základní škola Prostějov, ul. Vl. Majakovského 1</t>
  </si>
  <si>
    <t>Reálné gymnázium a základní škola města Prostějova, Studentská ul. 2</t>
  </si>
  <si>
    <t>Základní škola Prostějov, Dr. Horáka 24</t>
  </si>
  <si>
    <t>Základní škola Prostějov, ul. E. Valenty 52</t>
  </si>
  <si>
    <t>Sportcentrum - DDM Prostějov, příspěvková organizace, Olympijská 4</t>
  </si>
  <si>
    <t>Základní umělecká škola Vl. Ambrose Prostějov, Kravařova 14</t>
  </si>
  <si>
    <t>Městské divadlo v Prostějově, příspěvková organizace, Vojáčkovo nám. 1</t>
  </si>
  <si>
    <t>Městská knihovna Prostějov, příspěvková organizace, Skálovo nám. 6</t>
  </si>
  <si>
    <t>Mateřská škola Prostějov, Rumunská ul. 23, příspěvková organizace</t>
  </si>
  <si>
    <t>558 - Náklady z drobného dlouhodobého majetku</t>
  </si>
  <si>
    <t xml:space="preserve"> </t>
  </si>
  <si>
    <t>Fond</t>
  </si>
  <si>
    <t>Zdroje fondu v  Kč</t>
  </si>
  <si>
    <t>Čerpání fondu  v  Kč</t>
  </si>
  <si>
    <t>Komentář k peněžním fondům</t>
  </si>
  <si>
    <t>FKSP</t>
  </si>
  <si>
    <t>Celkem hlavní činnost</t>
  </si>
  <si>
    <t>Vztah k Olomouckému kraji, popř. SR ČR, EU apod.</t>
  </si>
  <si>
    <t>Celkem doplňková činnost</t>
  </si>
  <si>
    <t>541, 542 - Pokuty, úroky z prodlení a penále</t>
  </si>
  <si>
    <t>Výsledek hospodaření</t>
  </si>
  <si>
    <t>PZ k 1.1.2015 v  Kč</t>
  </si>
  <si>
    <t>KZ k 30.6.2015 v Kč</t>
  </si>
  <si>
    <t>Finanční krytí fondů k 30.6.2015 v Kč</t>
  </si>
  <si>
    <t>Fond investic</t>
  </si>
  <si>
    <t>Čerpání fondu dle platné směrnice.</t>
  </si>
  <si>
    <t xml:space="preserve">Jedná se o aktuální výši nevyčerpaného příspěvku na provoz, jenž bude čerpán v následující polovině roku v souladu s finančním plánem organizace. Struktura výnosů koresponduje s předmětem hlavní činnost, kterým je výchova a vzdělávání. </t>
  </si>
  <si>
    <t>511 - Opravy a udržování</t>
  </si>
  <si>
    <t>543 - Dary a jiná bezúplatná předání</t>
  </si>
  <si>
    <t>K 30.6.2016</t>
  </si>
  <si>
    <t>Srovn. skut. 2015</t>
  </si>
  <si>
    <t>Komentář k tvorbě průběžného výsledku hospodaření za I. pololetí roku 2016</t>
  </si>
  <si>
    <t>PZ k 1.1.2016 v  Kč</t>
  </si>
  <si>
    <t>KZ k 30.6.2016 v Kč</t>
  </si>
  <si>
    <t>Finanční krytí fondů k 30.6.2016 v Kč</t>
  </si>
  <si>
    <t>Investiční fond</t>
  </si>
  <si>
    <t>3. Krátkodobé pohledávky a závazky po lhůtě splatnosti</t>
  </si>
  <si>
    <t>Organizace v současné době nemá pohledávky a závazky po lhůtě splatnosti.</t>
  </si>
  <si>
    <t>Organizace v průběhu I. pololetí 2016 nepřijala žádný dar.</t>
  </si>
  <si>
    <t>5. Úpravy finančního plánu</t>
  </si>
  <si>
    <t>Veškeré úpravy finančního plánu byly hlášeny řídícímu odboru MMPv.</t>
  </si>
  <si>
    <t>4. Přehled přijatých darů</t>
  </si>
  <si>
    <t>2. Fondové hospodaření</t>
  </si>
  <si>
    <t>1. Průběžný výsledek hospodaření</t>
  </si>
  <si>
    <t>6. Závěry, popř. opatření, které vyplynuly z jednání kontrolního dne</t>
  </si>
  <si>
    <t>Organizace použila v I. pololetí část FO ve výši 36.000 Kč - motivační zdroj zaměstnanců.</t>
  </si>
  <si>
    <t xml:space="preserve">Účet FKSP byl v I. pololetí čerpán pouze na pravidelné přispívání zaměstnancům na obědy, ve druhém pololetí roku 2016 bude zaměstnancům vyplácen stejný příspěvek na obědy a fond bude využit i jako příspěvek na dary k pracovnímu a životnímu výročí. </t>
  </si>
  <si>
    <t>Průběžný výsledek hospodaření je v souladu s potřebami organizace v I. pololetí 2016. Finanční plán je důsledně sledován a kontrolován. Stavební opravy a údržba je plánována v průběhu letních prázdnin.</t>
  </si>
  <si>
    <t>Příspěvek na stravu, penzijní pojištění a odměny za pracovní a životní výročí.</t>
  </si>
  <si>
    <t>Fond bude použit v případě překročení mzdových prostředků z důvodu výplaty příplatků ze SO/NE, svátky a dělené směny.</t>
  </si>
  <si>
    <t>Fond je čerpán na příspěvek stravného a vitamínové prostředky pro zaměstnance v hlavním zaměstnaneckém poměru.</t>
  </si>
  <si>
    <t>Rozdíl oproti roku 2015 (359.158 Kč) je z důvodu vyplacených odměn z komerčních pronájmů.</t>
  </si>
  <si>
    <t>2. Fondové hospodaření příspěvkové organizace</t>
  </si>
  <si>
    <t>Do rezervního fondu byl vložen výsledek hospodaření z doplňkové činnosti za rok 2015. Do finančního plánu je schváleno zapojení fondu ve výši 260.000 Kč. Z rezervního fondu bude pořízeno nové oblečení pro biletáře .</t>
  </si>
  <si>
    <t xml:space="preserve">Organizace žádá RMP o souhlas s čerpání investičního fondu ve výši 777.320,30 Kč na opravy.   </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</si>
  <si>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68.939,39</t>
    </r>
    <r>
      <rPr>
        <sz val="8"/>
        <rFont val="Times New Roman"/>
        <family val="1"/>
        <charset val="238"/>
      </rPr>
      <t>, a to rezervnímu fondu celou částku.</t>
    </r>
  </si>
  <si>
    <t>2. Organizace projednala se stávající bankou možnost snížení poplatku za přijaté platby kartou.  Organizaci byl snížen poplatek z 2,5 % na 1,69 % od března 2016.</t>
  </si>
  <si>
    <t>3. Na kontrolním dnu byl projednán záměr investiční akce na rok 2017 (bufet u přednáškového sálu). Organizace odvede na tuto investiční akci v roce 2017 finanční prostředky  z RF a FI až do výše 550.000 Kč.</t>
  </si>
  <si>
    <t xml:space="preserve">4. Organizace požádá o snížení příspěvku zřizovatele na rok 2016 o 340 tis. Kč, což je nevyčerpaný příspěvek na činnost z roku 2015. </t>
  </si>
  <si>
    <t>Průběžný výsledek hospodaření ke zřizovateli odráží vyrovnané čerpání nákladů a výnosů za I. pololetí. VH je nižší oproti I. pololetí 2015 z důvodů vyšších nákladů v roce 2016 v souvislosti s provozem v budově na Husově nám. a dále v roce 2015 byla do výnosů zaúčtována částka z rezervního fondu dle usnesení RMP.</t>
  </si>
  <si>
    <t>Zdrojem byl příděl z VH za rok 2015. Čerpání - převod do investičního fondu dle usnesení ZMP č. 16107. Ve II. pololetí budou finanční prostředky využity na plánované obnovení výpočetní techniky.</t>
  </si>
  <si>
    <t>Zdroj tvořily odpisy dlouhodobého majetku a převod z rezervního fondu (usn. ZMP č. 16107), čerpání - odvod na účet zřizovatele viz výše. Předpoklad čerpání ve II pololetí - nákup serveru.</t>
  </si>
  <si>
    <t>Zdrojem fondu byl příděl z výsledku hospodaření za rok 2015.</t>
  </si>
  <si>
    <t>2. Na kontrolním dni k výsledkům hospodaření organizace za rok 2016 bude provedena kontrola likvidace pohledávek po lhůtě splatnosti ve výši 23.800 Kč.</t>
  </si>
  <si>
    <t>Hlavní vliv na průběžný výsledek hospodaření mají započaté práce na úpravách Dětského dopravního centra a dále časový nesoulad mezi náklady - nákupy materiálu a cen na prázdninové tábory a akce a zúčtováním výnosů z těchto táborů a akcí (vyúčtování proběhne v září 2016).</t>
  </si>
  <si>
    <t xml:space="preserve">Hlavní vliv na průběžný výsledek hospodaření má stanovené procentní rozdělení nákladů v hlavní a doplňkové činnosti a příjmů z pronájmů. </t>
  </si>
  <si>
    <t>FKSP je tvořen z mezd zaměstnanců, v prvním pololetí bylo čerpáno pouze na stravné zaměstnanců. Rozdíl mezi účtem 243 a 412 je způsoben časovým nesouladem převodů mezi bankovními účty a byl dorovnán 18.7.2016.</t>
  </si>
  <si>
    <t>Fond byl tvořen přídělem z výsledku hospodaření za rok 2015; čerpáno bylo na úhradu pokuty ve výši 20.000 Kč (z minulých let).</t>
  </si>
  <si>
    <t>Zdrojem fondu jsou odpisy a výnos z prodeje nepotřebného vyřazeného majetku. Čerpáno bylo v prvním pololetí na nákup nového automobilu v hodnotě 699.971 Kč a na odvody z odpisů zřizovateli 909.100 Kč.</t>
  </si>
  <si>
    <t>Zdrojem fondu odměn byl příděl z výsledku hospodaření za rok 2015. V prvním pololetí roku 2016 bylo čerpáno na odměny zaměstnanců.</t>
  </si>
  <si>
    <t>Organizace má v současné době pohledávky po lhůtě splatnosti, a to ve výši 137.201 Kč za pronájem haly.  Dlužník přiznal a odsouhlasil dlužnou částku. Na dohody o smíru a splátkovém kalendáři však nereagoval. Krajskému soudu v Brně byla zaslána žádost o změnu likvidátora. Další vymáhání pohledávky je řešeno v součinnosti s MMPv. K pohledávce je v plné výši vytvořena opravná položka na účtu 194.
Organizace v současné době nemá závazky po lhůtě splatnosti.</t>
  </si>
  <si>
    <t>2. Účelově vázané prostředky v rezervním fondu byly užity v souladu s účelem, na nákup automobilu.</t>
  </si>
  <si>
    <t xml:space="preserve">3. Z jednání minulého kontrolního dne byl vznesen požadavek na ověření nákladů na telefonní hovory. V roce 2016 bylo účtování za telefonní hovory analyticky rozděleno na 518/0410 - mobilní telefony a 518/0411 - pevné linky. U plateb za služby mobilního operátora byly upraveny (sníženy) částky za některé tarify. Platby za pevné linky nadále zůstávají měsíčně cca v hodnotě 2.700 Kč z čehož hodnota uskutečněných hovorů činní cca 50 Kč a zbytek jsou paušální platby za HTS, ISDN a VPN. S firmou Ha-vel internet s.r.o. organizace jedná o možnosti snížení paušálních linek. </t>
  </si>
  <si>
    <t>5. Na kontrolním dni k výsledkům hospodaření organizace za rok 2016 bude provedena kontrola likvidace pohledávek po lhůtě splatnosti ve výši 137.201 Kč.</t>
  </si>
  <si>
    <t xml:space="preserve">Zdroj: příděl 1,5% z HM činí 118.100,00 Kč.                       Čerpání:                                                                                 - příspěvek na stravování         34.079,50 Kč                                                                                                                                                               - rekreace                                   2.400,00 Kč                                                                                                                                                                   - kultura, tělovýchova, sport    36.796,00 Kč                                                                                                                                                                                            - poskytnuté finanční dary       27.000,00 Kč                                                                                                                                                                                                                                                                                                                                                                                                                                                                                                                                                     U účtu 412 - FKSP činí rozdíl převod 1,5% z HM za měsíc červen 2016 ve výši  21.000,00 Kč a zůstatky půjček z FKSP ve  výši  68.877,00 Kč.               </t>
  </si>
  <si>
    <t xml:space="preserve">Průběžný výsledek hospodaření k 30.6.2016 je dosažený přijatým úsporným opatřením v oblasti nákupu materiálu i služeb a také tím, že v loňském roce proběhlo malování prostor kuchyně už v měsíci červnu a rovněž byly nakoupeny kancelářské potřeby na další školní rok.. V porovnání s pololetím 2015 je dosažený průběžný výsledek hospodaření cca o 72% vyšší. </t>
  </si>
  <si>
    <t>U doplňkové činností se daří plnit výnosy a k tomu náležející náklady podle finančního plánu. Náklady v doplňkové činnosti jsou účtovány podle kalkulací nebo vypočítány procentem z výnosů v doplňkové činnosti.</t>
  </si>
  <si>
    <t>Zdroj rezervního fondu: odpadová kampaň Litter Less = 12.500 Kč, příděl zlepšeného výsledku hospodaření za rok 2015 ve výši 1,818.026,10 Kč. Čerpání: nákup materiálu na kampaň Litter Less ve výši 12.500 Kč, schválená úhrada zhoršeného výsledku hospodaření za rok 2014, přecházející do roku 2015, ve výši 1.512.238,27 Kč</t>
  </si>
  <si>
    <t>Zdroj investičního fondu: z odpisů DHM, čerpání:  uložený odvod finančních prostředků zřizovateli</t>
  </si>
  <si>
    <t>Zdroj: příděl ze zlepšeného výsledku hospodaření roku 2015 ve výši 10.000 Kč</t>
  </si>
  <si>
    <t>Organizace v průběhu I. pololetí 2016 přijala dar ve výši 12.500 Kč - ekologická kampaň Litter Less. Finanční částka byla v I. pololetí vyčerpána.</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</si>
  <si>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1.828.026,10 Kč,</t>
    </r>
    <r>
      <rPr>
        <sz val="8"/>
        <rFont val="Times New Roman"/>
        <family val="1"/>
        <charset val="238"/>
      </rPr>
      <t xml:space="preserve"> a to rezervnímu fondu částku </t>
    </r>
    <r>
      <rPr>
        <b/>
        <sz val="8"/>
        <rFont val="Times New Roman"/>
        <family val="1"/>
        <charset val="238"/>
      </rPr>
      <t>1.818.026,10 Kč</t>
    </r>
    <r>
      <rPr>
        <sz val="8"/>
        <rFont val="Times New Roman"/>
        <family val="1"/>
        <charset val="238"/>
      </rPr>
      <t xml:space="preserve"> a fondu odměn částku </t>
    </r>
    <r>
      <rPr>
        <b/>
        <sz val="8"/>
        <rFont val="Times New Roman"/>
        <family val="1"/>
        <charset val="238"/>
      </rPr>
      <t>10.000 Kč</t>
    </r>
    <r>
      <rPr>
        <sz val="8"/>
        <rFont val="Times New Roman"/>
        <family val="1"/>
        <charset val="238"/>
      </rPr>
      <t xml:space="preserve">. Účelově byla vázána částka ve výši </t>
    </r>
    <r>
      <rPr>
        <b/>
        <sz val="8"/>
        <rFont val="Times New Roman"/>
        <family val="1"/>
        <charset val="238"/>
      </rPr>
      <t xml:space="preserve">1.512.238,27 Kč </t>
    </r>
    <r>
      <rPr>
        <sz val="8"/>
        <rFont val="Times New Roman"/>
        <family val="1"/>
        <charset val="238"/>
      </rPr>
      <t>v rezervním fondu na úhradu mínusového výsledku hospodaření předcházejících účetních období (rozvaha - účet 432). Finanční částka byla čerpána v souladu s účelem a ztráta uhrazena.</t>
    </r>
  </si>
  <si>
    <t>2. Na kontrolním dni k výsledkům hospodaření organizace za rok 2016 bude provedena kontrola likvidace pohledávky po lhůtě splatnosti ve výši 315 Kč.</t>
  </si>
  <si>
    <t>Čerpán v souvislosti s ukončeným pracovním poměrem zaměstnanců.</t>
  </si>
  <si>
    <t>V souladu s vnitřní směrnicí čerpání FKSP na rok 2016.</t>
  </si>
  <si>
    <t>Průběžný výsledek hospodaření je z důvodu zaúčtování přiznání k DPH za II.Q.2016 nižší než v předešlém roce.</t>
  </si>
  <si>
    <t>Průběžný výsledek hospodaření je přibližně stejný jako v předchozím roce (došlo ke snížení nákladů i výnosů - nižší doplňková činnost).</t>
  </si>
  <si>
    <t>Tvorba na nákup konvektomatu a myčky na nádobí do ŠJ. Další čerpání dle potřeby a součinnosti se zřizovatelem.</t>
  </si>
  <si>
    <t>Organizace v průběhu I. pololetí 2016 přijala pouze věcné dary.</t>
  </si>
  <si>
    <t>2. Na kontrolním dni k výsledkům hospodaření organizace za rok 2016 bude provedena kontrola likvidace pohledávky po lhůtě splatnosti ve výši 2.741 Kč.</t>
  </si>
  <si>
    <r>
      <t xml:space="preserve">1.  Organizace na základě schválených usnesení 42. RMP ze dne 10.5.2016 č. 6454 a 16. ZMP ze dne 6.6.2016 č. 16107 přidělila trvalým peněžním fondů schválený výsledek hospodaření ve výši </t>
    </r>
    <r>
      <rPr>
        <b/>
        <sz val="8"/>
        <rFont val="Times New Roman"/>
        <family val="1"/>
        <charset val="238"/>
      </rPr>
      <t>2.436.041,37 Kč</t>
    </r>
    <r>
      <rPr>
        <sz val="8"/>
        <rFont val="Times New Roman"/>
        <family val="1"/>
        <charset val="238"/>
      </rPr>
      <t xml:space="preserve">, a to rezervnímu fondu celou částku </t>
    </r>
    <r>
      <rPr>
        <b/>
        <sz val="8"/>
        <rFont val="Times New Roman"/>
        <family val="1"/>
        <charset val="238"/>
      </rPr>
      <t>2.436.041,37 Kč</t>
    </r>
    <r>
      <rPr>
        <sz val="8"/>
        <rFont val="Times New Roman"/>
        <family val="1"/>
        <charset val="238"/>
      </rPr>
      <t xml:space="preserve">. Účelově vázanou částku ve výši </t>
    </r>
    <r>
      <rPr>
        <b/>
        <sz val="8"/>
        <rFont val="Times New Roman"/>
        <family val="1"/>
        <charset val="238"/>
      </rPr>
      <t>2.150.100,97 Kč</t>
    </r>
    <r>
      <rPr>
        <sz val="8"/>
        <rFont val="Times New Roman"/>
        <family val="1"/>
        <charset val="238"/>
      </rPr>
      <t xml:space="preserve"> na pokrytí ztráty minulých let převedla na účet 432. Na základě jednání kontrolního dne a stavu hospodaření odvede organizace na účet zřizovatele částku </t>
    </r>
    <r>
      <rPr>
        <b/>
        <sz val="8"/>
        <rFont val="Times New Roman"/>
        <family val="1"/>
        <charset val="238"/>
      </rPr>
      <t>2.273.246,19 Kč</t>
    </r>
    <r>
      <rPr>
        <sz val="8"/>
        <rFont val="Times New Roman"/>
        <family val="1"/>
        <charset val="238"/>
      </rPr>
      <t xml:space="preserve"> (za porušení rozpočtové kázně z r. 2014 a za zápůjčku poskytnutou v roce 2014).</t>
    </r>
  </si>
  <si>
    <r>
      <t xml:space="preserve">2. Na základě jednání kontrolního dne organizace podá žádost o odvod neinvestičního příspěvku za energie ve výši </t>
    </r>
    <r>
      <rPr>
        <b/>
        <sz val="8"/>
        <rFont val="Times New Roman"/>
        <family val="1"/>
        <charset val="238"/>
      </rPr>
      <t>1.200.000,00 Kč</t>
    </r>
    <r>
      <rPr>
        <sz val="8"/>
        <rFont val="Times New Roman"/>
        <family val="1"/>
        <charset val="238"/>
      </rPr>
      <t>. O tuto částku bude snížen neinvestiční příspěvek na rok 2016.</t>
    </r>
  </si>
  <si>
    <t>Na základě usnesení RMP a ZMP byl proveden příděl  ze zlepšeného výsledku hospodaření roku 2015 ve výši 30.472,59 Kč a 147.049,00 Kč,  z tohoto přídělu bylo 147.049 Kč převedeno na fond investiční. 
Z rezervního fondu z ostatních titulů bylo v průběhu pololetí čerpáno celkem 34.122 Kč z daru roku 2015, poskytnutého na obědy pro sociálně znevýhodněné žáky. Nedočerpané prostředky z daru na obědy ve výši 2.647 Kč budou vráceny nadaci Women for women. Prostředky fondu budou do konce roku použity zejména na obnovu vybavení ve škole, a to obnova ICT, postupně žákovské lavice a židle do tříd, na vybavení kabinetů dle schváleného plánu. Na rezervním fondu tvořeném ze zlepšeného výsledku hospodaření je na konci pololetí zůstatek ve výši 120.777,08 Kč a na rezervním fondu tvořeném z ostatních titulů (dary) je zůstatek  ve výši 214.396,74 Kč.</t>
  </si>
  <si>
    <t xml:space="preserve">Fond investic byl posílen přídělem z fondu rezervního ve výši 147.049 Kč a následně byla tato částka odvedena zřizovateli. Fond byl tvořen průběžně odpisy ze stávajícího majetku ve výši 113.820 Kč. Dalším zdrojem fondu investic byly od února odpisy z budov, převedených zřizovatelem k hospodaření, a to ve výši 459.138 Kč do konce června  (6*76.523 Kč). Na druhé straně byl zřizovatelem uložen odvod ve výši 1/2 ročního odpisu, o který byl fond investic ponížen. Celkově je ve schváleném finančním plánu neinvestiční příspěvek na odpisy v roční výši 918.276 Kč. V následujícím období bude z fondu čerpáno na obnovu vybavení do školní jídelny (plynový kotel 126.542 Kč) a nový bojler do kotelny za 103.892 Kč. 
</t>
  </si>
  <si>
    <t>Na fond sociální bylo až do června přijato  183.989 Kč jako 1,5% z objemu vyplacených hrubých mezd. V průběhu jara byly čerpány průběžně příspěvky na stravování v celkové výši 59.969 Kč (7,- Kč na 1 oběd). Posezení ke Dni učitelů  společně s bývalými zaměstnanci s dotací z FKSP stálo 12.726 Kč. Další aktivity hrazené ze sociálního fondu jsou různá divadelní či filmová představení, muzikál Carmen  (dotace 13.487 Kč), či permanentky do sauny a bazénu (1440 Kč). Zaměstnancům byly poskytnuty i odměny a dary k životním nebo pracovním výročím ve výši 17.000 Kč.</t>
  </si>
  <si>
    <t xml:space="preserve">Hospodaření v organizaci probíhá rovnoměrně v souladu s finančním plánem a  v souladu se školním rokem, zejména v položkách spotřeba materiálu a výnosy vlastní činnosti (zejména stravování ve školní jídelně –  59,77% plánu). Celkové náklady vzhledem ke zřizovateli jsou plněny na 50,22% finančního plánu. Náklady na hlavní činnost jsou vykazovány ke konci pololetí ve skutečné výši, ke 30.6. došlo k předběžnému rozdělení nákladů do doplňkové činnosti rozklíčováním podle poměru výnosů doplňkové a hlavní činnosti a na základě stanovených koeficientů. Proto je srovnání se stejným obdobím roku 2015 v hlavní činnosti i v doplňkové činnosti tímto rozklíčováním a přerozdělením nákladů ovlivněno. V oblasti oprav a údržby budou všechny větší opravy provedeny v období hlavních prázdnin, proto je čerpání na úrovni pouze 11,74%. Celkové vlastní výnosy (bez příspěvku zřizovatele)  jsou plněny ve výši 57,61% upraveného finančního plánu a jsou ovlivněny především výší stravného a jeho plněním na 59,77%. Do konce roku bude čerpání v souladu s upraveným finančním plánem, v některých nákladových položkách bude potřeba upravit finanční plán. V případě dalšího čerpání fondu odměn bude muset být částečně upraven plán na odvody na sociální a zdravotní zabezpečení. Výhledově do konce kalendářního roku organizace vystačí se schválenými finančními prostředky zřizovatele. </t>
  </si>
  <si>
    <t xml:space="preserve">K počátečnímu stavu fondu odměn byl dne 10.5. usnesením RMP č. 6454 schválen příděl ze zlepšeného výsledku hospodaření ve výši 20.000 Kč. Prostředky FO byly čerpány ve výši 60.000 Kč na odměňování zaměstnanců.  
</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</si>
  <si>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50.472,59</t>
    </r>
    <r>
      <rPr>
        <sz val="8"/>
        <rFont val="Times New Roman"/>
        <family val="1"/>
        <charset val="238"/>
      </rPr>
      <t xml:space="preserve">, a to rezervnímu fondu částku </t>
    </r>
    <r>
      <rPr>
        <b/>
        <sz val="8"/>
        <rFont val="Times New Roman"/>
        <family val="1"/>
        <charset val="238"/>
      </rPr>
      <t>30.472,59 Kč</t>
    </r>
    <r>
      <rPr>
        <sz val="8"/>
        <rFont val="Times New Roman"/>
        <family val="1"/>
        <charset val="238"/>
      </rPr>
      <t xml:space="preserve"> a fondu odměn částku </t>
    </r>
    <r>
      <rPr>
        <b/>
        <sz val="8"/>
        <rFont val="Times New Roman"/>
        <family val="1"/>
        <charset val="238"/>
      </rPr>
      <t>20.000 Kč</t>
    </r>
    <r>
      <rPr>
        <sz val="8"/>
        <rFont val="Times New Roman"/>
        <family val="1"/>
        <charset val="238"/>
      </rPr>
      <t xml:space="preserve">.  Určenou částku ve výši </t>
    </r>
    <r>
      <rPr>
        <b/>
        <sz val="8"/>
        <rFont val="Times New Roman"/>
        <family val="1"/>
        <charset val="238"/>
      </rPr>
      <t>147.049</t>
    </r>
    <r>
      <rPr>
        <sz val="8"/>
        <rFont val="Times New Roman"/>
        <family val="1"/>
        <charset val="238"/>
      </rPr>
      <t xml:space="preserve"> Kč odvedla z investičního fondu, po předchozím převodu z rezervního fondu, na účet zřizovatele dne 17.6.2016.</t>
    </r>
  </si>
  <si>
    <t>2. Na kontrolním dnu ředitel školy informoval v souvislosti s opravou přípojky vody i o dalším řešení situace a problémech s pitnou vodou. Uvedl, že v dalším období ještě bude nutné opravit hlavní rozvaděč vody umístěný v dílně školníka a následně hlavní páteřní potrubí do jednotlivých pavilonů. Vzhledem k tomu, že tento požadavek nebyl zařazen do akcí ORI na rok 2016 a řešení kvality vody je důležité, škola tuto opravu provádí z provozního rozpočtu v současnosti během prázdnin. Situace byla konzultována s panem Svobodou z ORI.</t>
  </si>
  <si>
    <t xml:space="preserve">3. Akce investičního charakteru, které se škole nedaří provést v rámci každoročně plánovaných výdajů města (ORI) na investice:
V dalším období bude nezbytné provést rekonstrukci podlahy ve sportovní hale, protože z provozních důvodů je dýha podlahy již vybroušená na minimální sílu. Odborná firma již další broušení a nátěr vylučuje. Škola zahrne požadavek do návrhu plánu na investice na rok 2017. </t>
  </si>
  <si>
    <t>Zřizovatelem je schválený procentní výpočet nákladů doplňkové činnosti, který se odvíjí od výnosů. V roce 2016 je plánován zisk 39.068 Kč. Organizace plánovaný výsledek hospodaření s největší pravděpodobností dosáhneme.</t>
  </si>
  <si>
    <t>Do fondu byl přidělen dosažený výsledek hospodaření z doplňkové činnosti roku 2015 ve výši 20.070 Kč. Dále ZMP rozhodlo o převodu finanční částky 147.159,14 Kč (celý výsledek hospodaření v hlavní činnosti) do rezervního fondu organizace a následně o převodu finanční částky 147.159,14 Kč z rezervního fondu do fondu investic. Dále se fond použil na zákonné odvody ve výši 572 Kč ke schválené odměně pro ředitelku školy vyplacené z fondu odměn. Stav fondu k 30.6. je 157.048,52 Kč. RMP usnesením č. 6621 schválila čerpání rezervního fondu ve výši 40.000 Kč na nákup vybavení do kabinetů (koberce, židle, stoly, skříňka). Realizace proběhne ve II. pololetí roku 2016.</t>
  </si>
  <si>
    <t>V rámci finančního vypořádání roku 2015 byla do fondu převedena částka 147.159,14 Kč z rezervního fondu a následně tato částka byla odvedena na účet zřizovatele. Tvorba fondu ve výši odpisů byla za I. pololetí 616.602 Kč. RMP uložila ředitelce školy odvod z fondu investic ve výši odpisů, což činí 616.602 Kč. Stav fondu k 30.6. je 108.064 Kč. RMP dne 21.6.2016 usnesením č. 6620 schválila čerpání fondu investic ve výši 100.000 Kč na nákup myčky do výdejny stravy (stávající je z roku 1999). Nákup myčky je naplánován na konec srpna.</t>
  </si>
  <si>
    <t>RMP dne 21.6.2016 usnesením č. 6616 schválila přiznání mimořádné odměny pro ředitelku školy za podíl na zlepšeném výsledku hospodaření v doplňkové činnosti za kalendářní rok 2015 ve výši 1.610 Kč. Stav fondu k 30.6. je 42.335,98 Kč.</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</si>
  <si>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20.070</t>
    </r>
    <r>
      <rPr>
        <sz val="8"/>
        <rFont val="Times New Roman"/>
        <family val="1"/>
        <charset val="238"/>
      </rPr>
      <t xml:space="preserve">, a to rezervnímu fondu celou částku. Určenou částku ve výši </t>
    </r>
    <r>
      <rPr>
        <b/>
        <sz val="8"/>
        <rFont val="Times New Roman"/>
        <family val="1"/>
        <charset val="238"/>
      </rPr>
      <t>147.159,14</t>
    </r>
    <r>
      <rPr>
        <sz val="8"/>
        <rFont val="Times New Roman"/>
        <family val="1"/>
        <charset val="238"/>
      </rPr>
      <t xml:space="preserve"> Kč odvedla z investičního fondu, po předchozím převodu z rezervního fondu, na účet zřizovatele dne 27.6.2016.</t>
    </r>
  </si>
  <si>
    <t>Výsledek hospodaření tvoří rozdíl mezi výnosy z pronájmu a náklady za spotřebu energií, který byly zaúčtovány dohadnou položkou ve výši předpokládané spotřeby</t>
  </si>
  <si>
    <t xml:space="preserve">Fond odměn byl tvořen přídělem z výsledku hospodaření z roku 2015. Čerpán byl na základě rozhodnutí zřizovatele. </t>
  </si>
  <si>
    <t xml:space="preserve">Fond investic byl tvořen z odpisů. Průběžně je čerpán na obnovu majetku. Ve vazbě na plánovanou opravu podlahy tělocvičny byl zřizovatelem uložen odvod z fondu investic. V II. pololetí 2016, až po vytvoření dostatečné výše fondu, bude podána žádost o nákup konvektomatu. Předpokládá se částečné dofinancování ze strany zřizovatele. </t>
  </si>
  <si>
    <t xml:space="preserve">Čerpání a tvorba fondu je v souladu s legislativou. Rozdíl mezi finančním a účetním stavem je způsoben časovým nesouladem mezi zaúčtováním a fyzickým převodem finančních prostředků. </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</si>
  <si>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204.316,50 Kč</t>
    </r>
    <r>
      <rPr>
        <sz val="8"/>
        <rFont val="Times New Roman"/>
        <family val="1"/>
        <charset val="238"/>
      </rPr>
      <t xml:space="preserve">, a to rezervnímu fondu částku </t>
    </r>
    <r>
      <rPr>
        <b/>
        <sz val="8"/>
        <rFont val="Times New Roman"/>
        <family val="1"/>
        <charset val="238"/>
      </rPr>
      <t>184.316,50 Kč</t>
    </r>
    <r>
      <rPr>
        <sz val="8"/>
        <rFont val="Times New Roman"/>
        <family val="1"/>
        <charset val="238"/>
      </rPr>
      <t xml:space="preserve"> a fondu odměn částku 2</t>
    </r>
    <r>
      <rPr>
        <b/>
        <sz val="8"/>
        <rFont val="Times New Roman"/>
        <family val="1"/>
        <charset val="238"/>
      </rPr>
      <t>0.000,00 Kč</t>
    </r>
    <r>
      <rPr>
        <sz val="8"/>
        <rFont val="Times New Roman"/>
        <family val="1"/>
        <charset val="238"/>
      </rPr>
      <t xml:space="preserve">. Částku </t>
    </r>
    <r>
      <rPr>
        <b/>
        <sz val="8"/>
        <rFont val="Times New Roman"/>
        <family val="1"/>
        <charset val="238"/>
      </rPr>
      <t xml:space="preserve">184.316,50 Kč </t>
    </r>
    <r>
      <rPr>
        <sz val="8"/>
        <rFont val="Times New Roman"/>
        <family val="1"/>
        <charset val="238"/>
      </rPr>
      <t>bylo doporučeno použít na financování opravy tělocvičny, nákup konvektomatu a úpravu venkovních prostor školy, zahrady a plotů. Doporučené závěry jsou postupně realizovány.</t>
    </r>
  </si>
  <si>
    <t>5. Kontrolní den doporučil opravu podlahy tělocvičny doplnit o související výměnu vstupních dveří.</t>
  </si>
  <si>
    <t xml:space="preserve">6. Kontrolní den nařídil organizaci ke konci roku provést kalkulaci nákladů na pořízení konvektomatu do školní jídelny, navrhnout výši financování z investičního fondu a výši požadovaného příspěvku od zřizovatele. </t>
  </si>
  <si>
    <t>3. Na kontrolním dni organizace předložila zřizovateli seznam investičních akcí s uvedením priorit.</t>
  </si>
  <si>
    <t>4. Na kontrolním dni bylo konstatováno, že byla realizována doporučená úprava venkovních ploch, zahradnické práce včetně odborného ořezu dřevin. Finanční spoluúčast, v podobě nařízení odvodu z investičního fondu ve výši 750 tis. Kč byla provedena.</t>
  </si>
  <si>
    <t>130.000 Kč bude převedeno do investičního fondu na nákup sporáku.</t>
  </si>
  <si>
    <t>Nákup sporáku do ŠJ, posílení z rezervního fondu.</t>
  </si>
  <si>
    <t>Fond investic bude použit dle potřeby na opravy nad plánovanou potřebu.</t>
  </si>
  <si>
    <t>FO bude čerpán dle potřeby na mimořádné odměny zaměstnanců.</t>
  </si>
  <si>
    <t>Čerpání je v souladu se směrnicí FKSP.</t>
  </si>
  <si>
    <t xml:space="preserve">V rezervním fondu jsou finanční prostředky účelově vázány na pořízení elektrického kotle a kondenzační digestoře páry do ŠJ Libušinka 18 - budou čerpány v částce 138.998,11 Kč. </t>
  </si>
  <si>
    <t xml:space="preserve">V loňském roce probíhaly v pronajímaném bytě rozsáhlejší opravy. Letos jsou náklady minimální, ale průběžný výsledek hospodaření ovlivnilo hlavně zúčtování odpisů v doplňkové činnosti. </t>
  </si>
  <si>
    <t>Předpoklad čerpání ve II. pololetí na odměny.</t>
  </si>
  <si>
    <t>Čerpání v souladu s vyhláškou MF č.114/2000 Sb., ve znění pozdějších předpisů a v souladu s Rozpočtem a zásadami čerpání fondu FKSP v roce 2016.</t>
  </si>
  <si>
    <t xml:space="preserve">Na základě nařízení zřizovatele proveden příděl zlepšeného výsledku hospodaření. Prostředky ze zlepšeného výsledku hospodaření byly účelově přiděleny do rezervního fondu na malování MŠ a ŠJ a zakoupení herního prvku - průlezky. O převod prostředků do investičního  fondu na malování a nákup průlezky požádá organizace ve II. pololetí. </t>
  </si>
  <si>
    <t>Vyšší průběžné čerpání v některých nákladových položkách - nutné výdaje. Čerpání za kalendářní rok bude odpovídat finančnímu plánu pro rok 2016.</t>
  </si>
  <si>
    <t>Doplňková činnost bude probíhat ve II. pololetí roku 2016.</t>
  </si>
  <si>
    <t>Čerpání ve II. pololetí - dětské zahradní vybavení, obnova nábytku.</t>
  </si>
  <si>
    <t>Malá výše fondu; případné čerpání na opravy školní zahrady v průběhu II. pololetí.</t>
  </si>
  <si>
    <t>Čerpání ve II. pololetí - případné překročení platů; odměny zaměstnancům.</t>
  </si>
  <si>
    <t>Čerpání dle plánu FKSP na rok 2016.</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</si>
  <si>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12.471,40 Kč,</t>
    </r>
    <r>
      <rPr>
        <sz val="8"/>
        <rFont val="Times New Roman"/>
        <family val="1"/>
        <charset val="238"/>
      </rPr>
      <t xml:space="preserve"> a to rezervnímu fondu částku </t>
    </r>
    <r>
      <rPr>
        <b/>
        <sz val="8"/>
        <rFont val="Times New Roman"/>
        <family val="1"/>
        <charset val="238"/>
      </rPr>
      <t>9.471,40 Kč</t>
    </r>
    <r>
      <rPr>
        <sz val="8"/>
        <rFont val="Times New Roman"/>
        <family val="1"/>
        <charset val="238"/>
      </rPr>
      <t xml:space="preserve"> a fondu odměn částku </t>
    </r>
    <r>
      <rPr>
        <b/>
        <sz val="8"/>
        <rFont val="Times New Roman"/>
        <family val="1"/>
        <charset val="238"/>
      </rPr>
      <t>3.000 Kč</t>
    </r>
    <r>
      <rPr>
        <sz val="8"/>
        <rFont val="Times New Roman"/>
        <family val="1"/>
        <charset val="238"/>
      </rPr>
      <t>.</t>
    </r>
  </si>
  <si>
    <t>Průběžný výsledek hospodaření ovlivnilo především nižší plánované čerpání na položce opravy a udržování a nákupy DDHM vůči zřizovateli v I. pololetí.</t>
  </si>
  <si>
    <t>Průběžný výsledek hospodaření ovlivnilo více pronájmů oproti plánovanému předpokladu během I. pololetí.</t>
  </si>
  <si>
    <t>Rezervní fond byl posílen o 132.099,99 Kč ze zlepšeného výsledku hospodaření roku 2015; čerpání fondu: 100.000 Kč převod do investičního fondu na opravu oken, 12.500 Kč - čerpán dar NADACE SOVA PRO MŠ.</t>
  </si>
  <si>
    <t>Investiční fond je tvořen odpisy ve výši 478.290 Kč a převodem 100.000 Kč z rezervního fondu na opravu oken; čerpání fondu ve výši 431.592,20 Kč bylo nařízeným odvodem zřizovateli. Ve II. pololetí bude organizace po schválení RMP čerpat investiční fond na opravu/výměnu oken na ZŠ Čechovice ve výši cca 305 tisíc Kč.</t>
  </si>
  <si>
    <t>Fond odměn nebyl v I. pololetí zatím čerpán.</t>
  </si>
  <si>
    <t>Fond FKSP je tvořen povinnými příděly = 194.022 Kč; částka 74.437 Kč byla použita jako příspěvek na obědy zaměstnanců (výše 14 Kč za jeden oběd/stravenku), dále na občerstvení ke Dni učitelů a na odměny k výročím zaměstnanců.</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</si>
  <si>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132.099,99 Kč</t>
    </r>
    <r>
      <rPr>
        <sz val="8"/>
        <rFont val="Times New Roman"/>
        <family val="1"/>
        <charset val="238"/>
      </rPr>
      <t>, a to rezervnímu fondu celou částku.</t>
    </r>
  </si>
  <si>
    <t>Průběžný výsledek hospodaření v doplňkové činnosti  je tvořen výnosy z pronájmů školního bytu, tělocvičny, kantýny, dvora, garáže a výnosy ze školení ICT. Záporný výnos ze školení ICT byl způsoben nerozúčtováním části nákladů připadající na zaměstnance ZŠ a MŠ Kollárova do hlavní činnosti. Účetní oprava proběhne v 7/2016.</t>
  </si>
  <si>
    <t>Částka Kč 189.664,- je účelově vázána na nezbytné úpravy ZŠ (výměna nevyhovujících světel na schodištích v hlavní budově a zářivek ve třídách, provedení zabezpečení proti posedávání holubů a následné znečišťování budovy a přilehlých prostor školy, úprava a přesun učeben pro zajištění poslední speciální třídy - přesun malé učebny informatiky a vybavení nové učebny speciální třídy - rozvody, podlahy, topení, ... . Bude pokračovat obnova výškově stavitelného nábytku ve třídách tak, aby odpovídal hygienickým a zdravotním normám (cca 120 tis. Kč), obnova žárovek v dataprojektorech - 13 ks; zatím hrazeno většinou z projektů ESF; výdrž 2 - 3 roky (cca 50 tis. Kč).</t>
  </si>
  <si>
    <t>Použití na případné překročení mzdového fondu a na odměny v průběhu II. pololetí.</t>
  </si>
  <si>
    <t>Organizace v průběhu I. pololetí 2016 přijala dar ve výši 11.211 Kč. V I. pololetí bylo čerpáno 7.149,50 Kč (nadace Women for Women - dotace obědů soc. znevýhodněných dětí v měsících 3 až 6 2016; zůstatek je vyúčtován, bude převeden do následujícího školního roku a organizace žádá o další  dar na dofinancování obědů soc. znevýhodněných žáků ve školním roce 2016/2017.</t>
  </si>
  <si>
    <t>2. Doporučené využití finančních prostředků z rezervního fondu na základě jednání kontrolního dne  k výsledkům hospodaření organizace za rok 2015:
- obnova výškově stavitelného nábytku ve třídách, tak aby odpovídal hygienickým a zdravotním normám - cca 120.000 Kč; čerpáno 105.349 Kč v I. pololetí,
- obnova žárovek v dataprojektorech (13 ks; zatím hrazeno většinou z projektů ESF; vydrží 2 - 3 roky) - cca 50.000 Kč; čerpáno bude v 8/2016,</t>
  </si>
  <si>
    <t>3. Ve zprávě o hospodaření za rok 2016 zvlášť uvést náklady na energie u budovy Husovo nám. 2061/91 v Pv.</t>
  </si>
  <si>
    <t>4. Kontrolním dnem bylo doporučeno zvážit a nachystat čerpání z investičního fondu. V roce 2016, po zvážení potřeb organizace, navrhuje organizace z investičního fondu zakoupit novou ústřednu školního rozhlasu v částce cca 44.000 Kč a novou kopírku v částce 45.000 Kč.</t>
  </si>
  <si>
    <t>Čerpání finančního daru účelově neurčeného a čerpání výsledku hospodaření za rok 2015. Čerpání fondu probíhá průběžně po celý rok (ložní povlečení pro MŠ, nákup 6 ks PC pro ZŠ a dalších potřeb nezajištěných příspěvkem zřizovatele dle aktuální potřeby organizace.</t>
  </si>
  <si>
    <t>Odvod odpisů z budov zřizovateli = čerpání fondu. Ve II. pololetí plánuje organizace nákup nové plynové pánve a plynového kotle pro ŠJ v předpokládané výši cca 340 Kč a nové telefonní ústředny v objemu cca 140 tis. Kč.</t>
  </si>
  <si>
    <t xml:space="preserve">FKSP je čerpán v souladu se zásadami FKSP pro rok 2016. </t>
  </si>
  <si>
    <t>Organizace má v současné době pohledávky po lhůtě splatnosti, a to ve výši 4.701 Kč za stravné. Pohledávky byly předány Okresnímu soudu. Byly uhrazeny soudní poplatky a po konzultace s právničkou finančního odboru předány advokátní kanceláři Klapka k dalším právním úkonům. Dle sdělení advokátní kanceláře je vše v řešení exekučního úřadu - exekuční příkaz k prodeji movitých věcí povinné.
Organizace v současné době nemá závazky po lhůtě splatnosti.</t>
  </si>
  <si>
    <t>Organizace v průběhu I. pololetí 2016 přijala finanční dar ve výši 3.000 Kč, který byl v I. pololetí vyčerpán. Dále přijala věcný dar - domeček na kuří nožce.</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</si>
  <si>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83.197,28 Kč</t>
    </r>
    <r>
      <rPr>
        <sz val="8"/>
        <rFont val="Times New Roman"/>
        <family val="1"/>
        <charset val="238"/>
      </rPr>
      <t xml:space="preserve">, a to rezervnímu fondu částku </t>
    </r>
    <r>
      <rPr>
        <b/>
        <sz val="8"/>
        <rFont val="Times New Roman"/>
        <family val="1"/>
        <charset val="238"/>
      </rPr>
      <t>63.197,28 Kč</t>
    </r>
    <r>
      <rPr>
        <sz val="8"/>
        <rFont val="Times New Roman"/>
        <family val="1"/>
        <charset val="238"/>
      </rPr>
      <t xml:space="preserve"> a fondu odměn částku </t>
    </r>
    <r>
      <rPr>
        <b/>
        <sz val="8"/>
        <rFont val="Times New Roman"/>
        <family val="1"/>
        <charset val="238"/>
      </rPr>
      <t>20.000 Kč</t>
    </r>
    <r>
      <rPr>
        <sz val="8"/>
        <rFont val="Times New Roman"/>
        <family val="1"/>
        <charset val="238"/>
      </rPr>
      <t xml:space="preserve">.  Určenou částku ve výši </t>
    </r>
    <r>
      <rPr>
        <b/>
        <sz val="8"/>
        <rFont val="Times New Roman"/>
        <family val="1"/>
        <charset val="238"/>
      </rPr>
      <t>29.841</t>
    </r>
    <r>
      <rPr>
        <sz val="8"/>
        <rFont val="Times New Roman"/>
        <family val="1"/>
        <charset val="238"/>
      </rPr>
      <t xml:space="preserve"> Kč odvedla z investičního fondu, po předchozím převodu z rezervního fondu, na účet zřizovatele dne 21.6.2016.</t>
    </r>
  </si>
  <si>
    <t>2. Na kontrolním dni k výsledkům hospodaření organizace za rok 2016 bude provedena kontrola likvidace pohledávek po lhůtě splatnosti ve výši 4.701 Kč.</t>
  </si>
  <si>
    <t>Průběžný výsledek hospodaření je tvořen relativně vyššími výnosy I. pololetí z vlastní činnosti organizace - dle povahy organizace (6 měsíců výuky v I. pololetí, 4 měsíce výuky ve II. pololetí.). Ve srovnání s rokem 2015 je průběžný výsledek hospodaření tvořen pouze z výnosů z vlastní činnosti. Dotace od zřizovatele je měsíčně účtována dle nákladů.</t>
  </si>
  <si>
    <t>Výši výsledku hospodaření ovlivňují náklady, které nejsou čerpány rovnoměrně. Promítá se určitý průběžný nesoulad mezi výnosy a náklady, který bude srovnán ve II. pololetí 2016.</t>
  </si>
  <si>
    <t>Fond bude organizace čerpat ve II. pololetí 2016.</t>
  </si>
  <si>
    <t>Organizace plánuje ve II. pololetí převod části fondu se souhlasem zřizovatele do investičního fondu na nákup klavíru.</t>
  </si>
  <si>
    <t xml:space="preserve">Organizace plánuje ve II. pololetí realizovat z fondu nákup klavíru v hodnotě 600 až 700 tis. Kč. </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</si>
  <si>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105.442,82 Kč</t>
    </r>
    <r>
      <rPr>
        <sz val="8"/>
        <rFont val="Times New Roman"/>
        <family val="1"/>
        <charset val="238"/>
      </rPr>
      <t xml:space="preserve">, a to rezervnímu fondu částku </t>
    </r>
    <r>
      <rPr>
        <b/>
        <sz val="8"/>
        <rFont val="Times New Roman"/>
        <family val="1"/>
        <charset val="238"/>
      </rPr>
      <t>90.442,82 Kč</t>
    </r>
    <r>
      <rPr>
        <sz val="8"/>
        <rFont val="Times New Roman"/>
        <family val="1"/>
        <charset val="238"/>
      </rPr>
      <t xml:space="preserve"> a fondu odměn částku </t>
    </r>
    <r>
      <rPr>
        <b/>
        <sz val="8"/>
        <rFont val="Times New Roman"/>
        <family val="1"/>
        <charset val="238"/>
      </rPr>
      <t>15.000 Kč</t>
    </r>
    <r>
      <rPr>
        <sz val="8"/>
        <rFont val="Times New Roman"/>
        <family val="1"/>
        <charset val="238"/>
      </rPr>
      <t xml:space="preserve">. Určenou částku ve výši </t>
    </r>
    <r>
      <rPr>
        <b/>
        <sz val="8"/>
        <rFont val="Times New Roman"/>
        <family val="1"/>
        <charset val="238"/>
      </rPr>
      <t>110.835 Kč</t>
    </r>
    <r>
      <rPr>
        <sz val="8"/>
        <rFont val="Times New Roman"/>
        <family val="1"/>
        <charset val="238"/>
      </rPr>
      <t xml:space="preserve"> organizace odvedla z investičního fondu, po předchozím převodu z rezervního fondu, na účet zřizovatele.</t>
    </r>
  </si>
  <si>
    <t xml:space="preserve">Výši průběžného výsledku hospodaření ovlivňují neproúčtované zálohy za tepelnou energii, které budou jako každý rok proúčtovány až k 31.12.2016. Organizace vycházela z aktuální kalkulace ceny GJ. DSP, s.r.o. stanoví zálohy vždy vyšší než je skutečnost, které organizace nemůže ovlivnit. DSP. s.r.o. tak postupuje každoročně. Průběžný výsledek hospodaření organizace k 30.6.2016 je ve srovnání s průběžným výsledkem hospodaření organizace k 30.6.2015 vyšší o 91.024,25 Kč. Organizace v uplynulém období roku 2016 měla vyšší  náklady v některých položkách, zejména u položky 558 - Náklady z DDM - náklady vyšší o 87.418 Kč a položky 502 - spotřeba energie - náklady vyšší o 21.192 Kč (mírně vyšší spotřeba a vyšší cena vody, vyšší paušální platby za elektřinu, způsobené nutnou výměnou jističe). </t>
  </si>
  <si>
    <t>Průběžný výsledek hospodaření v I. pololetí 2016 je ovlivněn nízkým čerpáním u položek energie a zatím malým nákupem DDHM, který bude uskutečněn ve II. pololetí 2016. Dále byla organizaci poskytnuta dotace na provoz ve výši 534.167 Kč a dotace na platy ze SR ve výši 1.461.800 Kč (3.Q.). Obě dotace jsou převedeny na výnosové účty a tím vznikl vysoký průběžný výsledek hospodaření.</t>
  </si>
  <si>
    <t>Ve II. pololetí užití na případné odměny zaměstnanců.</t>
  </si>
  <si>
    <t>Organizace v průběhu I. pololetí 2016 přijala dar ve výši 17.000 Kč. Prostředky budou čerpány ve II. pololetí na dětské zahradní vybavení.</t>
  </si>
  <si>
    <t>Průběžný výsledek hospodaření v hlavní činnosti je tvořen zejména vyšším čerpáním nákladových účtů 501 v I. pololetí; především 501 0371 - spotřební materiál do ZŠ, 501 0430 - OEM - nábytek do tříd II. stupeň a 501 0460 - materiál na opravy vnitřních prostor, svítidla a zářivkové trubice na výměnu osvětlení v učebnách a všeobecně účtů 502 - spotřeba energií v souvislosti s provozem budovy Husovo nám.. Ve II. pololetí dojde ke srovnání finančního plánu.</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</si>
  <si>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110.020,66 Kč</t>
    </r>
    <r>
      <rPr>
        <sz val="8"/>
        <rFont val="Times New Roman"/>
        <family val="1"/>
        <charset val="238"/>
      </rPr>
      <t xml:space="preserve">, a to rezervnímu fondu částku </t>
    </r>
    <r>
      <rPr>
        <b/>
        <sz val="8"/>
        <rFont val="Times New Roman"/>
        <family val="1"/>
        <charset val="238"/>
      </rPr>
      <t>100.020,66 Kč</t>
    </r>
    <r>
      <rPr>
        <sz val="8"/>
        <rFont val="Times New Roman"/>
        <family val="1"/>
        <charset val="238"/>
      </rPr>
      <t xml:space="preserve"> a fondu odměn částku </t>
    </r>
    <r>
      <rPr>
        <b/>
        <sz val="8"/>
        <rFont val="Times New Roman"/>
        <family val="1"/>
        <charset val="238"/>
      </rPr>
      <t>10.000,00 Kč</t>
    </r>
    <r>
      <rPr>
        <sz val="8"/>
        <rFont val="Times New Roman"/>
        <family val="1"/>
        <charset val="238"/>
      </rPr>
      <t xml:space="preserve">. Částka </t>
    </r>
    <r>
      <rPr>
        <b/>
        <sz val="8"/>
        <rFont val="Times New Roman"/>
        <family val="1"/>
        <charset val="238"/>
      </rPr>
      <t>100.020,66 Kč</t>
    </r>
    <r>
      <rPr>
        <sz val="8"/>
        <rFont val="Times New Roman"/>
        <family val="1"/>
        <charset val="238"/>
      </rPr>
      <t xml:space="preserve">, účelově vázaná na nákup nábytku (pořízení úložných prostor na hračky a pomůcky pro 2. třídu), bude profinancována ve II. pololetí roku 2016. </t>
    </r>
    <r>
      <rPr>
        <b/>
        <sz val="8"/>
        <rFont val="Times New Roman"/>
        <family val="1"/>
        <charset val="238"/>
      </rPr>
      <t>Kontrola užití účelově vázaných prostředků bude provedena na kontrolním dni k výsledkům hospodaření organizace za rok 2016.</t>
    </r>
  </si>
  <si>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138.998,11 Kč</t>
    </r>
    <r>
      <rPr>
        <sz val="8"/>
        <rFont val="Times New Roman"/>
        <family val="1"/>
        <charset val="238"/>
      </rPr>
      <t xml:space="preserve">, a to rezervnímu fondu celou částku. Částka </t>
    </r>
    <r>
      <rPr>
        <b/>
        <sz val="8"/>
        <rFont val="Times New Roman"/>
        <family val="1"/>
        <charset val="238"/>
      </rPr>
      <t>138.998,11 Kč</t>
    </r>
    <r>
      <rPr>
        <sz val="8"/>
        <rFont val="Times New Roman"/>
        <family val="1"/>
        <charset val="238"/>
      </rPr>
      <t xml:space="preserve">, účelově vázaná na pořízení elektrického kotle a kondenzační digestoře páry do ŠJ Libušinka 18, bude profinancována ve II. pololetí roku 2016. </t>
    </r>
    <r>
      <rPr>
        <b/>
        <sz val="8"/>
        <rFont val="Times New Roman"/>
        <family val="1"/>
        <charset val="238"/>
      </rPr>
      <t xml:space="preserve">Kontrola užití účelově vázaných prostředků bude provedena na kontrolním dni k výsledkům hospodaření organizace za rok 2016. </t>
    </r>
    <r>
      <rPr>
        <sz val="8"/>
        <rFont val="Times New Roman"/>
        <family val="1"/>
        <charset val="238"/>
      </rPr>
      <t xml:space="preserve">Určenou částku ve výši </t>
    </r>
    <r>
      <rPr>
        <b/>
        <sz val="8"/>
        <rFont val="Times New Roman"/>
        <family val="1"/>
        <charset val="238"/>
      </rPr>
      <t>20.160 Kč</t>
    </r>
    <r>
      <rPr>
        <sz val="8"/>
        <rFont val="Times New Roman"/>
        <family val="1"/>
        <charset val="238"/>
      </rPr>
      <t xml:space="preserve"> organizace odvedla z investičního fondu, po předchozím převodu z rezervního fondu, na účet zřizovatele dne 20.6.2016.</t>
    </r>
  </si>
  <si>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131.318,97 Kč</t>
    </r>
    <r>
      <rPr>
        <sz val="8"/>
        <rFont val="Times New Roman"/>
        <family val="1"/>
        <charset val="238"/>
      </rPr>
      <t xml:space="preserve">, a to rezervnímu fondu částku </t>
    </r>
    <r>
      <rPr>
        <b/>
        <sz val="8"/>
        <rFont val="Times New Roman"/>
        <family val="1"/>
        <charset val="238"/>
      </rPr>
      <t>121.318,97 Kč</t>
    </r>
    <r>
      <rPr>
        <sz val="8"/>
        <rFont val="Times New Roman"/>
        <family val="1"/>
        <charset val="238"/>
      </rPr>
      <t xml:space="preserve"> a fondu odměn částku </t>
    </r>
    <r>
      <rPr>
        <b/>
        <sz val="8"/>
        <rFont val="Times New Roman"/>
        <family val="1"/>
        <charset val="238"/>
      </rPr>
      <t>10.000,00 Kč</t>
    </r>
    <r>
      <rPr>
        <sz val="8"/>
        <rFont val="Times New Roman"/>
        <family val="1"/>
        <charset val="238"/>
      </rPr>
      <t xml:space="preserve">. Částka </t>
    </r>
    <r>
      <rPr>
        <b/>
        <sz val="8"/>
        <rFont val="Times New Roman"/>
        <family val="1"/>
        <charset val="238"/>
      </rPr>
      <t>30.000 Kč</t>
    </r>
    <r>
      <rPr>
        <sz val="8"/>
        <rFont val="Times New Roman"/>
        <family val="1"/>
        <charset val="238"/>
      </rPr>
      <t xml:space="preserve">, účelově vázaná na nákup zahradního domku, byla v I. pololetí roku 2016 čerpána dle stanoveného účelu (cena zahradního domku byla 39.990 Kč). Účelově vázané finanční prostředky výsledku hospodaření roku 2014 ve výši 39.000 Kč na vybudování nákladního výtahu byly převedeny v rámci úpravy finančního plánu na odbor rozvoje a investic. Nákladní výtah se realizuje. </t>
    </r>
    <r>
      <rPr>
        <b/>
        <sz val="8"/>
        <rFont val="Times New Roman"/>
        <family val="1"/>
        <charset val="238"/>
      </rPr>
      <t>Kontrola užití účelově vázaných prostředků bude provedena na kontrolním dni k výsledkům hospodaření organizace za rok 2016.</t>
    </r>
  </si>
  <si>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207.208,69 Kč</t>
    </r>
    <r>
      <rPr>
        <sz val="8"/>
        <rFont val="Times New Roman"/>
        <family val="1"/>
        <charset val="238"/>
      </rPr>
      <t xml:space="preserve">, a to rezervnímu fondu celou částku. Částka </t>
    </r>
    <r>
      <rPr>
        <b/>
        <sz val="8"/>
        <rFont val="Times New Roman"/>
        <family val="1"/>
        <charset val="238"/>
      </rPr>
      <t>207.208,69 Kč</t>
    </r>
    <r>
      <rPr>
        <sz val="8"/>
        <rFont val="Times New Roman"/>
        <family val="1"/>
        <charset val="238"/>
      </rPr>
      <t xml:space="preserve">, účelově vázaná na malování MŠ a ŠJ a zakoupení herního prvku - průlezky, bude čerpána ve II. pololetí roku 2016. </t>
    </r>
    <r>
      <rPr>
        <b/>
        <sz val="8"/>
        <rFont val="Times New Roman"/>
        <family val="1"/>
        <charset val="238"/>
      </rPr>
      <t>Kontrola užití účelově vázaných prostředků bude provedena na kontrolním dni k výsledkům hospodaření organizace za rok 2016.</t>
    </r>
  </si>
  <si>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197.707,44 Kč</t>
    </r>
    <r>
      <rPr>
        <sz val="8"/>
        <rFont val="Times New Roman"/>
        <family val="1"/>
        <charset val="238"/>
      </rPr>
      <t xml:space="preserve">, a to rezervnímu fondu částku </t>
    </r>
    <r>
      <rPr>
        <b/>
        <sz val="8"/>
        <rFont val="Times New Roman"/>
        <family val="1"/>
        <charset val="238"/>
      </rPr>
      <t>187.707,44 Kč</t>
    </r>
    <r>
      <rPr>
        <sz val="8"/>
        <rFont val="Times New Roman"/>
        <family val="1"/>
        <charset val="238"/>
      </rPr>
      <t xml:space="preserve"> a fondu odměn částku </t>
    </r>
    <r>
      <rPr>
        <b/>
        <sz val="8"/>
        <rFont val="Times New Roman"/>
        <family val="1"/>
        <charset val="238"/>
      </rPr>
      <t>10.000 Kč</t>
    </r>
    <r>
      <rPr>
        <sz val="8"/>
        <rFont val="Times New Roman"/>
        <family val="1"/>
        <charset val="238"/>
      </rPr>
      <t xml:space="preserve">. Částka rezervního fondu ve výši  </t>
    </r>
    <r>
      <rPr>
        <b/>
        <sz val="8"/>
        <rFont val="Times New Roman"/>
        <family val="1"/>
        <charset val="238"/>
      </rPr>
      <t>187.707,44 Kč</t>
    </r>
    <r>
      <rPr>
        <sz val="8"/>
        <rFont val="Times New Roman"/>
        <family val="1"/>
        <charset val="238"/>
      </rPr>
      <t>, účelově vázaná na opravu internetových rozvodů v pavilonech ZŠ a MŠ, byla k 30.6.2016 proinvestována na daný účel.</t>
    </r>
  </si>
  <si>
    <t>2. Organizace provedla přepočet školného v MŠ. Přepočtem byla potvrzena správnost současné výše školného 330 Kč/žáka.</t>
  </si>
  <si>
    <t>V nákladech se promítne ve II. pololetí nákup sporáku a přefakturace spotřeby vody a za svoz komunálního odpadu. Výsledek hospodaření se tím ke konci roku sníží na plánovanou hodnotu.</t>
  </si>
  <si>
    <t>Organizace má v současné době pohledávky po lhůtě splatnosti, a to ve výši 23.800 Kč. Oproti minulému období došlo ke zvýšení oproti částce 21.400 Kč. Jedná se o dlužné částky za čtenáři se 4. upomínkou, která činí 200,- Kč. Jmenovité seznamy dlužníků jsou uloženy v organizaci a pravidelně čtvrtletně zasílány  na MMPv. Veškeré pohledávky jsou vymáhány všemi  možnými dostupnými prostředky  (písemně, telefonicky, poštou i osobně).  Některé pohledávky byly během I. pololetí uhrazeny, u jiných nebylo dosaženo kladného výsledku. Během pololetí byly zaúčtovány další neuhrazené upomínky. 
Organizace v současné době nemá závazky po lhůtě splatnosti.</t>
  </si>
  <si>
    <t>V měsíci červenci proběhne nákup herního prvku na školní zahradu  MŠ Pv Rumunská v hodnotě 39.398 Kč s DPH a nákup nábytkových sestav do 2. třídy MŠ Rumunská v celkové hodnotě 55.710 Kč s DPH. Finanční prostředky  na RF z ostatních zdrojů (sponzorské dary) ve výši 55.093,50 Kč organizace plánuje  využít při obnově koberce ve 2. třídě a další obnově zařízení.</t>
  </si>
  <si>
    <t>Organizace v průběhu I. pololetí 2016 přijala dar ve výši 2.000 Kč. prostředky budou čerpány ve II. pololetí na hračky.</t>
  </si>
  <si>
    <t xml:space="preserve">Řada faktur za období 6/2016 došla až po uzávěrce rozborů - energie za 6/2016 (plyn, elektřina) byly zúčtovány dohadnou položkou. Nákupy majetku proběhnou až po ukončení rekonstrukce topení (organizace nemá v současné době, kde majetek uskladnit). Rozsáhlejší opravy proběhnou také až po ukončení rekonstrukce, kdy bude organizace vědět aktuální potřebu nejnaléhavějších oprav. </t>
  </si>
  <si>
    <t>Převod prostředků na malování a na dokrytí ceny dětské průlezky na základě žádosti o přesun z rezervního fondu o který organizace zažádá ve  II. pololetí. Čerpání prostředků - odvod části odpisů na účet zřizovatele. Organizace očekává čerpání ve  II. pololetí na malování cca 130 tis Kč, 49 tis. Kč na krouhač zeleniny do ŠJ a na nákup dětské průlezky za cca 138 tis. Kč.</t>
  </si>
  <si>
    <r>
      <t xml:space="preserve">2. Škola předloží náměstkyni primátorky statický posudek budovy na Skálově nám. s žádostí, aby ORI tuto problematiku prověřil a převzal k řešení. </t>
    </r>
    <r>
      <rPr>
        <b/>
        <sz val="8"/>
        <color indexed="8"/>
        <rFont val="Times New Roman"/>
        <family val="1"/>
        <charset val="238"/>
      </rPr>
      <t>Kontrola stavu této záležitosti bude provedena na kontrolním dni k výsledkům hospodaření za rok 2016.</t>
    </r>
  </si>
  <si>
    <t>Fond bude čerpán dle aktuálních potřeb organizace se souhlasem zřizovatele.</t>
  </si>
  <si>
    <t>FKSP se  čerpá průběžně dle zásad o použití - obědy, kultura a sport. akce, dary.</t>
  </si>
  <si>
    <t xml:space="preserve">Průběžný výsledek hospodaření - jedná se převážně o zisk z pronájmů a zisk z poskytnuté stravy pro ostatní subjekty. </t>
  </si>
  <si>
    <t>RMP schválila finanční odměnu z fondu odměn = čerpání fondu v I. pololetí. Ve II. pololetí bude fond použit na případné krytí mzdových nákladů při překročení mzdového limitu, popř. na výplatu odměn.</t>
  </si>
  <si>
    <t>Rezervní fond byl tvořen převedením výsledku hospodaření z roku 2015. Je předpoklad využití rezervního fondu pro další rozvoj činnosti. V tomto roce byl rezervní fond čerpán na posílení fondu investic.</t>
  </si>
  <si>
    <t xml:space="preserve">7. Kontrolní den doporučil pokračovat v průběžném čerpání rezervního fondu na pořízení šatních skříněk a na vybavení nábytkem, zejména MŠ. </t>
  </si>
  <si>
    <r>
      <t xml:space="preserve">Projevilo se </t>
    </r>
    <r>
      <rPr>
        <u/>
        <sz val="8"/>
        <rFont val="Times New Roman"/>
        <family val="1"/>
        <charset val="238"/>
      </rPr>
      <t>vyšší plnění</t>
    </r>
    <r>
      <rPr>
        <sz val="8"/>
        <rFont val="Times New Roman"/>
        <family val="1"/>
        <charset val="238"/>
      </rPr>
      <t xml:space="preserve"> u výnosů z činnosti (67,22%). Je to způsobeno tím, že poplatky za ŠD jsou v I. pololetí za 6 měsíců a ve II. pololetí budou jen za 4 měsíce. Dále organizace přijala finanční prostředky od žáků za zničené a ztracené učebnice (3.823 Kč). Byl čerpán fond odměn (1.610 Kč) a rezervní fond (572 Kč) na odměnu pro ředitelku školy. Nepatrně vyšší je plnění mzdových nákladů (50,29%), což je zapříčiněno tím, že se platily dohody pro vedoucí zájmových kroužků za 6 měsíců a ve II. pololetí již opět jen za 4 měsíce. Správci hřiště byla organizace nucena zvýšit minimální hodinovou mzdu. Zákonné a jiné sociální náklady (60%) -  příplatky na stravování zaměstnanců byly plánovány ve výši 30.000 Kč a zatím do května čerpány částkou 17.540 Kč. Díky hlavním prázdninám a Vánocům (kdy se nestravují pedagogové) plánovaná částka organizaci zřejmě postačí. Jiné ostatní náklady - 100% - plnění finančního plánu - jedná se o pojištění, které se hradí 1x ročně. Naopak nižší plnění je u spotřeby materiálu (32,61%). Lze předpokládat, že naplánované prostředky budou dostačující, ve II. pololetí se zvýší náklady za různý materiál pro školníka na prázdninové opravy a údržbu (malování, opravy lavic, židliček apod.) apod. U oprav a udržování je nižší plnění (16,50%) zapříčiněno tím, že veškeré opravy a malování jsou směrovány na období hlavních prázdnin; začalo se již s malováním schodiště v ŠD a opravou soklu a zábradlí na budově 1. stupně. Proběhne údržba klimatizace, vzduchotechniky a výtahu. Navíc nevzniklo mnoho problémů, které by se musely řešit dodavatelsky. V položce cestovného nebude zřejmě spotřebována celá plánovaná částka 2 000 Kč; současné plnění je 13,40%. Školení pro ekonomky a ředitele škol byly v místě. V ostatních službách (40,89%) organizace nejvíce šetří za pronájem bazénu na výuku plavání žáků (28,79%), za telekomunikační poplatky - přechodem k jinému operátorovi jsou výhodné tarify a zaměstnanci i služební záležitosti se vyřizují mobilními telefony. V nepatrně nižším plnění se promítlo i to, že do doby uzávěrky nedošly faktury za červen za zpracování mezd a telefony. Na srpen je plánován vývoz a čištění jímky a septiku ve výdejně stravy, na podzim zase seřízení a servis kotlů, které se hradí 1x ročně. Zákonné a jiné sociální pojištění  - nižší čerpání (45,22%)  je způsobeno tím, že správce hřiště nastoupil až 1.4.2016; pracovní smlouvu má do 31.12.2016; pracuje přes prázdniny; čerpání bude na 100%.  Náklady z drobného dlouhodobého majetku (23,22%) - ze schválených 80.000 Kč byl zatím zakoupen jen počítač za 18.576 Kč. V plánu bylo zakoupení 4 ks PC; realizace proběhne ve II. pololetí. Do doby uzávěrky navíc nedošly faktury za všechny energie z června. V porovnání se stejným obdobím roku 2015 je průběžný výsledek hospodaření v hlavní činnosti nižší, jak je patrné z tabulky. V letošním roce bylo čerpáno více prostředků na materiálu, energiích, mzdových nákladech, odvodech, opravách i odpisech. V loňském roce začala organizace svěřené budovy odepisovat až od února, což představuje měsíční odpis ve výši 102.767 Kč. Výhled hospodaření do konce roku 2016 - se organizace bude snažit ve všech nákladových i výnosových položkách o plnění na 100% finančního plánu. </t>
    </r>
  </si>
  <si>
    <t xml:space="preserve">Do fondu bylo přiděleno 1,5 % z objemu hrubých mezd, což činí 60.788 Kč. Z fondu se přispívá v rámci individuálního příspěvku na rekreační a lázeňské pobyty, zájezdy a rehabilitace - za I. pololetí zatím jen 1.500 Kč. Dále se přispívá na stravování zaměstnanců - 17.540 Kč (10 Kč na jeden oběd), na kulturní představení, tělovýchovné akce, setkání s důchodci školy apod. - za I. pololetí to bylo 12.693 Kč. Byl poskytnut 1 finanční dar k odchodu do starobního důchodu zaměstnankyni organizace (2.000 Kč) a jeden věcný dar pro bývalou zaměstnankyni k životnímu výročí (288 Kč). Rozdíl mezi účetním stavem (90.710,52 Kč) a finančním stavem (79.743,82 Kč) je 10.966,70 Kč. Je to rozdíl mezi přídělem z hrubých mezd za červen 2016 (10.574 Kč), který do doby uzávěrky nemohl být připsán na účtu, dále mezi poplatky za červen (398 Kč) a připsanými úroky za červen (5,30 Kč). Z FKSP se majetek nepořizoval. Stav fondu je k 30.6.2016 90.710,52 Kč. </t>
  </si>
  <si>
    <t>Organizace v průběhu I. pololetí 2016 přijala pouze věcný dar.</t>
  </si>
  <si>
    <t xml:space="preserve">4. V roce 2013 byla odborem rozvoje a  investic provedena v rámci projektu ROP Střední Morava rekonstrukce tří odborných učeben, ale dosud nebyla vyřešena evidence majetku pořízeného městem Prostějovem v těchto zrekonstruovaných učebnách, protože na základě sdělení z nadřízeného odboru ze dne 13.11.2014, opírajícímu se o "Příkaz D 74/2013 k zajištění plnění a kontroly podmínek čerpání dotace", musí zůstat tento majetek majetkem zřizovatele, protože je financován z dotací z evropských fondů. Vzhledem k převodu budov do správy školy ke dni 1.1.2015 se tento majetek přesunul jako součást budovy, ale v rámci udržitelnosti je nadále majetkem zřizovatele a nelze jej vyčlenit jako neinvestiční majetek. Rozpis majetku z projektu v učebnách je k dispozici v souboru projektové dokumentace k projektu. </t>
  </si>
  <si>
    <t xml:space="preserve">Průběžný výsledek hospodaření je na konci pololetí pouze předběžný. Vytvořen je z výnosů z pronájmů po odečtení konkrétních uskutečněných nákladů vztahujících se přímo k pronájmům (materiál a mzdové náklady na úklid v tělocvičné hale) a zejména náklady rozklíčovanými poměrem z nákladů hlavní činnosti, zejména energie, služby, opravy. Konečné náklady k celkovým pronájmům budou vyčísleny až na konci roku z celkových nákladů organizace a podle stanovených koeficientů. Výnosy z pronájmů jsou v tomto pololetí vyšší o 50.388 Kč, což odpovídá zhruba 100 hodinám pronájmu velké tělocvičny. Na rozdíl od roku 2015 měla škola další příjem 51.838 Kč z vaření za uskutečněný celostátní přebor žáků v atletice pro Sokolskou župu. </t>
  </si>
  <si>
    <t>Použití na úhradu ztráty minulých let (účelově vázáno 2.150.100,97 Kč) převodem na účet 432, porušení rozpočtové kázně 4.797,50 Kč a na úhradu penále za neuhrazenou fa z roku 2014 ve výši 7.052,53 Kč. Další čerpání: obědy pro děti a sponzorské dary z minulých let.</t>
  </si>
  <si>
    <t xml:space="preserve">Organizace má v současné době pohledávky po lhůtě splatnosti, a to ve výši 2.741 Kč za stravné. Pohledávka je vymáhána e-mailem, telefonicky.  Bude dále řešena ve spolupráci s finančním odborem MMPv. 
Organizace v současné době nemá závazky po lhůtě splatnosti.         </t>
  </si>
  <si>
    <t xml:space="preserve">Organizace má v současné době pohledávku po lhůtě splatnosti, a to ve výši 315 Kč za stravné. Pohledávka je vymáhána e-mailem, telefonicky.  Je dále řešena ve spolupráci s finančním odborem MMPv. 
Organizace v současné době nemá závazky po lhůtě splatnosti.         </t>
  </si>
  <si>
    <t>4.  Organizace nechá zpracovat posudek statika na tribuny. V srpnu 2016 organizace předloží žádost RMP o zařazení výměny tribun do investičního plánu zřizovatele. Předpokladem je, že se organizace bude podílet na této investici částkou cca 550.000 Kč.</t>
  </si>
  <si>
    <t>Organizace nevytváří průběžný výsledek hospodaření, náklady jsou financovány z vlastních tržeb a pravidelně dorovnány z příspěvku zřizovatele. Dorovnaný výsledek na nulu minimalizuje daňovou povinnost organizace.</t>
  </si>
  <si>
    <t>Zdroj FKSP tvoří příděl 1,5% z objemu mezd; čerpání - příspěvek na stravné zaměstnanců. Peněžní krytí je vyšší z toho důvodu, že poplatky z běžného účtu budou přeúčtovány až v červenci po obdržení výpisu a naopak stravenky na červenec a srpen byly uhrazeny z běžného účtu organizace a zaúčtovány na účet 412, ale převod mezi běžnými účty bude proveden v měsíci červenci.</t>
  </si>
  <si>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253.762,25 Kč</t>
    </r>
    <r>
      <rPr>
        <sz val="8"/>
        <rFont val="Times New Roman"/>
        <family val="1"/>
        <charset val="238"/>
      </rPr>
      <t xml:space="preserve">, a to rezervnímu fondu celou částku. Částka </t>
    </r>
    <r>
      <rPr>
        <b/>
        <sz val="8"/>
        <rFont val="Times New Roman"/>
        <family val="1"/>
        <charset val="238"/>
      </rPr>
      <t>189.664,25 Kč</t>
    </r>
    <r>
      <rPr>
        <sz val="8"/>
        <rFont val="Times New Roman"/>
        <family val="1"/>
        <charset val="238"/>
      </rPr>
      <t xml:space="preserve">, účelově vázaná na výměnu nevyhovujících světel na schodištích v hlavní budově a zářivek ve třídách, provedení zabezpečení proti posedávání holubů a následné znečišťování budovy a přilehlých prostor školy, úpravu a přesun učeben pro zajištění poslední speciální třídy - přesun malé učebny informatiky a vybavení nové učebny speciální třídy - rozvody, podlahy, topení, ...,je čerpána následovně:
- výměna nevyhovujících světel na schodištích v hlavní budově a zářivek ve třídách - cca 100.000 Kč; - čerpáno 64.880 Kč v I. pololetí 2016. Zůstatek 35.120 Kč bude použit se souhlasem zřizovatele na posílení úpravy a přesunu učeben, 
- provedení zabezpečení proti posedávání holubů a následné znečišťování budovy a přilehlých  prostor školy - cca   50.000 Kč; čerpáno bude v 8/2016,
- úprava a přesun učeben pro zajištění poslední speciální třídy  (přesun malé učebny informatiky a vybavení nové učebny speciální třídy - rozvody, podlahy, topení, ...) - 39.664 Kč; čerpáno bude v 7-8/2016; potřeba cca 100.000 Kč; posílení se souhlasem zřizovatele z výměny nevyhovujících světel,  
</t>
    </r>
    <r>
      <rPr>
        <b/>
        <sz val="8"/>
        <rFont val="Times New Roman"/>
        <family val="1"/>
        <charset val="238"/>
      </rPr>
      <t>Kontrola užití účelově vázaných prostředků bude provedena na kontrolním dni k výsledkům hospodaření organizace za rok 2016.</t>
    </r>
  </si>
  <si>
    <r>
      <t xml:space="preserve">1. Organizace na základě schválených usnesení 42. RMP ze dne 10.5.2016 č. 6454 a 16. ZMP ze dne 6.6.2016 č. 16107 přidělila trvalým peněžním fondům schválený výsledek hospodaření ve výši </t>
    </r>
    <r>
      <rPr>
        <b/>
        <sz val="8"/>
        <rFont val="Times New Roman"/>
        <family val="1"/>
        <charset val="238"/>
      </rPr>
      <t>277.220,13 Kč,</t>
    </r>
    <r>
      <rPr>
        <sz val="8"/>
        <rFont val="Times New Roman"/>
        <family val="1"/>
        <charset val="238"/>
      </rPr>
      <t xml:space="preserve"> a to rezervnímu fondu částku </t>
    </r>
    <r>
      <rPr>
        <b/>
        <sz val="8"/>
        <rFont val="Times New Roman"/>
        <family val="1"/>
        <charset val="238"/>
      </rPr>
      <t>177.220,13 Kč</t>
    </r>
    <r>
      <rPr>
        <sz val="8"/>
        <rFont val="Times New Roman"/>
        <family val="1"/>
        <charset val="238"/>
      </rPr>
      <t xml:space="preserve"> a fondu odměn částku </t>
    </r>
    <r>
      <rPr>
        <b/>
        <sz val="8"/>
        <rFont val="Times New Roman"/>
        <family val="1"/>
        <charset val="238"/>
      </rPr>
      <t>100.000 Kč</t>
    </r>
    <r>
      <rPr>
        <sz val="8"/>
        <rFont val="Times New Roman"/>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</si>
</sst>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405]#,##0"/>
    <numFmt numFmtId="165" formatCode="[$-405]#,##0.00"/>
  </numFmts>
  <fonts count="50" x14ac:knownFonts="1">
    <font>
      <sz val="6"/>
      <name val="Times New Roman"/>
      <family val="1"/>
      <charset val="238"/>
    </font>
    <font>
      <sz val="10"/>
      <name val="Arial CE"/>
      <charset val="238"/>
    </font>
    <font>
      <sz val="5"/>
      <name val="Times New Roman"/>
      <family val="1"/>
      <charset val="238"/>
    </font>
    <font>
      <b/>
      <sz val="12"/>
      <name val="Times New Roman"/>
      <family val="1"/>
      <charset val="238"/>
    </font>
    <font>
      <sz val="6"/>
      <name val="Times New Roman"/>
      <family val="1"/>
      <charset val="238"/>
    </font>
    <font>
      <b/>
      <sz val="6"/>
      <name val="Times New Roman"/>
      <family val="1"/>
      <charset val="238"/>
    </font>
    <font>
      <b/>
      <sz val="6"/>
      <name val="Times New Roman CE"/>
      <family val="1"/>
      <charset val="238"/>
    </font>
    <font>
      <b/>
      <i/>
      <sz val="6"/>
      <name val="Times New Roman CE"/>
      <family val="1"/>
      <charset val="238"/>
    </font>
    <font>
      <b/>
      <i/>
      <sz val="6"/>
      <name val="Times New Roman"/>
      <family val="1"/>
      <charset val="238"/>
    </font>
    <font>
      <b/>
      <sz val="6"/>
      <name val="Times New Roman CE"/>
      <charset val="238"/>
    </font>
    <font>
      <b/>
      <sz val="8"/>
      <name val="Times New Roman"/>
      <family val="1"/>
      <charset val="238"/>
    </font>
    <font>
      <sz val="8"/>
      <name val="Times New Roman"/>
      <family val="1"/>
      <charset val="238"/>
    </font>
    <font>
      <b/>
      <u/>
      <sz val="8"/>
      <name val="Times New Roman"/>
      <family val="1"/>
      <charset val="238"/>
    </font>
    <font>
      <b/>
      <sz val="14"/>
      <color indexed="8"/>
      <name val="Times New Roman"/>
      <family val="1"/>
      <charset val="238"/>
    </font>
    <font>
      <sz val="10"/>
      <color indexed="8"/>
      <name val="Times New Roman"/>
      <family val="1"/>
      <charset val="238"/>
    </font>
    <font>
      <b/>
      <sz val="14"/>
      <name val="Times New Roman"/>
      <family val="1"/>
      <charset val="238"/>
    </font>
    <font>
      <u/>
      <sz val="8"/>
      <name val="Times New Roman"/>
      <family val="1"/>
      <charset val="238"/>
    </font>
    <font>
      <b/>
      <sz val="8"/>
      <color indexed="8"/>
      <name val="Times New Roman"/>
      <family val="1"/>
      <charset val="238"/>
    </font>
    <font>
      <b/>
      <sz val="6"/>
      <color indexed="8"/>
      <name val="Times New Roman"/>
      <family val="1"/>
      <charset val="238"/>
    </font>
    <font>
      <i/>
      <sz val="6"/>
      <name val="Times New Roman"/>
      <family val="1"/>
      <charset val="238"/>
    </font>
    <font>
      <b/>
      <u/>
      <sz val="8"/>
      <color indexed="8"/>
      <name val="Times New Roman"/>
      <family val="1"/>
      <charset val="238"/>
    </font>
    <font>
      <sz val="8"/>
      <color indexed="8"/>
      <name val="Times New Roman"/>
      <family val="1"/>
      <charset val="238"/>
    </font>
    <font>
      <sz val="8"/>
      <color indexed="10"/>
      <name val="Times New Roman"/>
      <family val="1"/>
      <charset val="238"/>
    </font>
    <font>
      <u/>
      <sz val="8"/>
      <color indexed="8"/>
      <name val="Times New Roman"/>
      <family val="1"/>
      <charset val="238"/>
    </font>
    <font>
      <sz val="6"/>
      <color indexed="8"/>
      <name val="Times New Roman"/>
      <family val="1"/>
      <charset val="238"/>
    </font>
    <font>
      <sz val="9"/>
      <color indexed="8"/>
      <name val="Times New Roman"/>
      <family val="1"/>
      <charset val="238"/>
    </font>
    <font>
      <i/>
      <sz val="9"/>
      <color indexed="8"/>
      <name val="Times New Roman"/>
      <family val="1"/>
      <charset val="238"/>
    </font>
    <font>
      <b/>
      <sz val="9"/>
      <color indexed="8"/>
      <name val="Times New Roman"/>
      <family val="1"/>
      <charset val="238"/>
    </font>
    <font>
      <sz val="9"/>
      <name val="Times New Roman"/>
      <family val="1"/>
      <charset val="238"/>
    </font>
    <font>
      <i/>
      <sz val="8"/>
      <color indexed="8"/>
      <name val="Times New Roman"/>
      <family val="1"/>
      <charset val="238"/>
    </font>
    <font>
      <b/>
      <sz val="14"/>
      <color theme="1"/>
      <name val="Times New Roman"/>
      <family val="1"/>
      <charset val="238"/>
    </font>
    <font>
      <sz val="10"/>
      <color theme="1"/>
      <name val="Times New Roman"/>
      <family val="1"/>
      <charset val="238"/>
    </font>
    <font>
      <b/>
      <u/>
      <sz val="8"/>
      <color theme="1"/>
      <name val="Times New Roman"/>
      <family val="1"/>
      <charset val="238"/>
    </font>
    <font>
      <sz val="8"/>
      <color theme="1"/>
      <name val="Times New Roman"/>
      <family val="1"/>
      <charset val="238"/>
    </font>
    <font>
      <b/>
      <sz val="6"/>
      <color theme="1"/>
      <name val="Times New Roman"/>
      <family val="1"/>
      <charset val="238"/>
    </font>
    <font>
      <b/>
      <sz val="8"/>
      <color theme="1"/>
      <name val="Times New Roman"/>
      <family val="1"/>
      <charset val="238"/>
    </font>
    <font>
      <u/>
      <sz val="8"/>
      <color theme="1"/>
      <name val="Times New Roman"/>
      <family val="1"/>
      <charset val="238"/>
    </font>
    <font>
      <sz val="6"/>
      <color theme="1"/>
      <name val="Times New Roman"/>
      <family val="1"/>
      <charset val="238"/>
    </font>
    <font>
      <sz val="8"/>
      <color rgb="FFFF0000"/>
      <name val="Times New Roman"/>
      <family val="1"/>
      <charset val="238"/>
    </font>
    <font>
      <sz val="9"/>
      <color theme="1"/>
      <name val="Times New Roman"/>
      <family val="1"/>
      <charset val="238"/>
    </font>
    <font>
      <sz val="6"/>
      <color rgb="FFFF0000"/>
      <name val="Times New Roman"/>
      <family val="1"/>
      <charset val="238"/>
    </font>
    <font>
      <b/>
      <sz val="6"/>
      <color rgb="FF000000"/>
      <name val="Times New Roman"/>
      <family val="1"/>
      <charset val="238"/>
    </font>
    <font>
      <sz val="6"/>
      <color rgb="FF000000"/>
      <name val="Times New Roman"/>
      <family val="1"/>
      <charset val="238"/>
    </font>
    <font>
      <i/>
      <sz val="8"/>
      <color theme="1"/>
      <name val="Times New Roman"/>
      <family val="1"/>
      <charset val="238"/>
    </font>
    <font>
      <b/>
      <sz val="6"/>
      <color rgb="FFFF0000"/>
      <name val="Times New Roman"/>
      <family val="1"/>
      <charset val="238"/>
    </font>
    <font>
      <b/>
      <sz val="9"/>
      <color theme="1"/>
      <name val="Times New Roman"/>
      <family val="1"/>
      <charset val="238"/>
    </font>
    <font>
      <i/>
      <sz val="9"/>
      <color theme="1"/>
      <name val="Times New Roman"/>
      <family val="1"/>
      <charset val="238"/>
    </font>
    <font>
      <i/>
      <sz val="8"/>
      <name val="Times New Roman"/>
      <family val="1"/>
      <charset val="238"/>
    </font>
    <font>
      <i/>
      <sz val="9"/>
      <name val="Times New Roman"/>
      <family val="1"/>
      <charset val="238"/>
    </font>
    <font>
      <b/>
      <i/>
      <sz val="9"/>
      <color theme="1"/>
      <name val="Times New Roman"/>
      <family val="1"/>
      <charset val="238"/>
    </font>
  </fonts>
  <fills count="14">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C000"/>
        <bgColor indexed="64"/>
      </patternFill>
    </fill>
    <fill>
      <patternFill patternType="solid">
        <fgColor theme="1"/>
        <bgColor indexed="64"/>
      </patternFill>
    </fill>
    <fill>
      <patternFill patternType="solid">
        <fgColor rgb="FF92D050"/>
        <bgColor rgb="FF92D050"/>
      </patternFill>
    </fill>
    <fill>
      <patternFill patternType="solid">
        <fgColor indexed="8"/>
        <bgColor indexed="64"/>
      </patternFill>
    </fill>
    <fill>
      <patternFill patternType="solid">
        <fgColor theme="0"/>
        <bgColor indexed="64"/>
      </patternFill>
    </fill>
    <fill>
      <patternFill patternType="solid">
        <fgColor theme="0"/>
        <bgColor rgb="FF92D050"/>
      </patternFill>
    </fill>
    <fill>
      <patternFill patternType="solid">
        <fgColor indexed="23"/>
        <bgColor indexed="64"/>
      </patternFill>
    </fill>
  </fills>
  <borders count="96">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hair">
        <color rgb="FF000000"/>
      </left>
      <right style="thin">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thin">
        <color indexed="64"/>
      </top>
      <bottom/>
      <diagonal/>
    </border>
    <border>
      <left style="hair">
        <color auto="1"/>
      </left>
      <right/>
      <top style="thin">
        <color indexed="64"/>
      </top>
      <bottom style="hair">
        <color auto="1"/>
      </bottom>
      <diagonal/>
    </border>
    <border>
      <left/>
      <right/>
      <top style="thin">
        <color indexed="64"/>
      </top>
      <bottom style="hair">
        <color indexed="64"/>
      </bottom>
      <diagonal/>
    </border>
    <border>
      <left/>
      <right style="hair">
        <color auto="1"/>
      </right>
      <top style="thin">
        <color indexed="64"/>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hair">
        <color auto="1"/>
      </right>
      <top/>
      <bottom style="hair">
        <color auto="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style="hair">
        <color auto="1"/>
      </right>
      <top style="hair">
        <color auto="1"/>
      </top>
      <bottom/>
      <diagonal/>
    </border>
    <border>
      <left/>
      <right style="hair">
        <color auto="1"/>
      </right>
      <top style="hair">
        <color indexed="64"/>
      </top>
      <bottom/>
      <diagonal/>
    </border>
    <border>
      <left style="hair">
        <color auto="1"/>
      </left>
      <right/>
      <top/>
      <bottom style="hair">
        <color auto="1"/>
      </bottom>
      <diagonal/>
    </border>
    <border>
      <left/>
      <right/>
      <top/>
      <bottom style="hair">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auto="1"/>
      </left>
      <right/>
      <top style="hair">
        <color auto="1"/>
      </top>
      <bottom/>
      <diagonal/>
    </border>
    <border>
      <left/>
      <right/>
      <top style="hair">
        <color auto="1"/>
      </top>
      <bottom/>
      <diagonal/>
    </border>
  </borders>
  <cellStyleXfs count="5">
    <xf numFmtId="4" fontId="0" fillId="0" borderId="0">
      <alignment vertical="top"/>
    </xf>
    <xf numFmtId="43" fontId="1" fillId="0" borderId="0" applyFont="0" applyFill="0" applyBorder="0" applyAlignment="0" applyProtection="0"/>
    <xf numFmtId="3" fontId="2" fillId="0" borderId="0"/>
    <xf numFmtId="165" fontId="42" fillId="0" borderId="0" applyBorder="0" applyProtection="0">
      <alignment vertical="top"/>
    </xf>
    <xf numFmtId="9" fontId="4" fillId="0" borderId="0" applyFont="0" applyFill="0" applyBorder="0" applyAlignment="0" applyProtection="0"/>
  </cellStyleXfs>
  <cellXfs count="683">
    <xf numFmtId="4" fontId="0" fillId="0" borderId="0" xfId="0">
      <alignment vertical="top"/>
    </xf>
    <xf numFmtId="3" fontId="3" fillId="0" borderId="0" xfId="2" applyFont="1" applyFill="1" applyBorder="1"/>
    <xf numFmtId="4" fontId="0" fillId="0" borderId="0" xfId="0" applyAlignment="1">
      <alignment horizontal="center" vertical="top"/>
    </xf>
    <xf numFmtId="4" fontId="3" fillId="0" borderId="0" xfId="0" applyFont="1" applyAlignment="1">
      <alignment horizontal="center" vertical="top"/>
    </xf>
    <xf numFmtId="4" fontId="4" fillId="0" borderId="0" xfId="0" applyFont="1">
      <alignment vertical="top"/>
    </xf>
    <xf numFmtId="4" fontId="4" fillId="0" borderId="0" xfId="0" applyFont="1" applyAlignment="1">
      <alignment horizontal="center" vertical="top"/>
    </xf>
    <xf numFmtId="3" fontId="5" fillId="0" borderId="0" xfId="2" applyFont="1" applyFill="1" applyBorder="1"/>
    <xf numFmtId="3" fontId="5" fillId="0" borderId="0" xfId="2" applyFont="1" applyFill="1" applyBorder="1" applyAlignment="1">
      <alignment horizontal="center"/>
    </xf>
    <xf numFmtId="49" fontId="5" fillId="0" borderId="0" xfId="2" applyNumberFormat="1" applyFont="1" applyFill="1" applyBorder="1" applyAlignment="1">
      <alignment horizontal="center"/>
    </xf>
    <xf numFmtId="4" fontId="5" fillId="0" borderId="1" xfId="2" applyNumberFormat="1" applyFont="1" applyFill="1" applyBorder="1"/>
    <xf numFmtId="4" fontId="5" fillId="0" borderId="2" xfId="2" applyNumberFormat="1" applyFont="1" applyFill="1" applyBorder="1"/>
    <xf numFmtId="3" fontId="5" fillId="0" borderId="0" xfId="2" applyFont="1" applyFill="1" applyBorder="1" applyAlignment="1"/>
    <xf numFmtId="4" fontId="8" fillId="0" borderId="1" xfId="2" applyNumberFormat="1" applyFont="1" applyFill="1" applyBorder="1"/>
    <xf numFmtId="3" fontId="8" fillId="0" borderId="0" xfId="2" applyFont="1" applyFill="1" applyBorder="1"/>
    <xf numFmtId="4" fontId="8" fillId="0" borderId="2" xfId="2" applyNumberFormat="1" applyFont="1" applyFill="1" applyBorder="1"/>
    <xf numFmtId="4" fontId="8" fillId="0" borderId="0" xfId="2" applyNumberFormat="1" applyFont="1" applyFill="1" applyBorder="1"/>
    <xf numFmtId="4" fontId="8" fillId="0" borderId="3" xfId="2" applyNumberFormat="1" applyFont="1" applyFill="1" applyBorder="1"/>
    <xf numFmtId="49" fontId="5" fillId="3" borderId="4" xfId="2" applyNumberFormat="1" applyFont="1" applyFill="1" applyBorder="1" applyAlignment="1">
      <alignment horizontal="center"/>
    </xf>
    <xf numFmtId="49" fontId="5" fillId="3" borderId="5" xfId="2" applyNumberFormat="1" applyFont="1" applyFill="1" applyBorder="1" applyAlignment="1">
      <alignment horizontal="center"/>
    </xf>
    <xf numFmtId="4" fontId="5" fillId="4" borderId="6" xfId="2" applyNumberFormat="1" applyFont="1" applyFill="1" applyBorder="1"/>
    <xf numFmtId="49" fontId="6" fillId="4" borderId="7" xfId="2" applyNumberFormat="1" applyFont="1" applyFill="1" applyBorder="1" applyAlignment="1">
      <alignment horizontal="center"/>
    </xf>
    <xf numFmtId="3" fontId="6" fillId="4" borderId="8" xfId="2" applyFont="1" applyFill="1" applyBorder="1" applyAlignment="1">
      <alignment horizontal="left"/>
    </xf>
    <xf numFmtId="3" fontId="6" fillId="4" borderId="9" xfId="2" applyFont="1" applyFill="1" applyBorder="1" applyAlignment="1">
      <alignment horizontal="left"/>
    </xf>
    <xf numFmtId="4" fontId="5" fillId="0" borderId="0" xfId="0" applyFont="1">
      <alignment vertical="top"/>
    </xf>
    <xf numFmtId="4" fontId="5" fillId="4" borderId="4" xfId="2" applyNumberFormat="1" applyFont="1" applyFill="1" applyBorder="1"/>
    <xf numFmtId="4" fontId="8" fillId="4" borderId="6" xfId="2" applyNumberFormat="1" applyFont="1" applyFill="1" applyBorder="1"/>
    <xf numFmtId="4" fontId="5" fillId="0" borderId="3" xfId="2" applyNumberFormat="1" applyFont="1" applyFill="1" applyBorder="1"/>
    <xf numFmtId="4" fontId="30" fillId="0" borderId="0" xfId="0" applyFont="1" applyAlignment="1"/>
    <xf numFmtId="4" fontId="31" fillId="0" borderId="0" xfId="0" applyFont="1" applyAlignment="1"/>
    <xf numFmtId="3" fontId="6" fillId="4" borderId="4" xfId="2" applyNumberFormat="1" applyFont="1" applyFill="1" applyBorder="1"/>
    <xf numFmtId="3" fontId="6" fillId="4" borderId="10" xfId="2" applyNumberFormat="1" applyFont="1" applyFill="1" applyBorder="1"/>
    <xf numFmtId="3" fontId="6" fillId="4" borderId="4" xfId="2" applyNumberFormat="1" applyFont="1" applyFill="1" applyBorder="1" applyAlignment="1">
      <alignment horizontal="right"/>
    </xf>
    <xf numFmtId="3" fontId="5" fillId="0" borderId="11" xfId="2" applyNumberFormat="1" applyFont="1" applyBorder="1" applyAlignment="1">
      <alignment horizontal="right"/>
    </xf>
    <xf numFmtId="3" fontId="5" fillId="0" borderId="1" xfId="2" applyNumberFormat="1" applyFont="1" applyBorder="1" applyAlignment="1">
      <alignment horizontal="right"/>
    </xf>
    <xf numFmtId="3" fontId="5" fillId="0" borderId="12" xfId="2" applyNumberFormat="1" applyFont="1" applyBorder="1" applyAlignment="1">
      <alignment horizontal="right"/>
    </xf>
    <xf numFmtId="3" fontId="5" fillId="0" borderId="1" xfId="2" applyNumberFormat="1" applyFont="1" applyBorder="1"/>
    <xf numFmtId="3" fontId="5" fillId="0" borderId="12" xfId="2" applyNumberFormat="1" applyFont="1" applyBorder="1"/>
    <xf numFmtId="3" fontId="5" fillId="0" borderId="11" xfId="2" applyNumberFormat="1" applyFont="1" applyBorder="1"/>
    <xf numFmtId="3" fontId="5" fillId="0" borderId="13" xfId="2" applyNumberFormat="1" applyFont="1" applyBorder="1" applyAlignment="1">
      <alignment horizontal="right"/>
    </xf>
    <xf numFmtId="3" fontId="5" fillId="0" borderId="2" xfId="2" applyNumberFormat="1" applyFont="1" applyBorder="1" applyAlignment="1">
      <alignment horizontal="right"/>
    </xf>
    <xf numFmtId="3" fontId="5" fillId="0" borderId="14" xfId="2" applyNumberFormat="1" applyFont="1" applyBorder="1" applyAlignment="1">
      <alignment horizontal="right"/>
    </xf>
    <xf numFmtId="3" fontId="5" fillId="0" borderId="15" xfId="2" applyNumberFormat="1" applyFont="1" applyBorder="1" applyAlignment="1">
      <alignment horizontal="right"/>
    </xf>
    <xf numFmtId="3" fontId="5" fillId="0" borderId="16" xfId="2" applyNumberFormat="1" applyFont="1" applyBorder="1" applyAlignment="1">
      <alignment horizontal="right"/>
    </xf>
    <xf numFmtId="3" fontId="5" fillId="0" borderId="3" xfId="2" applyNumberFormat="1" applyFont="1" applyBorder="1" applyAlignment="1">
      <alignment horizontal="right"/>
    </xf>
    <xf numFmtId="3" fontId="5" fillId="0" borderId="17" xfId="2" applyNumberFormat="1" applyFont="1" applyBorder="1" applyAlignment="1">
      <alignment horizontal="right"/>
    </xf>
    <xf numFmtId="3" fontId="5" fillId="0" borderId="18" xfId="2" applyNumberFormat="1" applyFont="1" applyBorder="1" applyAlignment="1">
      <alignment horizontal="right"/>
    </xf>
    <xf numFmtId="3" fontId="5" fillId="4" borderId="4" xfId="2" applyNumberFormat="1" applyFont="1" applyFill="1" applyBorder="1" applyAlignment="1">
      <alignment horizontal="right"/>
    </xf>
    <xf numFmtId="3" fontId="5" fillId="4" borderId="10" xfId="2" applyNumberFormat="1" applyFont="1" applyFill="1" applyBorder="1" applyAlignment="1">
      <alignment horizontal="right"/>
    </xf>
    <xf numFmtId="3" fontId="5" fillId="0" borderId="1" xfId="2" applyNumberFormat="1" applyFont="1" applyFill="1" applyBorder="1"/>
    <xf numFmtId="3" fontId="5" fillId="0" borderId="12" xfId="2" applyNumberFormat="1" applyFont="1" applyFill="1" applyBorder="1" applyAlignment="1">
      <alignment horizontal="right"/>
    </xf>
    <xf numFmtId="3" fontId="5" fillId="0" borderId="11" xfId="2" applyNumberFormat="1" applyFont="1" applyFill="1" applyBorder="1"/>
    <xf numFmtId="3" fontId="5" fillId="0" borderId="12" xfId="2" applyNumberFormat="1" applyFont="1" applyFill="1" applyBorder="1"/>
    <xf numFmtId="3" fontId="5" fillId="0" borderId="19" xfId="2" applyNumberFormat="1" applyFont="1" applyFill="1" applyBorder="1" applyAlignment="1">
      <alignment horizontal="right"/>
    </xf>
    <xf numFmtId="3" fontId="5" fillId="0" borderId="2" xfId="2" applyNumberFormat="1" applyFont="1" applyBorder="1" applyAlignment="1"/>
    <xf numFmtId="3" fontId="5" fillId="0" borderId="2" xfId="2" applyNumberFormat="1" applyFont="1" applyFill="1" applyBorder="1"/>
    <xf numFmtId="3" fontId="5" fillId="0" borderId="14" xfId="2" applyNumberFormat="1" applyFont="1" applyFill="1" applyBorder="1" applyAlignment="1">
      <alignment horizontal="right"/>
    </xf>
    <xf numFmtId="3" fontId="5" fillId="0" borderId="13" xfId="2" applyNumberFormat="1" applyFont="1" applyFill="1" applyBorder="1"/>
    <xf numFmtId="3" fontId="5" fillId="0" borderId="14" xfId="2" applyNumberFormat="1" applyFont="1" applyFill="1" applyBorder="1"/>
    <xf numFmtId="3" fontId="5" fillId="0" borderId="13" xfId="2" applyNumberFormat="1" applyFont="1" applyFill="1" applyBorder="1" applyAlignment="1">
      <alignment horizontal="right"/>
    </xf>
    <xf numFmtId="3" fontId="5" fillId="0" borderId="2" xfId="2" applyNumberFormat="1" applyFont="1" applyFill="1" applyBorder="1" applyAlignment="1">
      <alignment horizontal="right"/>
    </xf>
    <xf numFmtId="3" fontId="8" fillId="0" borderId="2" xfId="2" applyNumberFormat="1" applyFont="1" applyFill="1" applyBorder="1" applyAlignment="1">
      <alignment horizontal="center"/>
    </xf>
    <xf numFmtId="3" fontId="5" fillId="0" borderId="3" xfId="0" applyNumberFormat="1" applyFont="1" applyBorder="1">
      <alignment vertical="top"/>
    </xf>
    <xf numFmtId="3" fontId="5" fillId="0" borderId="13" xfId="2" applyNumberFormat="1" applyFont="1" applyBorder="1" applyAlignment="1"/>
    <xf numFmtId="3" fontId="8" fillId="0" borderId="13" xfId="2" applyNumberFormat="1" applyFont="1" applyFill="1" applyBorder="1" applyAlignment="1">
      <alignment horizontal="center"/>
    </xf>
    <xf numFmtId="3" fontId="5" fillId="0" borderId="16" xfId="0" applyNumberFormat="1" applyFont="1" applyBorder="1">
      <alignment vertical="top"/>
    </xf>
    <xf numFmtId="3" fontId="5" fillId="0" borderId="19" xfId="2" applyNumberFormat="1" applyFont="1" applyBorder="1"/>
    <xf numFmtId="3" fontId="5" fillId="0" borderId="15" xfId="2" applyNumberFormat="1" applyFont="1" applyBorder="1" applyAlignment="1"/>
    <xf numFmtId="3" fontId="5" fillId="0" borderId="15" xfId="2" applyNumberFormat="1" applyFont="1" applyFill="1" applyBorder="1"/>
    <xf numFmtId="3" fontId="8" fillId="0" borderId="15" xfId="2" applyNumberFormat="1" applyFont="1" applyFill="1" applyBorder="1" applyAlignment="1">
      <alignment horizontal="center"/>
    </xf>
    <xf numFmtId="3" fontId="5" fillId="0" borderId="18" xfId="0" applyNumberFormat="1" applyFont="1" applyBorder="1">
      <alignment vertical="top"/>
    </xf>
    <xf numFmtId="4" fontId="13" fillId="0" borderId="0" xfId="0" applyFont="1" applyAlignment="1"/>
    <xf numFmtId="4" fontId="14" fillId="0" borderId="0" xfId="0" applyFont="1" applyAlignment="1"/>
    <xf numFmtId="4" fontId="15" fillId="0" borderId="0" xfId="0" applyFont="1" applyAlignment="1"/>
    <xf numFmtId="4" fontId="15" fillId="0" borderId="0" xfId="0" applyFont="1">
      <alignment vertical="top"/>
    </xf>
    <xf numFmtId="4" fontId="31" fillId="0" borderId="0" xfId="0" applyFont="1" applyBorder="1" applyAlignment="1"/>
    <xf numFmtId="4" fontId="30" fillId="0" borderId="0" xfId="0" applyFont="1" applyBorder="1" applyAlignment="1"/>
    <xf numFmtId="4" fontId="12" fillId="0" borderId="0" xfId="0" applyFont="1" applyAlignment="1"/>
    <xf numFmtId="4" fontId="11" fillId="0" borderId="0" xfId="0" applyFont="1" applyAlignment="1"/>
    <xf numFmtId="4" fontId="5" fillId="0" borderId="0" xfId="0" applyFont="1" applyAlignment="1">
      <alignment horizontal="center"/>
    </xf>
    <xf numFmtId="4" fontId="10" fillId="0" borderId="0" xfId="0" applyFont="1" applyAlignment="1"/>
    <xf numFmtId="4" fontId="16" fillId="0" borderId="0" xfId="0" applyFont="1" applyAlignment="1"/>
    <xf numFmtId="4" fontId="11" fillId="0" borderId="0" xfId="0" applyFont="1" applyFill="1" applyAlignment="1"/>
    <xf numFmtId="4" fontId="0" fillId="0" borderId="0" xfId="0" applyFont="1">
      <alignment vertical="top"/>
    </xf>
    <xf numFmtId="4" fontId="0" fillId="0" borderId="0" xfId="0" applyFont="1" applyAlignment="1">
      <alignment horizontal="center" vertical="top"/>
    </xf>
    <xf numFmtId="4" fontId="0" fillId="0" borderId="0" xfId="0" applyFont="1" applyFill="1">
      <alignment vertical="top"/>
    </xf>
    <xf numFmtId="3" fontId="5" fillId="0" borderId="2" xfId="0" applyNumberFormat="1" applyFont="1" applyBorder="1" applyAlignment="1">
      <alignment horizontal="right" vertical="top"/>
    </xf>
    <xf numFmtId="3" fontId="5" fillId="0" borderId="14" xfId="0" applyNumberFormat="1" applyFont="1" applyBorder="1" applyAlignment="1">
      <alignment horizontal="right" vertical="top"/>
    </xf>
    <xf numFmtId="3" fontId="5" fillId="0" borderId="13" xfId="0" applyNumberFormat="1" applyFont="1" applyBorder="1" applyAlignment="1">
      <alignment horizontal="right" vertical="top"/>
    </xf>
    <xf numFmtId="3" fontId="5" fillId="0" borderId="13" xfId="0" applyNumberFormat="1" applyFont="1" applyBorder="1">
      <alignment vertical="top"/>
    </xf>
    <xf numFmtId="3" fontId="5" fillId="0" borderId="2" xfId="0" applyNumberFormat="1" applyFont="1" applyBorder="1">
      <alignment vertical="top"/>
    </xf>
    <xf numFmtId="3" fontId="5" fillId="0" borderId="15" xfId="0" applyNumberFormat="1" applyFont="1" applyBorder="1">
      <alignment vertical="top"/>
    </xf>
    <xf numFmtId="3" fontId="5" fillId="0" borderId="17" xfId="0" applyNumberFormat="1" applyFont="1" applyBorder="1">
      <alignment vertical="top"/>
    </xf>
    <xf numFmtId="3" fontId="19" fillId="0" borderId="23" xfId="0" applyNumberFormat="1" applyFont="1" applyBorder="1">
      <alignment vertical="top"/>
    </xf>
    <xf numFmtId="3" fontId="19" fillId="0" borderId="20" xfId="0" applyNumberFormat="1" applyFont="1" applyBorder="1">
      <alignment vertical="top"/>
    </xf>
    <xf numFmtId="3" fontId="19" fillId="0" borderId="24" xfId="0" applyNumberFormat="1" applyFont="1" applyBorder="1">
      <alignment vertical="top"/>
    </xf>
    <xf numFmtId="3" fontId="19" fillId="0" borderId="13" xfId="0" applyNumberFormat="1" applyFont="1" applyBorder="1">
      <alignment vertical="top"/>
    </xf>
    <xf numFmtId="3" fontId="19" fillId="0" borderId="2" xfId="0" applyNumberFormat="1" applyFont="1" applyBorder="1">
      <alignment vertical="top"/>
    </xf>
    <xf numFmtId="3" fontId="19" fillId="0" borderId="15" xfId="0" applyNumberFormat="1" applyFont="1" applyBorder="1">
      <alignment vertical="top"/>
    </xf>
    <xf numFmtId="3" fontId="19" fillId="0" borderId="16" xfId="0" applyNumberFormat="1" applyFont="1" applyBorder="1">
      <alignment vertical="top"/>
    </xf>
    <xf numFmtId="3" fontId="19" fillId="0" borderId="3" xfId="0" applyNumberFormat="1" applyFont="1" applyBorder="1">
      <alignment vertical="top"/>
    </xf>
    <xf numFmtId="3" fontId="19" fillId="0" borderId="18" xfId="0" applyNumberFormat="1" applyFont="1" applyBorder="1">
      <alignment vertical="top"/>
    </xf>
    <xf numFmtId="4" fontId="32" fillId="0" borderId="0" xfId="0" applyFont="1" applyAlignment="1"/>
    <xf numFmtId="4" fontId="33" fillId="0" borderId="0" xfId="0" applyFont="1" applyAlignment="1"/>
    <xf numFmtId="4" fontId="34" fillId="0" borderId="0" xfId="0" applyFont="1" applyAlignment="1">
      <alignment horizontal="center"/>
    </xf>
    <xf numFmtId="4" fontId="35" fillId="0" borderId="0" xfId="0" applyFont="1" applyAlignment="1"/>
    <xf numFmtId="4" fontId="33" fillId="0" borderId="0" xfId="0" applyNumberFormat="1" applyFont="1" applyAlignment="1"/>
    <xf numFmtId="4" fontId="36" fillId="0" borderId="0" xfId="0" applyFont="1" applyAlignment="1"/>
    <xf numFmtId="4" fontId="34" fillId="4" borderId="4" xfId="0" applyFont="1" applyFill="1" applyBorder="1" applyAlignment="1">
      <alignment horizontal="center" vertical="center" wrapText="1"/>
    </xf>
    <xf numFmtId="4" fontId="37" fillId="0" borderId="0" xfId="0" applyFont="1" applyAlignment="1"/>
    <xf numFmtId="4" fontId="33" fillId="0" borderId="0" xfId="0" applyFont="1" applyAlignment="1">
      <alignment horizontal="center" vertical="center" wrapText="1"/>
    </xf>
    <xf numFmtId="4" fontId="35" fillId="3" borderId="4" xfId="0" applyFont="1" applyFill="1" applyBorder="1" applyAlignment="1">
      <alignment vertical="center" wrapText="1"/>
    </xf>
    <xf numFmtId="4" fontId="35" fillId="3" borderId="4" xfId="0" applyNumberFormat="1" applyFont="1" applyFill="1" applyBorder="1" applyAlignment="1">
      <alignment horizontal="right" vertical="center" wrapText="1"/>
    </xf>
    <xf numFmtId="4" fontId="33" fillId="0" borderId="0" xfId="0" applyFont="1" applyFill="1" applyAlignment="1"/>
    <xf numFmtId="4" fontId="33" fillId="0" borderId="0" xfId="0" applyNumberFormat="1" applyFont="1" applyFill="1" applyAlignment="1"/>
    <xf numFmtId="4" fontId="16" fillId="0" borderId="0" xfId="0" applyFont="1" applyFill="1" applyAlignment="1"/>
    <xf numFmtId="4" fontId="20" fillId="0" borderId="0" xfId="0" applyFont="1" applyAlignment="1"/>
    <xf numFmtId="4" fontId="21" fillId="0" borderId="0" xfId="0" applyFont="1" applyAlignment="1"/>
    <xf numFmtId="4" fontId="18" fillId="0" borderId="0" xfId="0" applyFont="1" applyAlignment="1">
      <alignment horizontal="center"/>
    </xf>
    <xf numFmtId="4" fontId="17" fillId="0" borderId="0" xfId="0" applyFont="1" applyAlignment="1"/>
    <xf numFmtId="4" fontId="21" fillId="0" borderId="0" xfId="0" applyNumberFormat="1" applyFont="1" applyAlignment="1"/>
    <xf numFmtId="4" fontId="23" fillId="0" borderId="0" xfId="0" applyFont="1" applyAlignment="1"/>
    <xf numFmtId="4" fontId="24" fillId="0" borderId="0" xfId="0" applyFont="1" applyAlignment="1"/>
    <xf numFmtId="4" fontId="21" fillId="0" borderId="0" xfId="0" applyFont="1" applyAlignment="1">
      <alignment horizontal="center" vertical="center" wrapText="1"/>
    </xf>
    <xf numFmtId="4" fontId="21" fillId="0" borderId="0" xfId="0" applyFont="1" applyFill="1" applyAlignment="1"/>
    <xf numFmtId="4" fontId="21" fillId="0" borderId="0" xfId="0" applyNumberFormat="1" applyFont="1" applyFill="1" applyAlignment="1"/>
    <xf numFmtId="4" fontId="17" fillId="2" borderId="4" xfId="0" applyNumberFormat="1" applyFont="1" applyFill="1" applyBorder="1" applyAlignment="1">
      <alignment vertical="top" wrapText="1"/>
    </xf>
    <xf numFmtId="4" fontId="18" fillId="4" borderId="4" xfId="0" applyFont="1" applyFill="1" applyBorder="1" applyAlignment="1">
      <alignment horizontal="center" vertical="center" wrapText="1"/>
    </xf>
    <xf numFmtId="4" fontId="36" fillId="0" borderId="0" xfId="0" applyFont="1" applyFill="1" applyAlignment="1"/>
    <xf numFmtId="4" fontId="10" fillId="0" borderId="0" xfId="0" applyFont="1" applyFill="1" applyAlignment="1"/>
    <xf numFmtId="3" fontId="6" fillId="4" borderId="7" xfId="2" applyFont="1" applyFill="1" applyBorder="1" applyAlignment="1">
      <alignment horizontal="center"/>
    </xf>
    <xf numFmtId="3" fontId="6" fillId="0" borderId="41" xfId="2" applyFont="1" applyBorder="1" applyAlignment="1">
      <alignment horizontal="center"/>
    </xf>
    <xf numFmtId="49" fontId="6" fillId="0" borderId="41" xfId="2" applyNumberFormat="1" applyFont="1" applyFill="1" applyBorder="1" applyAlignment="1">
      <alignment horizontal="center"/>
    </xf>
    <xf numFmtId="3" fontId="9" fillId="0" borderId="42" xfId="2" applyFont="1" applyBorder="1" applyAlignment="1">
      <alignment horizontal="center"/>
    </xf>
    <xf numFmtId="49" fontId="6" fillId="0" borderId="42" xfId="2" applyNumberFormat="1" applyFont="1" applyFill="1" applyBorder="1" applyAlignment="1">
      <alignment horizontal="center"/>
    </xf>
    <xf numFmtId="3" fontId="6" fillId="4" borderId="4" xfId="2" applyFont="1" applyFill="1" applyBorder="1" applyAlignment="1">
      <alignment horizontal="center"/>
    </xf>
    <xf numFmtId="3" fontId="6" fillId="0" borderId="42" xfId="2" applyFont="1" applyBorder="1" applyAlignment="1">
      <alignment horizontal="center"/>
    </xf>
    <xf numFmtId="49" fontId="7" fillId="0" borderId="44" xfId="2" applyNumberFormat="1" applyFont="1" applyBorder="1" applyAlignment="1">
      <alignment horizontal="center"/>
    </xf>
    <xf numFmtId="4" fontId="7" fillId="0" borderId="42" xfId="2" applyNumberFormat="1" applyFont="1" applyBorder="1" applyAlignment="1">
      <alignment horizontal="center"/>
    </xf>
    <xf numFmtId="3" fontId="6" fillId="4" borderId="34" xfId="2" applyNumberFormat="1" applyFont="1" applyFill="1" applyBorder="1"/>
    <xf numFmtId="3" fontId="6" fillId="4" borderId="10" xfId="2" applyNumberFormat="1" applyFont="1" applyFill="1" applyBorder="1" applyAlignment="1">
      <alignment horizontal="right"/>
    </xf>
    <xf numFmtId="3" fontId="6" fillId="4" borderId="8" xfId="2" applyNumberFormat="1" applyFont="1" applyFill="1" applyBorder="1"/>
    <xf numFmtId="4" fontId="3" fillId="0" borderId="0" xfId="0" applyFont="1" applyAlignment="1">
      <alignment horizontal="center" vertical="top"/>
    </xf>
    <xf numFmtId="3" fontId="6" fillId="0" borderId="11" xfId="2" applyNumberFormat="1" applyFont="1" applyBorder="1"/>
    <xf numFmtId="3" fontId="6" fillId="0" borderId="11" xfId="2" applyNumberFormat="1" applyFont="1" applyBorder="1" applyAlignment="1">
      <alignment horizontal="right"/>
    </xf>
    <xf numFmtId="3" fontId="5" fillId="0" borderId="28" xfId="2" applyNumberFormat="1" applyFont="1" applyFill="1" applyBorder="1"/>
    <xf numFmtId="3" fontId="5" fillId="0" borderId="22" xfId="2" applyNumberFormat="1" applyFont="1" applyBorder="1" applyAlignment="1">
      <alignment horizontal="right"/>
    </xf>
    <xf numFmtId="3" fontId="5" fillId="0" borderId="2" xfId="2" applyNumberFormat="1" applyFont="1" applyFill="1" applyBorder="1" applyAlignment="1">
      <alignment horizontal="center"/>
    </xf>
    <xf numFmtId="3" fontId="5" fillId="0" borderId="28" xfId="2" applyNumberFormat="1" applyFont="1" applyBorder="1"/>
    <xf numFmtId="3" fontId="5" fillId="0" borderId="30" xfId="2" applyNumberFormat="1" applyFont="1" applyBorder="1" applyAlignment="1">
      <alignment horizontal="right"/>
    </xf>
    <xf numFmtId="4" fontId="8" fillId="4" borderId="3" xfId="2" applyNumberFormat="1" applyFont="1" applyFill="1" applyBorder="1"/>
    <xf numFmtId="3" fontId="19" fillId="0" borderId="1" xfId="0" applyNumberFormat="1" applyFont="1" applyBorder="1">
      <alignment vertical="top"/>
    </xf>
    <xf numFmtId="3" fontId="19" fillId="0" borderId="19" xfId="0" applyNumberFormat="1" applyFont="1" applyBorder="1">
      <alignment vertical="top"/>
    </xf>
    <xf numFmtId="3" fontId="5" fillId="0" borderId="15" xfId="2" applyNumberFormat="1" applyFont="1" applyFill="1" applyBorder="1" applyAlignment="1">
      <alignment horizontal="center"/>
    </xf>
    <xf numFmtId="3" fontId="5" fillId="11" borderId="14" xfId="2" applyNumberFormat="1" applyFont="1" applyFill="1" applyBorder="1" applyAlignment="1">
      <alignment horizontal="right"/>
    </xf>
    <xf numFmtId="4" fontId="5" fillId="0" borderId="28" xfId="2" applyNumberFormat="1" applyFont="1" applyFill="1" applyBorder="1"/>
    <xf numFmtId="4" fontId="5" fillId="0" borderId="22" xfId="2" applyNumberFormat="1" applyFont="1" applyFill="1" applyBorder="1"/>
    <xf numFmtId="4" fontId="5" fillId="0" borderId="30" xfId="2" applyNumberFormat="1" applyFont="1" applyFill="1" applyBorder="1"/>
    <xf numFmtId="4" fontId="5" fillId="0" borderId="27" xfId="2" applyNumberFormat="1" applyFont="1" applyFill="1" applyBorder="1"/>
    <xf numFmtId="4" fontId="5" fillId="0" borderId="21" xfId="2" applyNumberFormat="1" applyFont="1" applyFill="1" applyBorder="1"/>
    <xf numFmtId="4" fontId="5" fillId="0" borderId="29" xfId="2" applyNumberFormat="1" applyFont="1" applyFill="1" applyBorder="1"/>
    <xf numFmtId="165" fontId="41" fillId="9" borderId="4" xfId="2" applyNumberFormat="1" applyFont="1" applyFill="1" applyBorder="1" applyAlignment="1"/>
    <xf numFmtId="165" fontId="41" fillId="12" borderId="1" xfId="2" applyNumberFormat="1" applyFont="1" applyFill="1" applyBorder="1" applyAlignment="1"/>
    <xf numFmtId="3" fontId="41" fillId="0" borderId="51" xfId="2" applyFont="1" applyFill="1" applyBorder="1" applyAlignment="1"/>
    <xf numFmtId="165" fontId="41" fillId="12" borderId="2" xfId="2" applyNumberFormat="1" applyFont="1" applyFill="1" applyBorder="1" applyAlignment="1"/>
    <xf numFmtId="3" fontId="41" fillId="0" borderId="53" xfId="2" applyFont="1" applyFill="1" applyBorder="1" applyAlignment="1">
      <alignment horizontal="right"/>
    </xf>
    <xf numFmtId="165" fontId="41" fillId="12" borderId="25" xfId="2" applyNumberFormat="1" applyFont="1" applyFill="1" applyBorder="1" applyAlignment="1"/>
    <xf numFmtId="3" fontId="41" fillId="0" borderId="54" xfId="2" applyFont="1" applyFill="1" applyBorder="1" applyAlignment="1">
      <alignment horizontal="right"/>
    </xf>
    <xf numFmtId="3" fontId="41" fillId="9" borderId="4" xfId="2" applyFont="1" applyFill="1" applyBorder="1" applyAlignment="1">
      <alignment horizontal="right"/>
    </xf>
    <xf numFmtId="165" fontId="41" fillId="12" borderId="20" xfId="2" applyNumberFormat="1" applyFont="1" applyFill="1" applyBorder="1" applyAlignment="1"/>
    <xf numFmtId="3" fontId="41" fillId="0" borderId="51" xfId="2" applyFont="1" applyFill="1" applyBorder="1" applyAlignment="1">
      <alignment horizontal="right"/>
    </xf>
    <xf numFmtId="3" fontId="41" fillId="0" borderId="53" xfId="2" applyFont="1" applyFill="1" applyBorder="1" applyAlignment="1"/>
    <xf numFmtId="3" fontId="41" fillId="0" borderId="53" xfId="2" applyFont="1" applyFill="1" applyBorder="1" applyAlignment="1">
      <alignment horizontal="center"/>
    </xf>
    <xf numFmtId="164" fontId="41" fillId="0" borderId="53" xfId="3" applyNumberFormat="1" applyFont="1" applyFill="1" applyBorder="1" applyAlignment="1">
      <alignment vertical="top"/>
    </xf>
    <xf numFmtId="164" fontId="41" fillId="0" borderId="54" xfId="3" applyNumberFormat="1" applyFont="1" applyFill="1" applyBorder="1" applyAlignment="1">
      <alignment vertical="top"/>
    </xf>
    <xf numFmtId="0" fontId="21" fillId="0" borderId="0" xfId="0" applyNumberFormat="1" applyFont="1" applyAlignment="1"/>
    <xf numFmtId="0" fontId="21" fillId="0" borderId="0" xfId="0" applyNumberFormat="1" applyFont="1" applyFill="1" applyAlignment="1"/>
    <xf numFmtId="0" fontId="17" fillId="0" borderId="0" xfId="0" applyNumberFormat="1" applyFont="1" applyAlignment="1">
      <alignment vertical="center"/>
    </xf>
    <xf numFmtId="4" fontId="27" fillId="2" borderId="4" xfId="0" applyNumberFormat="1" applyFont="1" applyFill="1" applyBorder="1" applyAlignment="1">
      <alignment horizontal="right" vertical="center" wrapText="1"/>
    </xf>
    <xf numFmtId="0" fontId="33" fillId="0" borderId="0" xfId="0" applyNumberFormat="1" applyFont="1" applyAlignment="1"/>
    <xf numFmtId="0" fontId="33" fillId="0" borderId="0" xfId="0" applyNumberFormat="1" applyFont="1" applyFill="1" applyAlignment="1"/>
    <xf numFmtId="4" fontId="35" fillId="3" borderId="59" xfId="0" applyNumberFormat="1" applyFont="1" applyFill="1" applyBorder="1" applyAlignment="1">
      <alignment vertical="top" wrapText="1"/>
    </xf>
    <xf numFmtId="4" fontId="43" fillId="0" borderId="59" xfId="0" applyNumberFormat="1" applyFont="1" applyBorder="1" applyAlignment="1">
      <alignment horizontal="right" vertical="top" wrapText="1"/>
    </xf>
    <xf numFmtId="4" fontId="33" fillId="0" borderId="59" xfId="0" applyNumberFormat="1" applyFont="1" applyBorder="1" applyAlignment="1">
      <alignment vertical="top"/>
    </xf>
    <xf numFmtId="4" fontId="43" fillId="0" borderId="68" xfId="0" applyNumberFormat="1" applyFont="1" applyBorder="1" applyAlignment="1">
      <alignment horizontal="right" vertical="top" wrapText="1"/>
    </xf>
    <xf numFmtId="4" fontId="35" fillId="3" borderId="4" xfId="0" applyNumberFormat="1" applyFont="1" applyFill="1" applyBorder="1" applyAlignment="1">
      <alignment horizontal="right" vertical="top" wrapText="1"/>
    </xf>
    <xf numFmtId="4" fontId="43" fillId="0" borderId="65" xfId="0" applyNumberFormat="1" applyFont="1" applyBorder="1" applyAlignment="1">
      <alignment horizontal="right" vertical="top" wrapText="1"/>
    </xf>
    <xf numFmtId="4" fontId="33" fillId="0" borderId="65" xfId="0" applyNumberFormat="1" applyFont="1" applyBorder="1" applyAlignment="1">
      <alignment vertical="top"/>
    </xf>
    <xf numFmtId="4" fontId="43" fillId="0" borderId="80" xfId="0" applyNumberFormat="1" applyFont="1" applyBorder="1" applyAlignment="1">
      <alignment horizontal="right" vertical="top" wrapText="1"/>
    </xf>
    <xf numFmtId="4" fontId="33" fillId="0" borderId="80" xfId="0" applyNumberFormat="1" applyFont="1" applyBorder="1" applyAlignment="1">
      <alignment vertical="top"/>
    </xf>
    <xf numFmtId="4" fontId="46" fillId="0" borderId="59" xfId="0" applyNumberFormat="1" applyFont="1" applyBorder="1" applyAlignment="1">
      <alignment horizontal="right" vertical="top" wrapText="1"/>
    </xf>
    <xf numFmtId="4" fontId="46" fillId="0" borderId="80" xfId="0" applyNumberFormat="1" applyFont="1" applyBorder="1" applyAlignment="1">
      <alignment horizontal="right" vertical="top" wrapText="1"/>
    </xf>
    <xf numFmtId="0" fontId="32" fillId="0" borderId="0" xfId="0" applyNumberFormat="1" applyFont="1" applyFill="1" applyAlignment="1">
      <alignment horizontal="left"/>
    </xf>
    <xf numFmtId="4" fontId="17" fillId="2" borderId="59" xfId="0" applyNumberFormat="1" applyFont="1" applyFill="1" applyBorder="1" applyAlignment="1">
      <alignment vertical="top" wrapText="1"/>
    </xf>
    <xf numFmtId="4" fontId="21" fillId="0" borderId="65" xfId="0" applyNumberFormat="1" applyFont="1" applyBorder="1" applyAlignment="1">
      <alignment vertical="top"/>
    </xf>
    <xf numFmtId="4" fontId="21" fillId="0" borderId="59" xfId="0" applyNumberFormat="1" applyFont="1" applyBorder="1" applyAlignment="1">
      <alignment vertical="top"/>
    </xf>
    <xf numFmtId="4" fontId="21" fillId="0" borderId="80" xfId="0" applyNumberFormat="1" applyFont="1" applyBorder="1" applyAlignment="1">
      <alignment vertical="top"/>
    </xf>
    <xf numFmtId="3" fontId="19" fillId="0" borderId="78" xfId="0" applyNumberFormat="1" applyFont="1" applyBorder="1">
      <alignment vertical="top"/>
    </xf>
    <xf numFmtId="3" fontId="19" fillId="0" borderId="65" xfId="0" applyNumberFormat="1" applyFont="1" applyBorder="1">
      <alignment vertical="top"/>
    </xf>
    <xf numFmtId="3" fontId="19" fillId="0" borderId="70" xfId="0" applyNumberFormat="1" applyFont="1" applyBorder="1">
      <alignment vertical="top"/>
    </xf>
    <xf numFmtId="3" fontId="19" fillId="0" borderId="59" xfId="0" applyNumberFormat="1" applyFont="1" applyBorder="1">
      <alignment vertical="top"/>
    </xf>
    <xf numFmtId="3" fontId="19" fillId="0" borderId="72" xfId="0" applyNumberFormat="1" applyFont="1" applyBorder="1">
      <alignment vertical="top"/>
    </xf>
    <xf numFmtId="3" fontId="19" fillId="0" borderId="68" xfId="0" applyNumberFormat="1" applyFont="1" applyBorder="1">
      <alignment vertical="top"/>
    </xf>
    <xf numFmtId="4" fontId="34" fillId="4" borderId="4" xfId="0" applyFont="1" applyFill="1" applyBorder="1" applyAlignment="1">
      <alignment horizontal="center"/>
    </xf>
    <xf numFmtId="4" fontId="33" fillId="0" borderId="65" xfId="0" applyNumberFormat="1" applyFont="1" applyBorder="1" applyAlignment="1">
      <alignment horizontal="right" vertical="top" wrapText="1"/>
    </xf>
    <xf numFmtId="4" fontId="33" fillId="0" borderId="59" xfId="0" applyNumberFormat="1" applyFont="1" applyBorder="1" applyAlignment="1">
      <alignment horizontal="right" vertical="top" wrapText="1"/>
    </xf>
    <xf numFmtId="4" fontId="35" fillId="0" borderId="65" xfId="0" applyFont="1" applyBorder="1" applyAlignment="1">
      <alignment vertical="top" wrapText="1"/>
    </xf>
    <xf numFmtId="4" fontId="33" fillId="0" borderId="65" xfId="0" applyFont="1" applyBorder="1" applyAlignment="1">
      <alignment vertical="top"/>
    </xf>
    <xf numFmtId="4" fontId="35" fillId="0" borderId="59" xfId="0" applyFont="1" applyBorder="1" applyAlignment="1">
      <alignment vertical="top" wrapText="1"/>
    </xf>
    <xf numFmtId="4" fontId="33" fillId="0" borderId="59" xfId="0" applyFont="1" applyBorder="1" applyAlignment="1">
      <alignment vertical="top"/>
    </xf>
    <xf numFmtId="4" fontId="35" fillId="0" borderId="80" xfId="0" applyFont="1" applyBorder="1" applyAlignment="1">
      <alignment vertical="top" wrapText="1"/>
    </xf>
    <xf numFmtId="4" fontId="33" fillId="0" borderId="80" xfId="0" applyFont="1" applyBorder="1" applyAlignment="1">
      <alignment vertical="top"/>
    </xf>
    <xf numFmtId="4" fontId="46" fillId="0" borderId="65" xfId="0" applyNumberFormat="1" applyFont="1" applyBorder="1" applyAlignment="1">
      <alignment horizontal="right" vertical="top" wrapText="1"/>
    </xf>
    <xf numFmtId="4" fontId="10" fillId="0" borderId="65" xfId="0" applyFont="1" applyBorder="1" applyAlignment="1">
      <alignment vertical="top" wrapText="1"/>
    </xf>
    <xf numFmtId="4" fontId="47" fillId="0" borderId="65" xfId="0" applyNumberFormat="1" applyFont="1" applyBorder="1" applyAlignment="1">
      <alignment horizontal="right" vertical="top" wrapText="1"/>
    </xf>
    <xf numFmtId="4" fontId="10" fillId="0" borderId="59" xfId="0" applyFont="1" applyBorder="1" applyAlignment="1">
      <alignment vertical="top" wrapText="1"/>
    </xf>
    <xf numFmtId="4" fontId="47" fillId="0" borderId="59" xfId="0" applyNumberFormat="1" applyFont="1" applyBorder="1" applyAlignment="1">
      <alignment horizontal="right" vertical="top" wrapText="1"/>
    </xf>
    <xf numFmtId="4" fontId="10" fillId="0" borderId="80" xfId="0" applyFont="1" applyBorder="1" applyAlignment="1">
      <alignment vertical="top" wrapText="1"/>
    </xf>
    <xf numFmtId="3" fontId="5" fillId="0" borderId="70" xfId="2" applyNumberFormat="1" applyFont="1" applyBorder="1" applyAlignment="1">
      <alignment horizontal="right"/>
    </xf>
    <xf numFmtId="3" fontId="5" fillId="0" borderId="59" xfId="2" applyNumberFormat="1" applyFont="1" applyBorder="1" applyAlignment="1">
      <alignment horizontal="right"/>
    </xf>
    <xf numFmtId="4" fontId="5" fillId="0" borderId="59" xfId="2" applyNumberFormat="1" applyFont="1" applyFill="1" applyBorder="1"/>
    <xf numFmtId="3" fontId="5" fillId="0" borderId="71" xfId="2" applyNumberFormat="1" applyFont="1" applyBorder="1" applyAlignment="1">
      <alignment horizontal="right"/>
    </xf>
    <xf numFmtId="3" fontId="5" fillId="0" borderId="72" xfId="2" applyNumberFormat="1" applyFont="1" applyBorder="1" applyAlignment="1">
      <alignment horizontal="right"/>
    </xf>
    <xf numFmtId="3" fontId="5" fillId="0" borderId="73" xfId="2" applyNumberFormat="1" applyFont="1" applyBorder="1" applyAlignment="1">
      <alignment horizontal="right"/>
    </xf>
    <xf numFmtId="3" fontId="6" fillId="0" borderId="42" xfId="2" applyFont="1" applyBorder="1" applyAlignment="1">
      <alignment horizontal="left"/>
    </xf>
    <xf numFmtId="3" fontId="7" fillId="0" borderId="87" xfId="2" applyFont="1" applyBorder="1" applyAlignment="1">
      <alignment horizontal="center"/>
    </xf>
    <xf numFmtId="3" fontId="7" fillId="0" borderId="43" xfId="2" applyFont="1" applyBorder="1" applyAlignment="1">
      <alignment horizontal="center"/>
    </xf>
    <xf numFmtId="49" fontId="7" fillId="0" borderId="43" xfId="2" applyNumberFormat="1" applyFont="1" applyBorder="1" applyAlignment="1">
      <alignment horizontal="center"/>
    </xf>
    <xf numFmtId="3" fontId="6" fillId="0" borderId="75" xfId="2" applyNumberFormat="1" applyFont="1" applyBorder="1" applyAlignment="1">
      <alignment horizontal="right"/>
    </xf>
    <xf numFmtId="3" fontId="6" fillId="0" borderId="75" xfId="2" applyNumberFormat="1" applyFont="1" applyBorder="1" applyAlignment="1"/>
    <xf numFmtId="3" fontId="5" fillId="0" borderId="57" xfId="2" applyNumberFormat="1" applyFont="1" applyBorder="1" applyAlignment="1">
      <alignment horizontal="right"/>
    </xf>
    <xf numFmtId="3" fontId="5" fillId="0" borderId="66" xfId="2" applyNumberFormat="1" applyFont="1" applyBorder="1" applyAlignment="1">
      <alignment horizontal="right"/>
    </xf>
    <xf numFmtId="3" fontId="9" fillId="0" borderId="75" xfId="2" applyNumberFormat="1" applyFont="1" applyBorder="1" applyAlignment="1">
      <alignment horizontal="right"/>
    </xf>
    <xf numFmtId="3" fontId="9" fillId="0" borderId="89" xfId="2" applyFont="1" applyBorder="1" applyAlignment="1">
      <alignment horizontal="center"/>
    </xf>
    <xf numFmtId="3" fontId="6" fillId="0" borderId="90" xfId="2" applyFont="1" applyBorder="1" applyAlignment="1">
      <alignment horizontal="left"/>
    </xf>
    <xf numFmtId="3" fontId="9" fillId="0" borderId="91" xfId="2" applyFont="1" applyBorder="1" applyAlignment="1">
      <alignment horizontal="left"/>
    </xf>
    <xf numFmtId="49" fontId="6" fillId="0" borderId="89" xfId="2" applyNumberFormat="1" applyFont="1" applyFill="1" applyBorder="1" applyAlignment="1">
      <alignment horizontal="center"/>
    </xf>
    <xf numFmtId="3" fontId="6" fillId="0" borderId="75" xfId="2" applyFont="1" applyBorder="1" applyAlignment="1">
      <alignment horizontal="left"/>
    </xf>
    <xf numFmtId="3" fontId="6" fillId="0" borderId="84" xfId="2" applyFont="1" applyBorder="1" applyAlignment="1">
      <alignment horizontal="left"/>
    </xf>
    <xf numFmtId="3" fontId="6" fillId="0" borderId="89" xfId="2" applyFont="1" applyBorder="1" applyAlignment="1">
      <alignment horizontal="center"/>
    </xf>
    <xf numFmtId="3" fontId="6" fillId="0" borderId="91" xfId="2" applyFont="1" applyBorder="1" applyAlignment="1">
      <alignment horizontal="left"/>
    </xf>
    <xf numFmtId="3" fontId="6" fillId="0" borderId="70" xfId="2" applyNumberFormat="1" applyFont="1" applyBorder="1" applyAlignment="1">
      <alignment horizontal="right"/>
    </xf>
    <xf numFmtId="3" fontId="6" fillId="0" borderId="70" xfId="2" applyNumberFormat="1" applyFont="1" applyBorder="1" applyAlignment="1"/>
    <xf numFmtId="3" fontId="6" fillId="0" borderId="72" xfId="2" applyNumberFormat="1" applyFont="1" applyBorder="1" applyAlignment="1">
      <alignment horizontal="right"/>
    </xf>
    <xf numFmtId="3" fontId="9" fillId="0" borderId="70" xfId="2" applyNumberFormat="1" applyFont="1" applyBorder="1" applyAlignment="1">
      <alignment horizontal="right"/>
    </xf>
    <xf numFmtId="3" fontId="9" fillId="0" borderId="72" xfId="2" applyNumberFormat="1" applyFont="1" applyBorder="1" applyAlignment="1">
      <alignment horizontal="right"/>
    </xf>
    <xf numFmtId="3" fontId="6" fillId="0" borderId="75" xfId="2" applyNumberFormat="1" applyFont="1" applyBorder="1"/>
    <xf numFmtId="3" fontId="9" fillId="0" borderId="92" xfId="2" applyNumberFormat="1" applyFont="1" applyBorder="1" applyAlignment="1">
      <alignment horizontal="right"/>
    </xf>
    <xf numFmtId="3" fontId="6" fillId="0" borderId="76" xfId="2" applyNumberFormat="1" applyFont="1" applyBorder="1" applyAlignment="1">
      <alignment horizontal="right"/>
    </xf>
    <xf numFmtId="3" fontId="5" fillId="0" borderId="58" xfId="2" applyNumberFormat="1" applyFont="1" applyBorder="1" applyAlignment="1">
      <alignment horizontal="right"/>
    </xf>
    <xf numFmtId="3" fontId="5" fillId="0" borderId="93" xfId="2" applyNumberFormat="1" applyFont="1" applyBorder="1" applyAlignment="1">
      <alignment horizontal="right"/>
    </xf>
    <xf numFmtId="3" fontId="5" fillId="0" borderId="58" xfId="2" applyNumberFormat="1" applyFont="1" applyFill="1" applyBorder="1"/>
    <xf numFmtId="3" fontId="5" fillId="0" borderId="93" xfId="0" applyNumberFormat="1" applyFont="1" applyBorder="1">
      <alignment vertical="top"/>
    </xf>
    <xf numFmtId="3" fontId="6" fillId="0" borderId="92" xfId="2" applyNumberFormat="1" applyFont="1" applyBorder="1" applyAlignment="1">
      <alignment horizontal="right"/>
    </xf>
    <xf numFmtId="3" fontId="5" fillId="0" borderId="58" xfId="2" applyNumberFormat="1" applyFont="1" applyBorder="1" applyAlignment="1"/>
    <xf numFmtId="3" fontId="8" fillId="0" borderId="58" xfId="2" applyNumberFormat="1" applyFont="1" applyFill="1" applyBorder="1" applyAlignment="1">
      <alignment horizontal="center"/>
    </xf>
    <xf numFmtId="3" fontId="5" fillId="0" borderId="58" xfId="0" applyNumberFormat="1" applyFont="1" applyBorder="1">
      <alignment vertical="top"/>
    </xf>
    <xf numFmtId="3" fontId="19" fillId="0" borderId="79" xfId="0" applyNumberFormat="1" applyFont="1" applyBorder="1">
      <alignment vertical="top"/>
    </xf>
    <xf numFmtId="4" fontId="19" fillId="0" borderId="59" xfId="0" applyNumberFormat="1" applyFont="1" applyBorder="1">
      <alignment vertical="top"/>
    </xf>
    <xf numFmtId="4" fontId="19" fillId="0" borderId="71" xfId="0" applyNumberFormat="1" applyFont="1" applyBorder="1">
      <alignment vertical="top"/>
    </xf>
    <xf numFmtId="4" fontId="8" fillId="0" borderId="68" xfId="2" applyNumberFormat="1" applyFont="1" applyFill="1" applyBorder="1"/>
    <xf numFmtId="3" fontId="19" fillId="0" borderId="73" xfId="0" applyNumberFormat="1" applyFont="1" applyBorder="1">
      <alignment vertical="top"/>
    </xf>
    <xf numFmtId="4" fontId="8" fillId="0" borderId="59" xfId="2" applyNumberFormat="1" applyFont="1" applyFill="1" applyBorder="1"/>
    <xf numFmtId="3" fontId="6" fillId="0" borderId="69" xfId="2" applyNumberFormat="1" applyFont="1" applyBorder="1"/>
    <xf numFmtId="3" fontId="5" fillId="0" borderId="69" xfId="2" applyNumberFormat="1" applyFont="1" applyBorder="1"/>
    <xf numFmtId="3" fontId="5" fillId="0" borderId="68" xfId="2" applyNumberFormat="1" applyFont="1" applyBorder="1" applyAlignment="1">
      <alignment horizontal="right"/>
    </xf>
    <xf numFmtId="4" fontId="5" fillId="0" borderId="68" xfId="2" applyNumberFormat="1" applyFont="1" applyFill="1" applyBorder="1"/>
    <xf numFmtId="3" fontId="6" fillId="0" borderId="69" xfId="2" applyNumberFormat="1" applyFont="1" applyBorder="1" applyAlignment="1">
      <alignment horizontal="right"/>
    </xf>
    <xf numFmtId="3" fontId="5" fillId="0" borderId="69" xfId="2" applyNumberFormat="1" applyFont="1" applyFill="1" applyBorder="1"/>
    <xf numFmtId="3" fontId="5" fillId="0" borderId="70" xfId="2" applyNumberFormat="1" applyFont="1" applyBorder="1" applyAlignment="1"/>
    <xf numFmtId="3" fontId="5" fillId="0" borderId="59" xfId="2" applyNumberFormat="1" applyFont="1" applyBorder="1" applyAlignment="1"/>
    <xf numFmtId="3" fontId="5" fillId="0" borderId="71" xfId="2" applyNumberFormat="1" applyFont="1" applyBorder="1" applyAlignment="1"/>
    <xf numFmtId="3" fontId="5" fillId="0" borderId="59" xfId="2" applyNumberFormat="1" applyFont="1" applyFill="1" applyBorder="1"/>
    <xf numFmtId="3" fontId="5" fillId="0" borderId="57" xfId="2" applyNumberFormat="1" applyFont="1" applyFill="1" applyBorder="1" applyAlignment="1">
      <alignment horizontal="right"/>
    </xf>
    <xf numFmtId="3" fontId="5" fillId="0" borderId="70" xfId="2" applyNumberFormat="1" applyFont="1" applyFill="1" applyBorder="1"/>
    <xf numFmtId="3" fontId="5" fillId="0" borderId="57" xfId="2" applyNumberFormat="1" applyFont="1" applyFill="1" applyBorder="1"/>
    <xf numFmtId="3" fontId="5" fillId="0" borderId="71" xfId="2" applyNumberFormat="1" applyFont="1" applyFill="1" applyBorder="1"/>
    <xf numFmtId="3" fontId="5" fillId="0" borderId="59" xfId="2" applyNumberFormat="1" applyFont="1" applyFill="1" applyBorder="1" applyAlignment="1">
      <alignment horizontal="right"/>
    </xf>
    <xf numFmtId="3" fontId="5" fillId="0" borderId="70" xfId="2" applyNumberFormat="1" applyFont="1" applyFill="1" applyBorder="1" applyAlignment="1">
      <alignment horizontal="right"/>
    </xf>
    <xf numFmtId="3" fontId="8" fillId="0" borderId="70" xfId="2" applyNumberFormat="1" applyFont="1" applyFill="1" applyBorder="1" applyAlignment="1">
      <alignment horizontal="center"/>
    </xf>
    <xf numFmtId="3" fontId="8" fillId="0" borderId="59" xfId="2" applyNumberFormat="1" applyFont="1" applyFill="1" applyBorder="1" applyAlignment="1">
      <alignment horizontal="center"/>
    </xf>
    <xf numFmtId="3" fontId="8" fillId="0" borderId="71" xfId="2" applyNumberFormat="1" applyFont="1" applyFill="1" applyBorder="1" applyAlignment="1">
      <alignment horizontal="center"/>
    </xf>
    <xf numFmtId="3" fontId="5" fillId="0" borderId="59" xfId="0" applyNumberFormat="1" applyFont="1" applyBorder="1" applyAlignment="1">
      <alignment horizontal="right" vertical="top"/>
    </xf>
    <xf numFmtId="3" fontId="5" fillId="0" borderId="57" xfId="0" applyNumberFormat="1" applyFont="1" applyBorder="1" applyAlignment="1">
      <alignment horizontal="right" vertical="top"/>
    </xf>
    <xf numFmtId="3" fontId="5" fillId="0" borderId="70" xfId="0" applyNumberFormat="1" applyFont="1" applyBorder="1" applyAlignment="1">
      <alignment horizontal="right" vertical="top"/>
    </xf>
    <xf numFmtId="3" fontId="5" fillId="0" borderId="70" xfId="0" applyNumberFormat="1" applyFont="1" applyBorder="1">
      <alignment vertical="top"/>
    </xf>
    <xf numFmtId="3" fontId="5" fillId="0" borderId="59" xfId="0" applyNumberFormat="1" applyFont="1" applyBorder="1">
      <alignment vertical="top"/>
    </xf>
    <xf numFmtId="3" fontId="5" fillId="0" borderId="71" xfId="0" applyNumberFormat="1" applyFont="1" applyBorder="1">
      <alignment vertical="top"/>
    </xf>
    <xf numFmtId="3" fontId="6" fillId="0" borderId="72" xfId="2" applyNumberFormat="1" applyFont="1" applyFill="1" applyBorder="1"/>
    <xf numFmtId="3" fontId="5" fillId="0" borderId="68" xfId="0" applyNumberFormat="1" applyFont="1" applyBorder="1">
      <alignment vertical="top"/>
    </xf>
    <xf numFmtId="3" fontId="5" fillId="0" borderId="66" xfId="0" applyNumberFormat="1" applyFont="1" applyBorder="1">
      <alignment vertical="top"/>
    </xf>
    <xf numFmtId="3" fontId="5" fillId="0" borderId="72" xfId="0" applyNumberFormat="1" applyFont="1" applyBorder="1">
      <alignment vertical="top"/>
    </xf>
    <xf numFmtId="3" fontId="5" fillId="0" borderId="73" xfId="0" applyNumberFormat="1" applyFont="1" applyBorder="1">
      <alignment vertical="top"/>
    </xf>
    <xf numFmtId="4" fontId="4" fillId="0" borderId="70" xfId="0" applyFont="1" applyBorder="1">
      <alignment vertical="top"/>
    </xf>
    <xf numFmtId="1" fontId="19" fillId="0" borderId="70" xfId="0" applyNumberFormat="1" applyFont="1" applyBorder="1">
      <alignment vertical="top"/>
    </xf>
    <xf numFmtId="1" fontId="19" fillId="0" borderId="59" xfId="0" applyNumberFormat="1" applyFont="1" applyBorder="1">
      <alignment vertical="top"/>
    </xf>
    <xf numFmtId="1" fontId="19" fillId="0" borderId="72" xfId="0" applyNumberFormat="1" applyFont="1" applyBorder="1">
      <alignment vertical="top"/>
    </xf>
    <xf numFmtId="1" fontId="19" fillId="0" borderId="68" xfId="0" applyNumberFormat="1" applyFont="1" applyBorder="1">
      <alignment vertical="top"/>
    </xf>
    <xf numFmtId="1" fontId="19" fillId="0" borderId="71" xfId="0" applyNumberFormat="1" applyFont="1" applyBorder="1">
      <alignment vertical="top"/>
    </xf>
    <xf numFmtId="1" fontId="19" fillId="0" borderId="73" xfId="0" applyNumberFormat="1" applyFont="1" applyBorder="1">
      <alignment vertical="top"/>
    </xf>
    <xf numFmtId="3" fontId="5" fillId="0" borderId="70" xfId="2" applyNumberFormat="1" applyFont="1" applyFill="1" applyBorder="1" applyAlignment="1">
      <alignment horizontal="center"/>
    </xf>
    <xf numFmtId="3" fontId="5" fillId="0" borderId="59" xfId="2" applyNumberFormat="1" applyFont="1" applyFill="1" applyBorder="1" applyAlignment="1">
      <alignment horizontal="center"/>
    </xf>
    <xf numFmtId="3" fontId="19" fillId="0" borderId="71" xfId="0" applyNumberFormat="1" applyFont="1" applyBorder="1">
      <alignment vertical="top"/>
    </xf>
    <xf numFmtId="3" fontId="5" fillId="0" borderId="62" xfId="2" applyNumberFormat="1" applyFont="1" applyBorder="1"/>
    <xf numFmtId="3" fontId="5" fillId="0" borderId="62" xfId="2" applyNumberFormat="1" applyFont="1" applyFill="1" applyBorder="1" applyAlignment="1">
      <alignment horizontal="right"/>
    </xf>
    <xf numFmtId="3" fontId="5" fillId="0" borderId="62" xfId="2" applyNumberFormat="1" applyFont="1" applyFill="1" applyBorder="1"/>
    <xf numFmtId="3" fontId="5" fillId="0" borderId="13" xfId="2" applyNumberFormat="1" applyFont="1" applyFill="1" applyBorder="1" applyAlignment="1">
      <alignment horizontal="center"/>
    </xf>
    <xf numFmtId="3" fontId="19" fillId="0" borderId="69" xfId="0" applyNumberFormat="1" applyFont="1" applyBorder="1">
      <alignment vertical="top"/>
    </xf>
    <xf numFmtId="3" fontId="5" fillId="0" borderId="71" xfId="2" applyNumberFormat="1" applyFont="1" applyFill="1" applyBorder="1" applyAlignment="1">
      <alignment horizontal="right"/>
    </xf>
    <xf numFmtId="3" fontId="5" fillId="0" borderId="71" xfId="2" applyNumberFormat="1" applyFont="1" applyFill="1" applyBorder="1" applyAlignment="1">
      <alignment horizontal="center"/>
    </xf>
    <xf numFmtId="3" fontId="5" fillId="0" borderId="72" xfId="0" applyNumberFormat="1" applyFont="1" applyBorder="1" applyAlignment="1">
      <alignment horizontal="right" vertical="top"/>
    </xf>
    <xf numFmtId="3" fontId="5" fillId="0" borderId="68" xfId="0" applyNumberFormat="1" applyFont="1" applyBorder="1" applyAlignment="1">
      <alignment horizontal="right" vertical="top"/>
    </xf>
    <xf numFmtId="4" fontId="19" fillId="0" borderId="70" xfId="0" applyNumberFormat="1" applyFont="1" applyBorder="1">
      <alignment vertical="top"/>
    </xf>
    <xf numFmtId="3" fontId="5" fillId="0" borderId="71" xfId="0" applyNumberFormat="1" applyFont="1" applyBorder="1" applyAlignment="1">
      <alignment horizontal="right" vertical="top"/>
    </xf>
    <xf numFmtId="3" fontId="5" fillId="0" borderId="73" xfId="0" applyNumberFormat="1" applyFont="1" applyBorder="1" applyAlignment="1">
      <alignment horizontal="right" vertical="top"/>
    </xf>
    <xf numFmtId="3" fontId="6" fillId="0" borderId="42" xfId="2" applyFont="1" applyFill="1" applyBorder="1" applyAlignment="1">
      <alignment horizontal="center"/>
    </xf>
    <xf numFmtId="3" fontId="6" fillId="0" borderId="42" xfId="2" applyFont="1" applyFill="1" applyBorder="1" applyAlignment="1">
      <alignment horizontal="left"/>
    </xf>
    <xf numFmtId="3" fontId="6" fillId="0" borderId="75" xfId="2" applyFont="1" applyFill="1" applyBorder="1" applyAlignment="1">
      <alignment horizontal="left"/>
    </xf>
    <xf numFmtId="3" fontId="6" fillId="0" borderId="84" xfId="2" applyFont="1" applyFill="1" applyBorder="1" applyAlignment="1">
      <alignment horizontal="left"/>
    </xf>
    <xf numFmtId="4" fontId="5" fillId="0" borderId="0" xfId="0" applyFont="1" applyFill="1">
      <alignment vertical="top"/>
    </xf>
    <xf numFmtId="3" fontId="6" fillId="0" borderId="89" xfId="2" applyFont="1" applyFill="1" applyBorder="1" applyAlignment="1">
      <alignment horizontal="center"/>
    </xf>
    <xf numFmtId="3" fontId="6" fillId="0" borderId="90" xfId="2" applyFont="1" applyFill="1" applyBorder="1" applyAlignment="1">
      <alignment horizontal="left"/>
    </xf>
    <xf numFmtId="3" fontId="6" fillId="0" borderId="91" xfId="2" applyFont="1" applyFill="1" applyBorder="1" applyAlignment="1">
      <alignment horizontal="left"/>
    </xf>
    <xf numFmtId="3" fontId="5" fillId="0" borderId="16" xfId="2" applyNumberFormat="1" applyFont="1" applyFill="1" applyBorder="1" applyAlignment="1">
      <alignment horizontal="right"/>
    </xf>
    <xf numFmtId="3" fontId="5" fillId="0" borderId="3" xfId="2" applyNumberFormat="1" applyFont="1" applyFill="1" applyBorder="1" applyAlignment="1">
      <alignment horizontal="right"/>
    </xf>
    <xf numFmtId="3" fontId="5" fillId="0" borderId="62" xfId="2" applyNumberFormat="1" applyFont="1" applyBorder="1" applyAlignment="1">
      <alignment horizontal="right"/>
    </xf>
    <xf numFmtId="3" fontId="5" fillId="0" borderId="66" xfId="2" applyNumberFormat="1" applyFont="1" applyFill="1" applyBorder="1" applyAlignment="1">
      <alignment horizontal="right"/>
    </xf>
    <xf numFmtId="3" fontId="5" fillId="0" borderId="59" xfId="2" applyNumberFormat="1" applyFont="1" applyFill="1" applyBorder="1" applyAlignment="1"/>
    <xf numFmtId="3" fontId="5" fillId="0" borderId="59" xfId="0" applyNumberFormat="1" applyFont="1" applyFill="1" applyBorder="1" applyAlignment="1">
      <alignment horizontal="right" vertical="top"/>
    </xf>
    <xf numFmtId="3" fontId="19" fillId="0" borderId="62" xfId="0" applyNumberFormat="1" applyFont="1" applyBorder="1">
      <alignment vertical="top"/>
    </xf>
    <xf numFmtId="3" fontId="19" fillId="0" borderId="57" xfId="0" applyNumberFormat="1" applyFont="1" applyBorder="1">
      <alignment vertical="top"/>
    </xf>
    <xf numFmtId="3" fontId="19" fillId="0" borderId="66" xfId="0" applyNumberFormat="1" applyFont="1" applyBorder="1">
      <alignment vertical="top"/>
    </xf>
    <xf numFmtId="3" fontId="6" fillId="0" borderId="70" xfId="2" applyNumberFormat="1" applyFont="1" applyFill="1" applyBorder="1" applyAlignment="1">
      <alignment horizontal="right"/>
    </xf>
    <xf numFmtId="3" fontId="6" fillId="0" borderId="70" xfId="2" applyNumberFormat="1" applyFont="1" applyFill="1" applyBorder="1" applyAlignment="1"/>
    <xf numFmtId="3" fontId="5" fillId="0" borderId="71" xfId="2" applyNumberFormat="1" applyFont="1" applyFill="1" applyBorder="1" applyAlignment="1"/>
    <xf numFmtId="3" fontId="5" fillId="0" borderId="57" xfId="0" applyNumberFormat="1" applyFont="1" applyFill="1" applyBorder="1" applyAlignment="1">
      <alignment horizontal="right" vertical="top"/>
    </xf>
    <xf numFmtId="3" fontId="5" fillId="0" borderId="70" xfId="0" applyNumberFormat="1" applyFont="1" applyFill="1" applyBorder="1" applyAlignment="1">
      <alignment horizontal="right" vertical="top"/>
    </xf>
    <xf numFmtId="3" fontId="5" fillId="0" borderId="70" xfId="0" applyNumberFormat="1" applyFont="1" applyFill="1" applyBorder="1">
      <alignment vertical="top"/>
    </xf>
    <xf numFmtId="3" fontId="5" fillId="0" borderId="59" xfId="0" applyNumberFormat="1" applyFont="1" applyFill="1" applyBorder="1" applyAlignment="1">
      <alignment vertical="top"/>
    </xf>
    <xf numFmtId="3" fontId="5" fillId="0" borderId="71" xfId="0" applyNumberFormat="1" applyFont="1" applyFill="1" applyBorder="1" applyAlignment="1">
      <alignment vertical="top"/>
    </xf>
    <xf numFmtId="3" fontId="6" fillId="0" borderId="78" xfId="2" applyNumberFormat="1" applyFont="1" applyBorder="1"/>
    <xf numFmtId="3" fontId="5" fillId="0" borderId="65" xfId="2" applyNumberFormat="1" applyFont="1" applyBorder="1"/>
    <xf numFmtId="4" fontId="5" fillId="0" borderId="65" xfId="2" applyNumberFormat="1" applyFont="1" applyFill="1" applyBorder="1"/>
    <xf numFmtId="3" fontId="5" fillId="0" borderId="82" xfId="2" applyNumberFormat="1" applyFont="1" applyBorder="1"/>
    <xf numFmtId="3" fontId="5" fillId="0" borderId="78" xfId="2" applyNumberFormat="1" applyFont="1" applyBorder="1"/>
    <xf numFmtId="3" fontId="9" fillId="0" borderId="47" xfId="2" applyNumberFormat="1" applyFont="1" applyBorder="1" applyAlignment="1">
      <alignment horizontal="right"/>
    </xf>
    <xf numFmtId="3" fontId="5" fillId="0" borderId="80" xfId="2" applyNumberFormat="1" applyFont="1" applyBorder="1" applyAlignment="1">
      <alignment horizontal="right"/>
    </xf>
    <xf numFmtId="4" fontId="5" fillId="0" borderId="80" xfId="2" applyNumberFormat="1" applyFont="1" applyFill="1" applyBorder="1"/>
    <xf numFmtId="3" fontId="5" fillId="0" borderId="94" xfId="2" applyNumberFormat="1" applyFont="1" applyBorder="1" applyAlignment="1">
      <alignment horizontal="right"/>
    </xf>
    <xf numFmtId="3" fontId="5" fillId="0" borderId="47" xfId="2" applyNumberFormat="1" applyFont="1" applyBorder="1" applyAlignment="1">
      <alignment horizontal="right"/>
    </xf>
    <xf numFmtId="3" fontId="5" fillId="0" borderId="48" xfId="2" applyNumberFormat="1" applyFont="1" applyBorder="1" applyAlignment="1">
      <alignment horizontal="right"/>
    </xf>
    <xf numFmtId="3" fontId="6" fillId="0" borderId="78" xfId="2" applyNumberFormat="1" applyFont="1" applyBorder="1" applyAlignment="1">
      <alignment horizontal="right"/>
    </xf>
    <xf numFmtId="3" fontId="5" fillId="0" borderId="65" xfId="2" applyNumberFormat="1" applyFont="1" applyFill="1" applyBorder="1"/>
    <xf numFmtId="3" fontId="5" fillId="0" borderId="82" xfId="2" applyNumberFormat="1" applyFont="1" applyFill="1" applyBorder="1"/>
    <xf numFmtId="3" fontId="5" fillId="0" borderId="78" xfId="2" applyNumberFormat="1" applyFont="1" applyFill="1" applyBorder="1"/>
    <xf numFmtId="3" fontId="5" fillId="0" borderId="79" xfId="2" applyNumberFormat="1" applyFont="1" applyFill="1" applyBorder="1"/>
    <xf numFmtId="3" fontId="6" fillId="0" borderId="47" xfId="2" applyNumberFormat="1" applyFont="1" applyFill="1" applyBorder="1"/>
    <xf numFmtId="3" fontId="5" fillId="0" borderId="80" xfId="0" applyNumberFormat="1" applyFont="1" applyFill="1" applyBorder="1">
      <alignment vertical="top"/>
    </xf>
    <xf numFmtId="3" fontId="5" fillId="0" borderId="94" xfId="0" applyNumberFormat="1" applyFont="1" applyFill="1" applyBorder="1">
      <alignment vertical="top"/>
    </xf>
    <xf numFmtId="3" fontId="5" fillId="0" borderId="47" xfId="0" applyNumberFormat="1" applyFont="1" applyFill="1" applyBorder="1">
      <alignment vertical="top"/>
    </xf>
    <xf numFmtId="3" fontId="5" fillId="0" borderId="80" xfId="0" applyNumberFormat="1" applyFont="1" applyFill="1" applyBorder="1" applyAlignment="1">
      <alignment vertical="top"/>
    </xf>
    <xf numFmtId="3" fontId="5" fillId="0" borderId="48" xfId="0" applyNumberFormat="1" applyFont="1" applyFill="1" applyBorder="1" applyAlignment="1">
      <alignment vertical="top"/>
    </xf>
    <xf numFmtId="3" fontId="6" fillId="4" borderId="4" xfId="2" applyNumberFormat="1" applyFont="1" applyFill="1" applyBorder="1" applyAlignment="1"/>
    <xf numFmtId="4" fontId="5" fillId="4" borderId="4" xfId="2" applyNumberFormat="1" applyFont="1" applyFill="1" applyBorder="1" applyAlignment="1"/>
    <xf numFmtId="3" fontId="5" fillId="0" borderId="70" xfId="2" applyNumberFormat="1" applyFont="1" applyFill="1" applyBorder="1" applyAlignment="1"/>
    <xf numFmtId="3" fontId="5" fillId="0" borderId="61" xfId="2" applyNumberFormat="1" applyFont="1" applyBorder="1"/>
    <xf numFmtId="3" fontId="5" fillId="0" borderId="59" xfId="2" applyNumberFormat="1" applyFont="1" applyBorder="1"/>
    <xf numFmtId="3" fontId="5" fillId="0" borderId="68" xfId="2" applyNumberFormat="1" applyFont="1" applyFill="1" applyBorder="1"/>
    <xf numFmtId="3" fontId="44" fillId="11" borderId="62" xfId="2" applyNumberFormat="1" applyFont="1" applyFill="1" applyBorder="1"/>
    <xf numFmtId="3" fontId="5" fillId="11" borderId="57" xfId="2" applyNumberFormat="1" applyFont="1" applyFill="1" applyBorder="1" applyAlignment="1">
      <alignment horizontal="right"/>
    </xf>
    <xf numFmtId="3" fontId="5" fillId="0" borderId="66" xfId="0" applyNumberFormat="1" applyFont="1" applyFill="1" applyBorder="1">
      <alignment vertical="top"/>
    </xf>
    <xf numFmtId="4" fontId="34" fillId="4" borderId="4" xfId="0" applyFont="1" applyFill="1" applyBorder="1" applyAlignment="1">
      <alignment horizontal="center"/>
    </xf>
    <xf numFmtId="4" fontId="35" fillId="3" borderId="4" xfId="0" applyFont="1" applyFill="1" applyBorder="1" applyAlignment="1">
      <alignment vertical="top" wrapText="1"/>
    </xf>
    <xf numFmtId="4" fontId="18" fillId="4" borderId="4" xfId="0" applyFont="1" applyFill="1" applyBorder="1" applyAlignment="1">
      <alignment horizontal="center"/>
    </xf>
    <xf numFmtId="4" fontId="34" fillId="4" borderId="4" xfId="0" applyFont="1" applyFill="1" applyBorder="1" applyAlignment="1">
      <alignment horizontal="center"/>
    </xf>
    <xf numFmtId="4" fontId="27" fillId="2" borderId="59" xfId="0" applyNumberFormat="1" applyFont="1" applyFill="1" applyBorder="1" applyAlignment="1">
      <alignment vertical="top" wrapText="1"/>
    </xf>
    <xf numFmtId="4" fontId="27" fillId="2" borderId="4" xfId="0" applyFont="1" applyFill="1" applyBorder="1" applyAlignment="1">
      <alignment vertical="center" wrapText="1"/>
    </xf>
    <xf numFmtId="4" fontId="27" fillId="0" borderId="78" xfId="0" applyFont="1" applyBorder="1" applyAlignment="1">
      <alignment vertical="top" wrapText="1"/>
    </xf>
    <xf numFmtId="4" fontId="26" fillId="0" borderId="65" xfId="0" applyNumberFormat="1" applyFont="1" applyBorder="1" applyAlignment="1">
      <alignment horizontal="right" vertical="top" wrapText="1"/>
    </xf>
    <xf numFmtId="4" fontId="25" fillId="0" borderId="65" xfId="0" applyNumberFormat="1" applyFont="1" applyBorder="1" applyAlignment="1">
      <alignment horizontal="right" vertical="top" wrapText="1"/>
    </xf>
    <xf numFmtId="4" fontId="27" fillId="0" borderId="70" xfId="0" applyFont="1" applyBorder="1" applyAlignment="1">
      <alignment vertical="top" wrapText="1"/>
    </xf>
    <xf numFmtId="4" fontId="26" fillId="0" borderId="59" xfId="0" applyNumberFormat="1" applyFont="1" applyBorder="1" applyAlignment="1">
      <alignment horizontal="right" vertical="top" wrapText="1"/>
    </xf>
    <xf numFmtId="4" fontId="25" fillId="0" borderId="59" xfId="0" applyNumberFormat="1" applyFont="1" applyBorder="1" applyAlignment="1">
      <alignment horizontal="right" vertical="top" wrapText="1"/>
    </xf>
    <xf numFmtId="4" fontId="27" fillId="0" borderId="47" xfId="0" applyFont="1" applyBorder="1" applyAlignment="1">
      <alignment vertical="top" wrapText="1"/>
    </xf>
    <xf numFmtId="4" fontId="26" fillId="0" borderId="80" xfId="0" applyNumberFormat="1" applyFont="1" applyBorder="1" applyAlignment="1">
      <alignment horizontal="right" vertical="top" wrapText="1"/>
    </xf>
    <xf numFmtId="4" fontId="25" fillId="0" borderId="80" xfId="0" applyNumberFormat="1" applyFont="1" applyBorder="1" applyAlignment="1">
      <alignment horizontal="right" vertical="top" wrapText="1"/>
    </xf>
    <xf numFmtId="4" fontId="40" fillId="0" borderId="39" xfId="0" applyFont="1" applyBorder="1" applyAlignment="1">
      <alignment vertical="top" wrapText="1"/>
    </xf>
    <xf numFmtId="4" fontId="35" fillId="4" borderId="26" xfId="0" applyFont="1" applyFill="1" applyBorder="1" applyAlignment="1">
      <alignment vertical="center"/>
    </xf>
    <xf numFmtId="4" fontId="35" fillId="4" borderId="26" xfId="0" applyNumberFormat="1" applyFont="1" applyFill="1" applyBorder="1" applyAlignment="1">
      <alignment horizontal="right" vertical="center"/>
    </xf>
    <xf numFmtId="4" fontId="35" fillId="4" borderId="26" xfId="0" applyNumberFormat="1" applyFont="1" applyFill="1" applyBorder="1" applyAlignment="1">
      <alignment horizontal="center" vertical="center"/>
    </xf>
    <xf numFmtId="4" fontId="11" fillId="0" borderId="39" xfId="0" applyFont="1" applyBorder="1" applyAlignment="1">
      <alignment horizontal="left" vertical="top"/>
    </xf>
    <xf numFmtId="4" fontId="33" fillId="0" borderId="39" xfId="0" applyNumberFormat="1" applyFont="1" applyBorder="1" applyAlignment="1">
      <alignment horizontal="right" vertical="top" wrapText="1"/>
    </xf>
    <xf numFmtId="0" fontId="38" fillId="0" borderId="39" xfId="0" applyNumberFormat="1" applyFont="1" applyBorder="1" applyAlignment="1">
      <alignment vertical="top" wrapText="1"/>
    </xf>
    <xf numFmtId="4" fontId="34" fillId="4" borderId="4" xfId="0" applyFont="1" applyFill="1" applyBorder="1" applyAlignment="1">
      <alignment horizontal="center"/>
    </xf>
    <xf numFmtId="4" fontId="35" fillId="0" borderId="69" xfId="0" applyFont="1" applyBorder="1" applyAlignment="1">
      <alignment vertical="top"/>
    </xf>
    <xf numFmtId="4" fontId="43" fillId="0" borderId="1" xfId="0" applyNumberFormat="1" applyFont="1" applyBorder="1" applyAlignment="1">
      <alignment horizontal="right" vertical="top"/>
    </xf>
    <xf numFmtId="4" fontId="47" fillId="0" borderId="1" xfId="0" applyNumberFormat="1" applyFont="1" applyBorder="1" applyAlignment="1">
      <alignment horizontal="right" vertical="top"/>
    </xf>
    <xf numFmtId="4" fontId="33" fillId="0" borderId="1" xfId="0" applyNumberFormat="1" applyFont="1" applyBorder="1" applyAlignment="1">
      <alignment horizontal="center" vertical="top"/>
    </xf>
    <xf numFmtId="4" fontId="35" fillId="11" borderId="70" xfId="0" applyFont="1" applyFill="1" applyBorder="1" applyAlignment="1">
      <alignment vertical="top"/>
    </xf>
    <xf numFmtId="4" fontId="43" fillId="11" borderId="59" xfId="0" applyNumberFormat="1" applyFont="1" applyFill="1" applyBorder="1" applyAlignment="1">
      <alignment horizontal="right" vertical="top"/>
    </xf>
    <xf numFmtId="4" fontId="33" fillId="11" borderId="59" xfId="0" applyNumberFormat="1" applyFont="1" applyFill="1" applyBorder="1" applyAlignment="1">
      <alignment horizontal="center" vertical="top"/>
    </xf>
    <xf numFmtId="4" fontId="35" fillId="0" borderId="70" xfId="0" applyFont="1" applyBorder="1" applyAlignment="1">
      <alignment vertical="top"/>
    </xf>
    <xf numFmtId="4" fontId="43" fillId="0" borderId="59" xfId="0" applyNumberFormat="1" applyFont="1" applyBorder="1" applyAlignment="1">
      <alignment horizontal="right" vertical="top"/>
    </xf>
    <xf numFmtId="4" fontId="33" fillId="0" borderId="59" xfId="0" applyNumberFormat="1" applyFont="1" applyBorder="1" applyAlignment="1">
      <alignment horizontal="center" vertical="top"/>
    </xf>
    <xf numFmtId="4" fontId="35" fillId="0" borderId="72" xfId="0" applyFont="1" applyBorder="1" applyAlignment="1">
      <alignment vertical="top"/>
    </xf>
    <xf numFmtId="4" fontId="43" fillId="0" borderId="68" xfId="0" applyNumberFormat="1" applyFont="1" applyBorder="1" applyAlignment="1">
      <alignment horizontal="right" vertical="top"/>
    </xf>
    <xf numFmtId="4" fontId="33" fillId="0" borderId="68" xfId="0" applyNumberFormat="1" applyFont="1" applyBorder="1" applyAlignment="1">
      <alignment horizontal="center" vertical="top"/>
    </xf>
    <xf numFmtId="4" fontId="34" fillId="4" borderId="4" xfId="0" applyFont="1" applyFill="1" applyBorder="1" applyAlignment="1">
      <alignment horizontal="center"/>
    </xf>
    <xf numFmtId="4" fontId="18" fillId="4" borderId="4" xfId="0" applyFont="1" applyFill="1" applyBorder="1" applyAlignment="1">
      <alignment horizontal="center"/>
    </xf>
    <xf numFmtId="43" fontId="43" fillId="0" borderId="65" xfId="1" applyFont="1" applyBorder="1" applyAlignment="1">
      <alignment horizontal="right" vertical="top" wrapText="1"/>
    </xf>
    <xf numFmtId="43" fontId="33" fillId="0" borderId="65" xfId="1" applyFont="1" applyBorder="1" applyAlignment="1">
      <alignment horizontal="right" vertical="top" wrapText="1"/>
    </xf>
    <xf numFmtId="4" fontId="33" fillId="0" borderId="80" xfId="0" applyNumberFormat="1" applyFont="1" applyBorder="1" applyAlignment="1">
      <alignment horizontal="right" vertical="top" wrapText="1"/>
    </xf>
    <xf numFmtId="4" fontId="34" fillId="4" borderId="4" xfId="0" applyFont="1" applyFill="1" applyBorder="1" applyAlignment="1">
      <alignment horizontal="center"/>
    </xf>
    <xf numFmtId="4" fontId="18" fillId="4" borderId="4" xfId="0" applyFont="1" applyFill="1" applyBorder="1" applyAlignment="1">
      <alignment horizontal="center"/>
    </xf>
    <xf numFmtId="4" fontId="35" fillId="3" borderId="57" xfId="0" applyNumberFormat="1" applyFont="1" applyFill="1" applyBorder="1" applyAlignment="1">
      <alignment vertical="top" wrapText="1"/>
    </xf>
    <xf numFmtId="4" fontId="45" fillId="0" borderId="0" xfId="0" applyFont="1" applyBorder="1" applyAlignment="1">
      <alignment vertical="center" wrapText="1"/>
    </xf>
    <xf numFmtId="4" fontId="35" fillId="3" borderId="68" xfId="0" applyNumberFormat="1" applyFont="1" applyFill="1" applyBorder="1" applyAlignment="1">
      <alignment vertical="top" wrapText="1"/>
    </xf>
    <xf numFmtId="4" fontId="48" fillId="0" borderId="65" xfId="0" applyNumberFormat="1" applyFont="1" applyBorder="1" applyAlignment="1">
      <alignment horizontal="right" vertical="top" wrapText="1"/>
    </xf>
    <xf numFmtId="4" fontId="48" fillId="0" borderId="59" xfId="0" applyNumberFormat="1" applyFont="1" applyBorder="1" applyAlignment="1">
      <alignment horizontal="right" vertical="top" wrapText="1"/>
    </xf>
    <xf numFmtId="4" fontId="28" fillId="0" borderId="82" xfId="0" applyNumberFormat="1" applyFont="1" applyBorder="1" applyAlignment="1">
      <alignment horizontal="right" vertical="top" wrapText="1"/>
    </xf>
    <xf numFmtId="4" fontId="28" fillId="0" borderId="57" xfId="0" applyNumberFormat="1" applyFont="1" applyBorder="1" applyAlignment="1">
      <alignment horizontal="right" vertical="top" wrapText="1"/>
    </xf>
    <xf numFmtId="4" fontId="48" fillId="0" borderId="80" xfId="0" applyNumberFormat="1" applyFont="1" applyBorder="1" applyAlignment="1">
      <alignment horizontal="right" vertical="top" wrapText="1"/>
    </xf>
    <xf numFmtId="4" fontId="28" fillId="0" borderId="94" xfId="0" applyNumberFormat="1" applyFont="1" applyBorder="1" applyAlignment="1">
      <alignment horizontal="right" vertical="top" wrapText="1"/>
    </xf>
    <xf numFmtId="4" fontId="48" fillId="0" borderId="65" xfId="0" applyNumberFormat="1" applyFont="1" applyFill="1" applyBorder="1" applyAlignment="1">
      <alignment horizontal="right" vertical="top" wrapText="1"/>
    </xf>
    <xf numFmtId="4" fontId="28" fillId="0" borderId="1" xfId="0" applyNumberFormat="1" applyFont="1" applyFill="1" applyBorder="1" applyAlignment="1">
      <alignment horizontal="right" vertical="top" wrapText="1"/>
    </xf>
    <xf numFmtId="4" fontId="48" fillId="0" borderId="59" xfId="0" applyNumberFormat="1" applyFont="1" applyFill="1" applyBorder="1" applyAlignment="1">
      <alignment horizontal="right" vertical="top" wrapText="1"/>
    </xf>
    <xf numFmtId="4" fontId="28" fillId="0" borderId="59" xfId="0" applyNumberFormat="1" applyFont="1" applyFill="1" applyBorder="1" applyAlignment="1">
      <alignment horizontal="right" vertical="top" wrapText="1"/>
    </xf>
    <xf numFmtId="4" fontId="48" fillId="0" borderId="80" xfId="0" applyNumberFormat="1" applyFont="1" applyFill="1" applyBorder="1" applyAlignment="1">
      <alignment horizontal="right" vertical="top" wrapText="1"/>
    </xf>
    <xf numFmtId="4" fontId="28" fillId="0" borderId="68" xfId="0" applyNumberFormat="1" applyFont="1" applyFill="1" applyBorder="1" applyAlignment="1">
      <alignment horizontal="right" vertical="top" wrapText="1"/>
    </xf>
    <xf numFmtId="4" fontId="17" fillId="0" borderId="65" xfId="0" applyFont="1" applyBorder="1" applyAlignment="1">
      <alignment vertical="top" wrapText="1"/>
    </xf>
    <xf numFmtId="4" fontId="17" fillId="0" borderId="59" xfId="0" applyFont="1" applyBorder="1" applyAlignment="1">
      <alignment vertical="top" wrapText="1"/>
    </xf>
    <xf numFmtId="4" fontId="17" fillId="0" borderId="80" xfId="0" applyFont="1" applyBorder="1" applyAlignment="1">
      <alignment vertical="top" wrapText="1"/>
    </xf>
    <xf numFmtId="4" fontId="17" fillId="2" borderId="4" xfId="0" applyFont="1" applyFill="1" applyBorder="1" applyAlignment="1">
      <alignment vertical="top" wrapText="1"/>
    </xf>
    <xf numFmtId="4" fontId="29" fillId="0" borderId="65" xfId="0" applyNumberFormat="1" applyFont="1" applyBorder="1" applyAlignment="1">
      <alignment vertical="top" wrapText="1"/>
    </xf>
    <xf numFmtId="4" fontId="29" fillId="0" borderId="59" xfId="0" applyNumberFormat="1" applyFont="1" applyBorder="1" applyAlignment="1">
      <alignment vertical="top" wrapText="1"/>
    </xf>
    <xf numFmtId="4" fontId="29" fillId="0" borderId="80" xfId="0" applyNumberFormat="1" applyFont="1" applyBorder="1" applyAlignment="1">
      <alignment vertical="top" wrapText="1"/>
    </xf>
    <xf numFmtId="4" fontId="39" fillId="0" borderId="71" xfId="0" applyNumberFormat="1" applyFont="1" applyBorder="1" applyAlignment="1">
      <alignment horizontal="right" vertical="top" wrapText="1"/>
    </xf>
    <xf numFmtId="4" fontId="33" fillId="0" borderId="65" xfId="0" applyNumberFormat="1" applyFont="1" applyBorder="1" applyAlignment="1">
      <alignment horizontal="right" vertical="top"/>
    </xf>
    <xf numFmtId="4" fontId="11" fillId="0" borderId="59" xfId="0" applyFont="1" applyBorder="1" applyAlignment="1">
      <alignment vertical="top"/>
    </xf>
    <xf numFmtId="4" fontId="49" fillId="3" borderId="4" xfId="0" applyNumberFormat="1" applyFont="1" applyFill="1" applyBorder="1" applyAlignment="1">
      <alignment horizontal="right" vertical="top" wrapText="1"/>
    </xf>
    <xf numFmtId="4" fontId="39" fillId="0" borderId="65" xfId="0" applyNumberFormat="1" applyFont="1" applyBorder="1" applyAlignment="1">
      <alignment horizontal="right" vertical="top" wrapText="1"/>
    </xf>
    <xf numFmtId="4" fontId="39" fillId="0" borderId="59" xfId="0" applyNumberFormat="1" applyFont="1" applyBorder="1" applyAlignment="1">
      <alignment horizontal="right" vertical="top" wrapText="1"/>
    </xf>
    <xf numFmtId="4" fontId="39" fillId="0" borderId="80" xfId="0" applyNumberFormat="1" applyFont="1" applyBorder="1" applyAlignment="1">
      <alignment horizontal="right" vertical="top" wrapText="1"/>
    </xf>
    <xf numFmtId="4" fontId="29" fillId="0" borderId="65" xfId="0" applyNumberFormat="1" applyFont="1" applyBorder="1" applyAlignment="1">
      <alignment horizontal="right" vertical="top" wrapText="1"/>
    </xf>
    <xf numFmtId="4" fontId="29" fillId="0" borderId="59" xfId="0" applyNumberFormat="1" applyFont="1" applyBorder="1" applyAlignment="1">
      <alignment horizontal="right" vertical="top" wrapText="1"/>
    </xf>
    <xf numFmtId="4" fontId="29" fillId="0" borderId="80" xfId="0" applyNumberFormat="1" applyFont="1" applyBorder="1" applyAlignment="1">
      <alignment horizontal="right" vertical="top" wrapText="1"/>
    </xf>
    <xf numFmtId="4" fontId="17" fillId="2" borderId="4" xfId="0" applyNumberFormat="1" applyFont="1" applyFill="1" applyBorder="1" applyAlignment="1">
      <alignment horizontal="right" vertical="top" wrapText="1"/>
    </xf>
    <xf numFmtId="4" fontId="21" fillId="0" borderId="65" xfId="0" applyNumberFormat="1" applyFont="1" applyBorder="1" applyAlignment="1">
      <alignment horizontal="right" vertical="top" wrapText="1"/>
    </xf>
    <xf numFmtId="4" fontId="35" fillId="0" borderId="68" xfId="0" applyFont="1" applyBorder="1" applyAlignment="1">
      <alignment vertical="top" wrapText="1"/>
    </xf>
    <xf numFmtId="4" fontId="33" fillId="0" borderId="68" xfId="0" applyNumberFormat="1" applyFont="1" applyBorder="1" applyAlignment="1">
      <alignment horizontal="right" vertical="top" wrapText="1"/>
    </xf>
    <xf numFmtId="4" fontId="34" fillId="4" borderId="4" xfId="0" applyFont="1" applyFill="1" applyBorder="1" applyAlignment="1">
      <alignment horizontal="center"/>
    </xf>
    <xf numFmtId="4" fontId="11" fillId="0" borderId="0" xfId="0" applyFont="1">
      <alignment vertical="top"/>
    </xf>
    <xf numFmtId="4" fontId="17" fillId="0" borderId="78" xfId="0" applyFont="1" applyBorder="1" applyAlignment="1">
      <alignment vertical="top" wrapText="1"/>
    </xf>
    <xf numFmtId="4" fontId="21" fillId="0" borderId="79" xfId="0" applyNumberFormat="1" applyFont="1" applyBorder="1" applyAlignment="1">
      <alignment horizontal="right" vertical="top" wrapText="1"/>
    </xf>
    <xf numFmtId="4" fontId="17" fillId="0" borderId="70" xfId="0" applyFont="1" applyBorder="1" applyAlignment="1">
      <alignment vertical="top" wrapText="1"/>
    </xf>
    <xf numFmtId="4" fontId="21" fillId="0" borderId="71" xfId="0" applyNumberFormat="1" applyFont="1" applyBorder="1" applyAlignment="1">
      <alignment horizontal="right" vertical="top" wrapText="1"/>
    </xf>
    <xf numFmtId="4" fontId="17" fillId="0" borderId="47" xfId="0" applyFont="1" applyBorder="1" applyAlignment="1">
      <alignment vertical="top" wrapText="1"/>
    </xf>
    <xf numFmtId="4" fontId="21" fillId="0" borderId="48" xfId="0" applyNumberFormat="1" applyFont="1" applyBorder="1" applyAlignment="1">
      <alignment horizontal="right" vertical="top" wrapText="1"/>
    </xf>
    <xf numFmtId="4" fontId="13" fillId="0" borderId="0" xfId="0" applyFont="1" applyAlignment="1">
      <alignment horizontal="left" vertical="top"/>
    </xf>
    <xf numFmtId="4" fontId="33" fillId="0" borderId="1" xfId="0" applyNumberFormat="1" applyFont="1" applyBorder="1" applyAlignment="1">
      <alignment vertical="top"/>
    </xf>
    <xf numFmtId="4" fontId="33" fillId="0" borderId="68" xfId="0" applyNumberFormat="1" applyFont="1" applyBorder="1" applyAlignment="1">
      <alignment vertical="top"/>
    </xf>
    <xf numFmtId="4" fontId="11" fillId="6" borderId="94" xfId="0" applyFont="1" applyFill="1" applyBorder="1" applyAlignment="1">
      <alignment horizontal="center" vertical="top" wrapText="1"/>
    </xf>
    <xf numFmtId="4" fontId="11" fillId="6" borderId="95" xfId="0" applyFont="1" applyFill="1" applyBorder="1" applyAlignment="1">
      <alignment horizontal="center" vertical="top" wrapText="1"/>
    </xf>
    <xf numFmtId="4" fontId="11" fillId="6" borderId="81" xfId="0" applyFont="1" applyFill="1" applyBorder="1" applyAlignment="1">
      <alignment horizontal="center" vertical="top" wrapText="1"/>
    </xf>
    <xf numFmtId="4" fontId="11" fillId="6" borderId="82" xfId="0" applyFont="1" applyFill="1" applyBorder="1" applyAlignment="1">
      <alignment horizontal="center" vertical="top" wrapText="1"/>
    </xf>
    <xf numFmtId="4" fontId="11" fillId="6" borderId="83" xfId="0" applyFont="1" applyFill="1" applyBorder="1" applyAlignment="1">
      <alignment horizontal="center" vertical="top" wrapText="1"/>
    </xf>
    <xf numFmtId="4" fontId="11" fillId="6" borderId="77" xfId="0" applyFont="1" applyFill="1" applyBorder="1" applyAlignment="1">
      <alignment horizontal="center" vertical="top" wrapText="1"/>
    </xf>
    <xf numFmtId="4" fontId="33" fillId="5" borderId="4" xfId="0" applyFont="1" applyFill="1" applyBorder="1" applyAlignment="1">
      <alignment horizontal="center" vertical="top"/>
    </xf>
    <xf numFmtId="4" fontId="35" fillId="3" borderId="57" xfId="0" applyFont="1" applyFill="1" applyBorder="1" applyAlignment="1">
      <alignment horizontal="left" vertical="top" wrapText="1"/>
    </xf>
    <xf numFmtId="4" fontId="35" fillId="3" borderId="58" xfId="0" applyFont="1" applyFill="1" applyBorder="1" applyAlignment="1">
      <alignment horizontal="left" vertical="top" wrapText="1"/>
    </xf>
    <xf numFmtId="4" fontId="32" fillId="7" borderId="0" xfId="0" applyFont="1" applyFill="1" applyAlignment="1">
      <alignment horizontal="left"/>
    </xf>
    <xf numFmtId="4" fontId="34" fillId="4" borderId="10" xfId="0" applyFont="1" applyFill="1" applyBorder="1" applyAlignment="1">
      <alignment horizontal="center"/>
    </xf>
    <xf numFmtId="4" fontId="34" fillId="4" borderId="31" xfId="0" applyFont="1" applyFill="1" applyBorder="1" applyAlignment="1">
      <alignment horizontal="center"/>
    </xf>
    <xf numFmtId="4" fontId="34" fillId="4" borderId="4" xfId="0" applyFont="1" applyFill="1" applyBorder="1" applyAlignment="1">
      <alignment horizontal="center"/>
    </xf>
    <xf numFmtId="4" fontId="11" fillId="0" borderId="59" xfId="0" applyFont="1" applyBorder="1" applyAlignment="1">
      <alignment horizontal="left" vertical="top" wrapText="1"/>
    </xf>
    <xf numFmtId="4" fontId="38" fillId="0" borderId="59" xfId="0" applyFont="1" applyBorder="1" applyAlignment="1">
      <alignment horizontal="left" vertical="top" wrapText="1"/>
    </xf>
    <xf numFmtId="4" fontId="34" fillId="4" borderId="4" xfId="0" applyFont="1" applyFill="1" applyBorder="1" applyAlignment="1">
      <alignment horizontal="center" vertical="center"/>
    </xf>
    <xf numFmtId="4" fontId="11" fillId="0" borderId="62" xfId="0" applyFont="1" applyBorder="1" applyAlignment="1">
      <alignment horizontal="left" vertical="top" wrapText="1"/>
    </xf>
    <xf numFmtId="4" fontId="38" fillId="0" borderId="63" xfId="0" applyFont="1" applyBorder="1" applyAlignment="1">
      <alignment horizontal="left" vertical="top" wrapText="1"/>
    </xf>
    <xf numFmtId="4" fontId="38" fillId="0" borderId="64" xfId="0" applyFont="1" applyBorder="1" applyAlignment="1">
      <alignment horizontal="left" vertical="top" wrapText="1"/>
    </xf>
    <xf numFmtId="4" fontId="38" fillId="0" borderId="57" xfId="0" applyFont="1" applyBorder="1" applyAlignment="1">
      <alignment horizontal="left" vertical="top" wrapText="1"/>
    </xf>
    <xf numFmtId="4" fontId="38" fillId="0" borderId="60" xfId="0" applyFont="1" applyBorder="1" applyAlignment="1">
      <alignment horizontal="left" vertical="top" wrapText="1"/>
    </xf>
    <xf numFmtId="4" fontId="38" fillId="0" borderId="58" xfId="0" applyFont="1" applyBorder="1" applyAlignment="1">
      <alignment horizontal="left" vertical="top" wrapText="1"/>
    </xf>
    <xf numFmtId="4" fontId="11" fillId="0" borderId="57" xfId="0" applyFont="1" applyBorder="1" applyAlignment="1">
      <alignment horizontal="left" vertical="top" wrapText="1"/>
    </xf>
    <xf numFmtId="4" fontId="11" fillId="0" borderId="66" xfId="0" applyFont="1" applyBorder="1" applyAlignment="1">
      <alignment horizontal="left" vertical="top" wrapText="1"/>
    </xf>
    <xf numFmtId="4" fontId="38" fillId="0" borderId="67" xfId="0" applyFont="1" applyBorder="1" applyAlignment="1">
      <alignment horizontal="left" vertical="top" wrapText="1"/>
    </xf>
    <xf numFmtId="4" fontId="38" fillId="0" borderId="93" xfId="0" applyFont="1" applyBorder="1" applyAlignment="1">
      <alignment horizontal="left" vertical="top" wrapText="1"/>
    </xf>
    <xf numFmtId="0" fontId="11" fillId="0" borderId="14" xfId="0" applyNumberFormat="1" applyFont="1" applyBorder="1" applyAlignment="1">
      <alignment horizontal="left" vertical="top" wrapText="1"/>
    </xf>
    <xf numFmtId="0" fontId="11" fillId="0" borderId="21" xfId="0" applyNumberFormat="1" applyFont="1" applyBorder="1" applyAlignment="1">
      <alignment horizontal="left" vertical="top" wrapText="1"/>
    </xf>
    <xf numFmtId="0" fontId="11" fillId="0" borderId="22" xfId="0" applyNumberFormat="1" applyFont="1" applyBorder="1" applyAlignment="1">
      <alignment horizontal="left" vertical="top" wrapText="1"/>
    </xf>
    <xf numFmtId="4" fontId="20" fillId="7" borderId="0" xfId="0" applyFont="1" applyFill="1" applyAlignment="1">
      <alignment horizontal="left"/>
    </xf>
    <xf numFmtId="0" fontId="20" fillId="7" borderId="0" xfId="0" applyNumberFormat="1" applyFont="1" applyFill="1" applyAlignment="1">
      <alignment horizontal="left"/>
    </xf>
    <xf numFmtId="0" fontId="20" fillId="7" borderId="0" xfId="0" applyNumberFormat="1" applyFont="1" applyFill="1" applyAlignment="1">
      <alignment horizontal="left" vertical="center"/>
    </xf>
    <xf numFmtId="0" fontId="21" fillId="0" borderId="57" xfId="0" applyNumberFormat="1" applyFont="1" applyBorder="1" applyAlignment="1">
      <alignment horizontal="left"/>
    </xf>
    <xf numFmtId="0" fontId="21" fillId="0" borderId="60" xfId="0" applyNumberFormat="1" applyFont="1" applyBorder="1" applyAlignment="1">
      <alignment horizontal="left"/>
    </xf>
    <xf numFmtId="0" fontId="21" fillId="0" borderId="58" xfId="0" applyNumberFormat="1" applyFont="1" applyBorder="1" applyAlignment="1">
      <alignment horizontal="left"/>
    </xf>
    <xf numFmtId="0" fontId="21" fillId="0" borderId="57" xfId="0" applyNumberFormat="1" applyFont="1" applyBorder="1" applyAlignment="1">
      <alignment horizontal="left" vertical="center"/>
    </xf>
    <xf numFmtId="0" fontId="21" fillId="0" borderId="60" xfId="0" applyNumberFormat="1" applyFont="1" applyBorder="1" applyAlignment="1">
      <alignment horizontal="left" vertical="center"/>
    </xf>
    <xf numFmtId="0" fontId="21" fillId="0" borderId="58" xfId="0" applyNumberFormat="1" applyFont="1" applyBorder="1" applyAlignment="1">
      <alignment horizontal="left" vertical="center"/>
    </xf>
    <xf numFmtId="4" fontId="7" fillId="0" borderId="75" xfId="2" applyNumberFormat="1" applyFont="1" applyBorder="1" applyAlignment="1">
      <alignment horizontal="left"/>
    </xf>
    <xf numFmtId="4" fontId="7" fillId="0" borderId="84" xfId="2" applyNumberFormat="1" applyFont="1" applyBorder="1" applyAlignment="1">
      <alignment horizontal="left"/>
    </xf>
    <xf numFmtId="3" fontId="7" fillId="0" borderId="86" xfId="2" applyFont="1" applyBorder="1" applyAlignment="1">
      <alignment horizontal="left"/>
    </xf>
    <xf numFmtId="3" fontId="7" fillId="0" borderId="85" xfId="2" applyFont="1" applyBorder="1" applyAlignment="1">
      <alignment horizontal="left"/>
    </xf>
    <xf numFmtId="3" fontId="7" fillId="8" borderId="32" xfId="2" applyNumberFormat="1" applyFont="1" applyFill="1" applyBorder="1" applyAlignment="1">
      <alignment horizontal="center"/>
    </xf>
    <xf numFmtId="3" fontId="7" fillId="8" borderId="0" xfId="2" applyNumberFormat="1" applyFont="1" applyFill="1" applyBorder="1" applyAlignment="1">
      <alignment horizontal="center"/>
    </xf>
    <xf numFmtId="3" fontId="7" fillId="8" borderId="33" xfId="2" applyNumberFormat="1" applyFont="1" applyFill="1" applyBorder="1" applyAlignment="1">
      <alignment horizontal="center"/>
    </xf>
    <xf numFmtId="3" fontId="7" fillId="8" borderId="34" xfId="2" applyNumberFormat="1" applyFont="1" applyFill="1" applyBorder="1" applyAlignment="1">
      <alignment horizontal="center"/>
    </xf>
    <xf numFmtId="3" fontId="7" fillId="8" borderId="5" xfId="2" applyNumberFormat="1" applyFont="1" applyFill="1" applyBorder="1" applyAlignment="1">
      <alignment horizontal="center"/>
    </xf>
    <xf numFmtId="3" fontId="7" fillId="8" borderId="35" xfId="2" applyNumberFormat="1" applyFont="1" applyFill="1" applyBorder="1" applyAlignment="1">
      <alignment horizontal="center"/>
    </xf>
    <xf numFmtId="3" fontId="6" fillId="0" borderId="42" xfId="2" applyFont="1" applyBorder="1" applyAlignment="1">
      <alignment horizontal="left"/>
    </xf>
    <xf numFmtId="3" fontId="7" fillId="0" borderId="74" xfId="2" applyFont="1" applyBorder="1" applyAlignment="1">
      <alignment horizontal="left"/>
    </xf>
    <xf numFmtId="3" fontId="7" fillId="0" borderId="88" xfId="2" applyFont="1" applyBorder="1" applyAlignment="1">
      <alignment horizontal="left"/>
    </xf>
    <xf numFmtId="3" fontId="6" fillId="0" borderId="75" xfId="2" applyFont="1" applyBorder="1" applyAlignment="1">
      <alignment horizontal="left"/>
    </xf>
    <xf numFmtId="3" fontId="6" fillId="0" borderId="84" xfId="2" applyFont="1" applyBorder="1" applyAlignment="1">
      <alignment horizontal="left"/>
    </xf>
    <xf numFmtId="4" fontId="5" fillId="3" borderId="26" xfId="2" applyNumberFormat="1" applyFont="1" applyFill="1" applyBorder="1" applyAlignment="1">
      <alignment horizontal="center" wrapText="1"/>
    </xf>
    <xf numFmtId="4" fontId="5" fillId="3" borderId="7" xfId="2" applyNumberFormat="1" applyFont="1" applyFill="1" applyBorder="1" applyAlignment="1">
      <alignment horizontal="center" wrapText="1"/>
    </xf>
    <xf numFmtId="4" fontId="5" fillId="3" borderId="10" xfId="2" applyNumberFormat="1" applyFont="1" applyFill="1" applyBorder="1" applyAlignment="1">
      <alignment horizontal="center"/>
    </xf>
    <xf numFmtId="4" fontId="5" fillId="3" borderId="39" xfId="2" applyNumberFormat="1" applyFont="1" applyFill="1" applyBorder="1" applyAlignment="1">
      <alignment horizontal="center"/>
    </xf>
    <xf numFmtId="4" fontId="5" fillId="3" borderId="31" xfId="2" applyNumberFormat="1" applyFont="1" applyFill="1" applyBorder="1" applyAlignment="1">
      <alignment horizontal="center"/>
    </xf>
    <xf numFmtId="3" fontId="5" fillId="3" borderId="26" xfId="2" applyFont="1" applyFill="1" applyBorder="1" applyAlignment="1">
      <alignment horizontal="center" wrapText="1"/>
    </xf>
    <xf numFmtId="3" fontId="5" fillId="3" borderId="7" xfId="2" applyFont="1" applyFill="1" applyBorder="1" applyAlignment="1">
      <alignment horizontal="center" wrapText="1"/>
    </xf>
    <xf numFmtId="3" fontId="6" fillId="4" borderId="34" xfId="2" applyFont="1" applyFill="1" applyBorder="1" applyAlignment="1">
      <alignment horizontal="left"/>
    </xf>
    <xf numFmtId="3" fontId="6" fillId="4" borderId="35" xfId="2" applyFont="1" applyFill="1" applyBorder="1" applyAlignment="1">
      <alignment horizontal="left"/>
    </xf>
    <xf numFmtId="3" fontId="6" fillId="0" borderId="36" xfId="2" applyFont="1" applyBorder="1" applyAlignment="1">
      <alignment horizontal="left"/>
    </xf>
    <xf numFmtId="3" fontId="6" fillId="0" borderId="37" xfId="2" applyFont="1" applyBorder="1" applyAlignment="1">
      <alignment horizontal="left"/>
    </xf>
    <xf numFmtId="3" fontId="9" fillId="0" borderId="75" xfId="2" applyFont="1" applyBorder="1" applyAlignment="1">
      <alignment horizontal="left"/>
    </xf>
    <xf numFmtId="3" fontId="9" fillId="0" borderId="84" xfId="2" applyFont="1" applyBorder="1" applyAlignment="1">
      <alignment horizontal="left"/>
    </xf>
    <xf numFmtId="3" fontId="6" fillId="4" borderId="10" xfId="2" applyFont="1" applyFill="1" applyBorder="1" applyAlignment="1">
      <alignment horizontal="left"/>
    </xf>
    <xf numFmtId="3" fontId="6" fillId="4" borderId="31" xfId="2" applyFont="1" applyFill="1" applyBorder="1" applyAlignment="1">
      <alignment horizontal="left"/>
    </xf>
    <xf numFmtId="3" fontId="6" fillId="0" borderId="41" xfId="2" applyFont="1" applyBorder="1" applyAlignment="1">
      <alignment horizontal="left"/>
    </xf>
    <xf numFmtId="3" fontId="3" fillId="0" borderId="0" xfId="2" applyFont="1" applyBorder="1" applyAlignment="1">
      <alignment horizontal="center"/>
    </xf>
    <xf numFmtId="3" fontId="5" fillId="3" borderId="10" xfId="2" applyFont="1" applyFill="1" applyBorder="1" applyAlignment="1">
      <alignment horizontal="center"/>
    </xf>
    <xf numFmtId="3" fontId="5" fillId="3" borderId="39" xfId="2" applyFont="1" applyFill="1" applyBorder="1" applyAlignment="1">
      <alignment horizontal="center"/>
    </xf>
    <xf numFmtId="3" fontId="5" fillId="3" borderId="31" xfId="2" applyFont="1" applyFill="1" applyBorder="1" applyAlignment="1">
      <alignment horizontal="center"/>
    </xf>
    <xf numFmtId="49" fontId="5" fillId="3" borderId="8" xfId="2" applyNumberFormat="1" applyFont="1" applyFill="1" applyBorder="1" applyAlignment="1">
      <alignment horizontal="center" wrapText="1"/>
    </xf>
    <xf numFmtId="49" fontId="5" fillId="3" borderId="9" xfId="2" applyNumberFormat="1" applyFont="1" applyFill="1" applyBorder="1" applyAlignment="1">
      <alignment horizontal="center" wrapText="1"/>
    </xf>
    <xf numFmtId="49" fontId="5" fillId="3" borderId="32" xfId="2" applyNumberFormat="1" applyFont="1" applyFill="1" applyBorder="1" applyAlignment="1">
      <alignment horizontal="center" wrapText="1"/>
    </xf>
    <xf numFmtId="49" fontId="5" fillId="3" borderId="33" xfId="2" applyNumberFormat="1" applyFont="1" applyFill="1" applyBorder="1" applyAlignment="1">
      <alignment horizontal="center" wrapText="1"/>
    </xf>
    <xf numFmtId="49" fontId="5" fillId="3" borderId="34" xfId="2" applyNumberFormat="1" applyFont="1" applyFill="1" applyBorder="1" applyAlignment="1">
      <alignment horizontal="center" wrapText="1"/>
    </xf>
    <xf numFmtId="49" fontId="5" fillId="3" borderId="35" xfId="2" applyNumberFormat="1" applyFont="1" applyFill="1" applyBorder="1" applyAlignment="1">
      <alignment horizontal="center" wrapText="1"/>
    </xf>
    <xf numFmtId="49" fontId="5" fillId="3" borderId="26" xfId="2" applyNumberFormat="1" applyFont="1" applyFill="1" applyBorder="1" applyAlignment="1">
      <alignment horizontal="center" wrapText="1"/>
    </xf>
    <xf numFmtId="49" fontId="5" fillId="3" borderId="38" xfId="2" applyNumberFormat="1" applyFont="1" applyFill="1" applyBorder="1" applyAlignment="1">
      <alignment horizontal="center" wrapText="1"/>
    </xf>
    <xf numFmtId="49" fontId="5" fillId="3" borderId="7" xfId="2" applyNumberFormat="1" applyFont="1" applyFill="1" applyBorder="1" applyAlignment="1">
      <alignment horizontal="center" wrapText="1"/>
    </xf>
    <xf numFmtId="3" fontId="5" fillId="3" borderId="38" xfId="2" applyFont="1" applyFill="1" applyBorder="1" applyAlignment="1">
      <alignment horizontal="center" wrapText="1"/>
    </xf>
    <xf numFmtId="4" fontId="38" fillId="6" borderId="94" xfId="0" applyFont="1" applyFill="1" applyBorder="1" applyAlignment="1">
      <alignment horizontal="center" vertical="top" wrapText="1"/>
    </xf>
    <xf numFmtId="4" fontId="38" fillId="6" borderId="95" xfId="0" applyFont="1" applyFill="1" applyBorder="1" applyAlignment="1">
      <alignment horizontal="center" vertical="top" wrapText="1"/>
    </xf>
    <xf numFmtId="4" fontId="38" fillId="6" borderId="81" xfId="0" applyFont="1" applyFill="1" applyBorder="1" applyAlignment="1">
      <alignment horizontal="center" vertical="top" wrapText="1"/>
    </xf>
    <xf numFmtId="4" fontId="38" fillId="6" borderId="82" xfId="0" applyFont="1" applyFill="1" applyBorder="1" applyAlignment="1">
      <alignment horizontal="center" vertical="top" wrapText="1"/>
    </xf>
    <xf numFmtId="4" fontId="38" fillId="6" borderId="83" xfId="0" applyFont="1" applyFill="1" applyBorder="1" applyAlignment="1">
      <alignment horizontal="center" vertical="top" wrapText="1"/>
    </xf>
    <xf numFmtId="4" fontId="38" fillId="6" borderId="77" xfId="0" applyFont="1" applyFill="1" applyBorder="1" applyAlignment="1">
      <alignment horizontal="center" vertical="top" wrapText="1"/>
    </xf>
    <xf numFmtId="4" fontId="11" fillId="0" borderId="63" xfId="0" applyFont="1" applyBorder="1" applyAlignment="1">
      <alignment horizontal="left" vertical="top" wrapText="1"/>
    </xf>
    <xf numFmtId="4" fontId="11" fillId="0" borderId="64" xfId="0" applyFont="1" applyBorder="1" applyAlignment="1">
      <alignment horizontal="left" vertical="top" wrapText="1"/>
    </xf>
    <xf numFmtId="4" fontId="11" fillId="0" borderId="60" xfId="0" applyFont="1" applyBorder="1" applyAlignment="1">
      <alignment horizontal="left" vertical="top" wrapText="1"/>
    </xf>
    <xf numFmtId="4" fontId="11" fillId="0" borderId="58" xfId="0" applyFont="1" applyBorder="1" applyAlignment="1">
      <alignment horizontal="left" vertical="top" wrapText="1"/>
    </xf>
    <xf numFmtId="4" fontId="11" fillId="0" borderId="67" xfId="0" applyFont="1" applyBorder="1" applyAlignment="1">
      <alignment horizontal="left" vertical="top" wrapText="1"/>
    </xf>
    <xf numFmtId="4" fontId="11" fillId="0" borderId="93" xfId="0" applyFont="1" applyBorder="1" applyAlignment="1">
      <alignment horizontal="left" vertical="top" wrapText="1"/>
    </xf>
    <xf numFmtId="4" fontId="4" fillId="3" borderId="9" xfId="0" applyFont="1" applyFill="1" applyBorder="1" applyAlignment="1">
      <alignment horizontal="center" wrapText="1"/>
    </xf>
    <xf numFmtId="4" fontId="4" fillId="3" borderId="32" xfId="0" applyFont="1" applyFill="1" applyBorder="1" applyAlignment="1">
      <alignment horizontal="center" wrapText="1"/>
    </xf>
    <xf numFmtId="4" fontId="4" fillId="3" borderId="33" xfId="0" applyFont="1" applyFill="1" applyBorder="1" applyAlignment="1">
      <alignment horizontal="center" wrapText="1"/>
    </xf>
    <xf numFmtId="4" fontId="4" fillId="3" borderId="34" xfId="0" applyFont="1" applyFill="1" applyBorder="1" applyAlignment="1">
      <alignment horizontal="center" wrapText="1"/>
    </xf>
    <xf numFmtId="4" fontId="4" fillId="3" borderId="35" xfId="0" applyFont="1" applyFill="1" applyBorder="1" applyAlignment="1">
      <alignment horizontal="center" wrapText="1"/>
    </xf>
    <xf numFmtId="4" fontId="4" fillId="3" borderId="38" xfId="0" applyFont="1" applyFill="1" applyBorder="1" applyAlignment="1">
      <alignment horizontal="center" wrapText="1"/>
    </xf>
    <xf numFmtId="4" fontId="4" fillId="3" borderId="7" xfId="0" applyFont="1" applyFill="1" applyBorder="1" applyAlignment="1">
      <alignment horizontal="center" wrapText="1"/>
    </xf>
    <xf numFmtId="4" fontId="18" fillId="4" borderId="10" xfId="0" applyFont="1" applyFill="1" applyBorder="1" applyAlignment="1">
      <alignment horizontal="center"/>
    </xf>
    <xf numFmtId="4" fontId="18" fillId="4" borderId="31" xfId="0" applyFont="1" applyFill="1" applyBorder="1" applyAlignment="1">
      <alignment horizontal="center"/>
    </xf>
    <xf numFmtId="4" fontId="18" fillId="4" borderId="4" xfId="0" applyFont="1" applyFill="1" applyBorder="1" applyAlignment="1">
      <alignment horizontal="center"/>
    </xf>
    <xf numFmtId="4" fontId="17" fillId="2" borderId="57" xfId="0" applyFont="1" applyFill="1" applyBorder="1" applyAlignment="1">
      <alignment horizontal="left" vertical="top" wrapText="1"/>
    </xf>
    <xf numFmtId="4" fontId="17" fillId="2" borderId="58" xfId="0" applyFont="1" applyFill="1" applyBorder="1" applyAlignment="1">
      <alignment horizontal="left" vertical="top" wrapText="1"/>
    </xf>
    <xf numFmtId="4" fontId="28" fillId="0" borderId="59" xfId="0" applyFont="1" applyBorder="1" applyAlignment="1">
      <alignment horizontal="left" vertical="top" wrapText="1"/>
    </xf>
    <xf numFmtId="4" fontId="22" fillId="0" borderId="59" xfId="0" applyFont="1" applyBorder="1" applyAlignment="1">
      <alignment horizontal="left" vertical="top" wrapText="1"/>
    </xf>
    <xf numFmtId="4" fontId="18" fillId="4" borderId="4" xfId="0" applyFont="1" applyFill="1" applyBorder="1" applyAlignment="1">
      <alignment horizontal="center" vertical="center"/>
    </xf>
    <xf numFmtId="4" fontId="21" fillId="13" borderId="4" xfId="0" applyFont="1" applyFill="1" applyBorder="1" applyAlignment="1">
      <alignment horizontal="center"/>
    </xf>
    <xf numFmtId="4" fontId="28" fillId="0" borderId="62" xfId="0" applyFont="1" applyBorder="1" applyAlignment="1">
      <alignment horizontal="left" vertical="top" wrapText="1"/>
    </xf>
    <xf numFmtId="4" fontId="28" fillId="0" borderId="63" xfId="0" applyFont="1" applyBorder="1" applyAlignment="1">
      <alignment horizontal="left" vertical="top" wrapText="1"/>
    </xf>
    <xf numFmtId="4" fontId="28" fillId="0" borderId="64" xfId="0" applyFont="1" applyBorder="1" applyAlignment="1">
      <alignment horizontal="left" vertical="top" wrapText="1"/>
    </xf>
    <xf numFmtId="4" fontId="28" fillId="0" borderId="57" xfId="0" applyFont="1" applyBorder="1" applyAlignment="1">
      <alignment horizontal="left" vertical="top" wrapText="1"/>
    </xf>
    <xf numFmtId="4" fontId="28" fillId="0" borderId="66" xfId="0" applyFont="1" applyBorder="1" applyAlignment="1">
      <alignment horizontal="left" vertical="top" wrapText="1"/>
    </xf>
    <xf numFmtId="4" fontId="28" fillId="6" borderId="94" xfId="0" applyFont="1" applyFill="1" applyBorder="1" applyAlignment="1">
      <alignment horizontal="center" vertical="top" wrapText="1"/>
    </xf>
    <xf numFmtId="4" fontId="28" fillId="6" borderId="95" xfId="0" applyFont="1" applyFill="1" applyBorder="1" applyAlignment="1">
      <alignment horizontal="center" vertical="top" wrapText="1"/>
    </xf>
    <xf numFmtId="4" fontId="28" fillId="6" borderId="81" xfId="0" applyFont="1" applyFill="1" applyBorder="1" applyAlignment="1">
      <alignment horizontal="center" vertical="top" wrapText="1"/>
    </xf>
    <xf numFmtId="4" fontId="28" fillId="6" borderId="82" xfId="0" applyFont="1" applyFill="1" applyBorder="1" applyAlignment="1">
      <alignment horizontal="center" vertical="top" wrapText="1"/>
    </xf>
    <xf numFmtId="4" fontId="28" fillId="6" borderId="83" xfId="0" applyFont="1" applyFill="1" applyBorder="1" applyAlignment="1">
      <alignment horizontal="center" vertical="top" wrapText="1"/>
    </xf>
    <xf numFmtId="4" fontId="28" fillId="6" borderId="77" xfId="0" applyFont="1" applyFill="1" applyBorder="1" applyAlignment="1">
      <alignment horizontal="center" vertical="top" wrapText="1"/>
    </xf>
    <xf numFmtId="4" fontId="33" fillId="6" borderId="57" xfId="0" applyFont="1" applyFill="1" applyBorder="1" applyAlignment="1">
      <alignment horizontal="left" vertical="top" wrapText="1"/>
    </xf>
    <xf numFmtId="4" fontId="33" fillId="6" borderId="60" xfId="0" applyFont="1" applyFill="1" applyBorder="1" applyAlignment="1">
      <alignment horizontal="left" vertical="top" wrapText="1"/>
    </xf>
    <xf numFmtId="4" fontId="33" fillId="6" borderId="58" xfId="0" applyFont="1" applyFill="1" applyBorder="1" applyAlignment="1">
      <alignment horizontal="left" vertical="top" wrapText="1"/>
    </xf>
    <xf numFmtId="0" fontId="11" fillId="0" borderId="57" xfId="0" applyNumberFormat="1" applyFont="1" applyBorder="1" applyAlignment="1">
      <alignment horizontal="left" vertical="top" wrapText="1"/>
    </xf>
    <xf numFmtId="0" fontId="11" fillId="0" borderId="60" xfId="0" applyNumberFormat="1" applyFont="1" applyBorder="1" applyAlignment="1">
      <alignment horizontal="left" vertical="top" wrapText="1"/>
    </xf>
    <xf numFmtId="0" fontId="11" fillId="0" borderId="58" xfId="0" applyNumberFormat="1" applyFont="1" applyBorder="1" applyAlignment="1">
      <alignment horizontal="left" vertical="top" wrapText="1"/>
    </xf>
    <xf numFmtId="9" fontId="11" fillId="0" borderId="62" xfId="4" applyFont="1" applyBorder="1" applyAlignment="1">
      <alignment horizontal="left" vertical="top" wrapText="1"/>
    </xf>
    <xf numFmtId="9" fontId="11" fillId="0" borderId="63" xfId="4" applyFont="1" applyBorder="1" applyAlignment="1">
      <alignment horizontal="left" vertical="top" wrapText="1"/>
    </xf>
    <xf numFmtId="9" fontId="11" fillId="0" borderId="64" xfId="4" applyFont="1" applyBorder="1" applyAlignment="1">
      <alignment horizontal="left" vertical="top" wrapText="1"/>
    </xf>
    <xf numFmtId="4" fontId="35" fillId="6" borderId="57" xfId="0" applyFont="1" applyFill="1" applyBorder="1" applyAlignment="1">
      <alignment horizontal="left" vertical="top" wrapText="1"/>
    </xf>
    <xf numFmtId="4" fontId="35" fillId="6" borderId="60" xfId="0" applyFont="1" applyFill="1" applyBorder="1" applyAlignment="1">
      <alignment horizontal="left" vertical="top" wrapText="1"/>
    </xf>
    <xf numFmtId="4" fontId="35" fillId="6" borderId="58" xfId="0" applyFont="1" applyFill="1" applyBorder="1" applyAlignment="1">
      <alignment horizontal="left" vertical="top" wrapText="1"/>
    </xf>
    <xf numFmtId="4" fontId="0" fillId="8" borderId="50" xfId="0" applyFill="1" applyBorder="1" applyAlignment="1"/>
    <xf numFmtId="4" fontId="0" fillId="8" borderId="49" xfId="0" applyFill="1" applyBorder="1" applyAlignment="1"/>
    <xf numFmtId="4" fontId="0" fillId="8" borderId="51" xfId="0" applyFill="1" applyBorder="1" applyAlignment="1"/>
    <xf numFmtId="4" fontId="0" fillId="8" borderId="52" xfId="0" applyFill="1" applyBorder="1" applyAlignment="1"/>
    <xf numFmtId="4" fontId="0" fillId="8" borderId="45" xfId="0" applyFill="1" applyBorder="1" applyAlignment="1"/>
    <xf numFmtId="4" fontId="0" fillId="8" borderId="53" xfId="0" applyFill="1" applyBorder="1" applyAlignment="1"/>
    <xf numFmtId="4" fontId="0" fillId="8" borderId="55" xfId="0" applyFill="1" applyBorder="1" applyAlignment="1"/>
    <xf numFmtId="4" fontId="0" fillId="8" borderId="46" xfId="0" applyFill="1" applyBorder="1" applyAlignment="1"/>
    <xf numFmtId="4" fontId="0" fillId="8" borderId="56" xfId="0" applyFill="1" applyBorder="1" applyAlignment="1"/>
    <xf numFmtId="4" fontId="21" fillId="0" borderId="57" xfId="0" applyFont="1" applyBorder="1" applyAlignment="1">
      <alignment horizontal="left" wrapText="1"/>
    </xf>
    <xf numFmtId="4" fontId="21" fillId="0" borderId="60" xfId="0" applyFont="1" applyBorder="1" applyAlignment="1">
      <alignment horizontal="left" wrapText="1"/>
    </xf>
    <xf numFmtId="4" fontId="21" fillId="0" borderId="58" xfId="0" applyFont="1" applyBorder="1" applyAlignment="1">
      <alignment horizontal="left" wrapText="1"/>
    </xf>
    <xf numFmtId="4" fontId="17" fillId="13" borderId="57" xfId="0" applyFont="1" applyFill="1" applyBorder="1" applyAlignment="1">
      <alignment horizontal="left" vertical="top" wrapText="1"/>
    </xf>
    <xf numFmtId="4" fontId="17" fillId="13" borderId="60" xfId="0" applyFont="1" applyFill="1" applyBorder="1" applyAlignment="1">
      <alignment horizontal="left" vertical="top" wrapText="1"/>
    </xf>
    <xf numFmtId="4" fontId="17" fillId="13" borderId="58" xfId="0" applyFont="1" applyFill="1" applyBorder="1" applyAlignment="1">
      <alignment horizontal="left" vertical="top" wrapText="1"/>
    </xf>
    <xf numFmtId="4" fontId="0" fillId="0" borderId="63" xfId="0" applyFont="1" applyBorder="1" applyAlignment="1">
      <alignment vertical="top"/>
    </xf>
    <xf numFmtId="4" fontId="0" fillId="0" borderId="64" xfId="0" applyFont="1" applyBorder="1" applyAlignment="1">
      <alignment vertical="top"/>
    </xf>
    <xf numFmtId="4" fontId="21" fillId="13" borderId="4" xfId="0" applyFont="1" applyFill="1" applyBorder="1" applyAlignment="1">
      <alignment horizontal="center" vertical="top"/>
    </xf>
    <xf numFmtId="3" fontId="7" fillId="10" borderId="32" xfId="2" applyNumberFormat="1" applyFont="1" applyFill="1" applyBorder="1" applyAlignment="1">
      <alignment horizontal="center"/>
    </xf>
    <xf numFmtId="3" fontId="7" fillId="10" borderId="0" xfId="2" applyNumberFormat="1" applyFont="1" applyFill="1" applyBorder="1" applyAlignment="1">
      <alignment horizontal="center"/>
    </xf>
    <xf numFmtId="3" fontId="7" fillId="10" borderId="33" xfId="2" applyNumberFormat="1" applyFont="1" applyFill="1" applyBorder="1" applyAlignment="1">
      <alignment horizontal="center"/>
    </xf>
    <xf numFmtId="3" fontId="7" fillId="10" borderId="34" xfId="2" applyNumberFormat="1" applyFont="1" applyFill="1" applyBorder="1" applyAlignment="1">
      <alignment horizontal="center"/>
    </xf>
    <xf numFmtId="3" fontId="7" fillId="10" borderId="5" xfId="2" applyNumberFormat="1" applyFont="1" applyFill="1" applyBorder="1" applyAlignment="1">
      <alignment horizontal="center"/>
    </xf>
    <xf numFmtId="3" fontId="7" fillId="10" borderId="35" xfId="2" applyNumberFormat="1" applyFont="1" applyFill="1" applyBorder="1" applyAlignment="1">
      <alignment horizontal="center"/>
    </xf>
    <xf numFmtId="4" fontId="3" fillId="0" borderId="0" xfId="0" applyFont="1" applyAlignment="1">
      <alignment horizontal="center" vertical="top"/>
    </xf>
    <xf numFmtId="4" fontId="15" fillId="0" borderId="0" xfId="0" applyFont="1" applyAlignment="1">
      <alignment horizontal="left" vertical="top"/>
    </xf>
    <xf numFmtId="0" fontId="21" fillId="0" borderId="57" xfId="0" applyNumberFormat="1" applyFont="1" applyBorder="1" applyAlignment="1">
      <alignment horizontal="left" vertical="top" wrapText="1"/>
    </xf>
    <xf numFmtId="0" fontId="21" fillId="0" borderId="60" xfId="0" applyNumberFormat="1" applyFont="1" applyBorder="1" applyAlignment="1">
      <alignment horizontal="left" vertical="top" wrapText="1"/>
    </xf>
    <xf numFmtId="0" fontId="21" fillId="0" borderId="58" xfId="0" applyNumberFormat="1" applyFont="1" applyBorder="1" applyAlignment="1">
      <alignment horizontal="left" vertical="top" wrapText="1"/>
    </xf>
    <xf numFmtId="4" fontId="35" fillId="0" borderId="57" xfId="0" applyFont="1" applyBorder="1" applyAlignment="1">
      <alignment horizontal="left" vertical="top" wrapText="1"/>
    </xf>
    <xf numFmtId="4" fontId="35" fillId="0" borderId="60" xfId="0" applyFont="1" applyBorder="1" applyAlignment="1">
      <alignment horizontal="left" vertical="top" wrapText="1"/>
    </xf>
    <xf numFmtId="4" fontId="35" fillId="0" borderId="58" xfId="0" applyFont="1" applyBorder="1" applyAlignment="1">
      <alignment horizontal="left" vertical="top" wrapText="1"/>
    </xf>
    <xf numFmtId="4" fontId="14" fillId="0" borderId="95" xfId="0" applyFont="1" applyBorder="1" applyAlignment="1">
      <alignment horizontal="left"/>
    </xf>
    <xf numFmtId="4" fontId="11" fillId="0" borderId="88" xfId="0" applyFont="1" applyBorder="1" applyAlignment="1">
      <alignment horizontal="left" vertical="top" wrapText="1"/>
    </xf>
    <xf numFmtId="4" fontId="11" fillId="0" borderId="84" xfId="0" applyFont="1" applyBorder="1" applyAlignment="1">
      <alignment horizontal="left" vertical="top" wrapText="1"/>
    </xf>
    <xf numFmtId="4" fontId="11" fillId="0" borderId="91" xfId="0" applyFont="1" applyBorder="1" applyAlignment="1">
      <alignment horizontal="left" vertical="top" wrapText="1"/>
    </xf>
    <xf numFmtId="4" fontId="31" fillId="0" borderId="57" xfId="0" applyFont="1" applyBorder="1" applyAlignment="1">
      <alignment horizontal="left"/>
    </xf>
    <xf numFmtId="4" fontId="31" fillId="0" borderId="60" xfId="0" applyFont="1" applyBorder="1" applyAlignment="1">
      <alignment horizontal="left"/>
    </xf>
    <xf numFmtId="4" fontId="31" fillId="0" borderId="58" xfId="0" applyFont="1" applyBorder="1" applyAlignment="1">
      <alignment horizontal="left"/>
    </xf>
    <xf numFmtId="4" fontId="33" fillId="5" borderId="4" xfId="0" applyFont="1" applyFill="1" applyBorder="1" applyAlignment="1">
      <alignment horizontal="center"/>
    </xf>
    <xf numFmtId="4" fontId="13" fillId="0" borderId="0" xfId="0" applyFont="1" applyAlignment="1">
      <alignment horizontal="left"/>
    </xf>
    <xf numFmtId="4" fontId="11" fillId="0" borderId="74" xfId="0" applyFont="1" applyBorder="1" applyAlignment="1">
      <alignment horizontal="left" vertical="top" wrapText="1"/>
    </xf>
    <xf numFmtId="3" fontId="6" fillId="0" borderId="75" xfId="2" applyFont="1" applyFill="1" applyBorder="1" applyAlignment="1">
      <alignment horizontal="left"/>
    </xf>
    <xf numFmtId="3" fontId="6" fillId="0" borderId="84" xfId="2" applyFont="1" applyFill="1" applyBorder="1" applyAlignment="1">
      <alignment horizontal="left"/>
    </xf>
    <xf numFmtId="3" fontId="6" fillId="0" borderId="42" xfId="2" applyFont="1" applyFill="1" applyBorder="1" applyAlignment="1">
      <alignment horizontal="left"/>
    </xf>
    <xf numFmtId="4" fontId="0" fillId="0" borderId="63" xfId="0" applyBorder="1" applyAlignment="1">
      <alignment horizontal="left" vertical="top" wrapText="1"/>
    </xf>
    <xf numFmtId="4" fontId="0" fillId="0" borderId="64" xfId="0" applyBorder="1" applyAlignment="1">
      <alignment horizontal="left" vertical="top" wrapText="1"/>
    </xf>
    <xf numFmtId="4" fontId="0" fillId="0" borderId="60" xfId="0" applyBorder="1" applyAlignment="1">
      <alignment horizontal="left" vertical="top" wrapText="1"/>
    </xf>
    <xf numFmtId="4" fontId="0" fillId="0" borderId="58" xfId="0" applyBorder="1" applyAlignment="1">
      <alignment horizontal="left" vertical="top" wrapText="1"/>
    </xf>
    <xf numFmtId="4" fontId="0" fillId="0" borderId="67" xfId="0" applyBorder="1" applyAlignment="1">
      <alignment horizontal="left" vertical="top" wrapText="1"/>
    </xf>
    <xf numFmtId="4" fontId="0" fillId="0" borderId="93" xfId="0" applyBorder="1" applyAlignment="1">
      <alignment horizontal="left" vertical="top" wrapText="1"/>
    </xf>
    <xf numFmtId="4" fontId="11" fillId="0" borderId="1" xfId="0" applyFont="1" applyBorder="1" applyAlignment="1">
      <alignment horizontal="left" vertical="top" wrapText="1"/>
    </xf>
    <xf numFmtId="4" fontId="11" fillId="0" borderId="68" xfId="0" applyFont="1" applyBorder="1" applyAlignment="1">
      <alignment horizontal="left" vertical="top" wrapText="1"/>
    </xf>
    <xf numFmtId="4" fontId="35" fillId="3" borderId="74" xfId="0" applyFont="1" applyFill="1" applyBorder="1" applyAlignment="1">
      <alignment horizontal="left" vertical="top" wrapText="1"/>
    </xf>
    <xf numFmtId="4" fontId="35" fillId="3" borderId="64" xfId="0" applyFont="1" applyFill="1" applyBorder="1" applyAlignment="1">
      <alignment horizontal="left" vertical="top" wrapText="1"/>
    </xf>
    <xf numFmtId="4" fontId="39" fillId="0" borderId="66" xfId="0" applyFont="1" applyBorder="1" applyAlignment="1">
      <alignment horizontal="justify" vertical="top" wrapText="1"/>
    </xf>
    <xf numFmtId="4" fontId="39" fillId="0" borderId="67" xfId="0" applyFont="1" applyBorder="1" applyAlignment="1">
      <alignment horizontal="justify" vertical="top" wrapText="1"/>
    </xf>
    <xf numFmtId="4" fontId="39" fillId="0" borderId="91" xfId="0" applyFont="1" applyBorder="1" applyAlignment="1">
      <alignment horizontal="justify" vertical="top" wrapText="1"/>
    </xf>
    <xf numFmtId="4" fontId="39" fillId="0" borderId="62" xfId="0" applyFont="1" applyBorder="1" applyAlignment="1">
      <alignment horizontal="justify" vertical="top" wrapText="1"/>
    </xf>
    <xf numFmtId="4" fontId="39" fillId="0" borderId="63" xfId="0" applyFont="1" applyBorder="1" applyAlignment="1">
      <alignment horizontal="justify" vertical="top" wrapText="1"/>
    </xf>
    <xf numFmtId="4" fontId="39" fillId="0" borderId="88" xfId="0" applyFont="1" applyBorder="1" applyAlignment="1">
      <alignment horizontal="justify" vertical="top" wrapText="1"/>
    </xf>
    <xf numFmtId="4" fontId="35" fillId="3" borderId="75" xfId="0" applyFont="1" applyFill="1" applyBorder="1" applyAlignment="1">
      <alignment horizontal="left" vertical="top" wrapText="1"/>
    </xf>
    <xf numFmtId="4" fontId="39" fillId="0" borderId="57" xfId="0" applyFont="1" applyBorder="1" applyAlignment="1">
      <alignment horizontal="justify" vertical="top" wrapText="1"/>
    </xf>
    <xf numFmtId="4" fontId="39" fillId="0" borderId="60" xfId="0" applyFont="1" applyBorder="1" applyAlignment="1">
      <alignment horizontal="justify" vertical="top" wrapText="1"/>
    </xf>
    <xf numFmtId="4" fontId="39" fillId="0" borderId="84" xfId="0" applyFont="1" applyBorder="1" applyAlignment="1">
      <alignment horizontal="justify" vertical="top" wrapText="1"/>
    </xf>
    <xf numFmtId="4" fontId="35" fillId="3" borderId="90" xfId="0" applyFont="1" applyFill="1" applyBorder="1" applyAlignment="1">
      <alignment horizontal="left" vertical="top" wrapText="1"/>
    </xf>
    <xf numFmtId="4" fontId="35" fillId="3" borderId="93" xfId="0" applyFont="1" applyFill="1" applyBorder="1" applyAlignment="1">
      <alignment horizontal="left" vertical="top" wrapText="1"/>
    </xf>
    <xf numFmtId="4" fontId="39" fillId="6" borderId="66" xfId="0" applyFont="1" applyFill="1" applyBorder="1" applyAlignment="1">
      <alignment horizontal="justify" vertical="top" wrapText="1"/>
    </xf>
    <xf numFmtId="4" fontId="39" fillId="6" borderId="67" xfId="0" applyFont="1" applyFill="1" applyBorder="1" applyAlignment="1">
      <alignment horizontal="justify" vertical="top" wrapText="1"/>
    </xf>
    <xf numFmtId="4" fontId="39" fillId="6" borderId="91" xfId="0" applyFont="1" applyFill="1" applyBorder="1" applyAlignment="1">
      <alignment horizontal="justify" vertical="top" wrapText="1"/>
    </xf>
    <xf numFmtId="4" fontId="33" fillId="6" borderId="4" xfId="0" applyFont="1" applyFill="1" applyBorder="1" applyAlignment="1">
      <alignment horizontal="center" vertical="top"/>
    </xf>
    <xf numFmtId="4" fontId="34" fillId="4" borderId="10" xfId="0" applyFont="1" applyFill="1" applyBorder="1" applyAlignment="1">
      <alignment horizontal="center" vertical="center"/>
    </xf>
    <xf numFmtId="4" fontId="34" fillId="4" borderId="39" xfId="0" applyFont="1" applyFill="1" applyBorder="1" applyAlignment="1">
      <alignment horizontal="center" vertical="center"/>
    </xf>
    <xf numFmtId="4" fontId="34" fillId="4" borderId="31" xfId="0" applyFont="1" applyFill="1" applyBorder="1" applyAlignment="1">
      <alignment horizontal="center" vertical="center"/>
    </xf>
    <xf numFmtId="4" fontId="33" fillId="0" borderId="1" xfId="0" applyFont="1" applyBorder="1" applyAlignment="1">
      <alignment horizontal="left" vertical="top" wrapText="1"/>
    </xf>
    <xf numFmtId="4" fontId="33" fillId="0" borderId="59" xfId="0" applyFont="1" applyFill="1" applyBorder="1" applyAlignment="1">
      <alignment horizontal="left" vertical="top" wrapText="1"/>
    </xf>
    <xf numFmtId="4" fontId="33" fillId="0" borderId="68" xfId="0" applyFont="1" applyFill="1" applyBorder="1" applyAlignment="1">
      <alignment horizontal="left" vertical="top" wrapText="1"/>
    </xf>
    <xf numFmtId="4" fontId="33" fillId="0" borderId="57" xfId="0" applyFont="1" applyFill="1" applyBorder="1" applyAlignment="1">
      <alignment horizontal="left" vertical="top"/>
    </xf>
    <xf numFmtId="4" fontId="33" fillId="0" borderId="60" xfId="0" applyFont="1" applyFill="1" applyBorder="1" applyAlignment="1">
      <alignment horizontal="left" vertical="top"/>
    </xf>
    <xf numFmtId="4" fontId="33" fillId="0" borderId="58" xfId="0" applyFont="1" applyFill="1" applyBorder="1" applyAlignment="1">
      <alignment horizontal="left" vertical="top"/>
    </xf>
    <xf numFmtId="4" fontId="33" fillId="0" borderId="57" xfId="0" applyFont="1" applyBorder="1" applyAlignment="1">
      <alignment horizontal="left" vertical="top" wrapText="1"/>
    </xf>
    <xf numFmtId="4" fontId="33" fillId="0" borderId="60" xfId="0" applyFont="1" applyBorder="1" applyAlignment="1">
      <alignment horizontal="left" vertical="top" wrapText="1"/>
    </xf>
    <xf numFmtId="4" fontId="33" fillId="0" borderId="58" xfId="0" applyFont="1" applyBorder="1" applyAlignment="1">
      <alignment horizontal="left" vertical="top" wrapText="1"/>
    </xf>
    <xf numFmtId="4" fontId="33" fillId="0" borderId="57" xfId="0" applyFont="1" applyBorder="1" applyAlignment="1">
      <alignment horizontal="left" vertical="top"/>
    </xf>
    <xf numFmtId="4" fontId="33" fillId="0" borderId="60" xfId="0" applyFont="1" applyBorder="1" applyAlignment="1">
      <alignment horizontal="left" vertical="top"/>
    </xf>
    <xf numFmtId="4" fontId="33" fillId="0" borderId="58" xfId="0" applyFont="1" applyBorder="1" applyAlignment="1">
      <alignment horizontal="left" vertical="top"/>
    </xf>
    <xf numFmtId="4" fontId="33" fillId="6" borderId="8" xfId="0" applyFont="1" applyFill="1" applyBorder="1" applyAlignment="1">
      <alignment horizontal="center"/>
    </xf>
    <xf numFmtId="4" fontId="33" fillId="6" borderId="40" xfId="0" applyFont="1" applyFill="1" applyBorder="1" applyAlignment="1">
      <alignment horizontal="center"/>
    </xf>
    <xf numFmtId="4" fontId="33" fillId="6" borderId="9" xfId="0" applyFont="1" applyFill="1" applyBorder="1" applyAlignment="1">
      <alignment horizontal="center"/>
    </xf>
  </cellXfs>
  <cellStyles count="5">
    <cellStyle name="Čárka" xfId="1" builtinId="3"/>
    <cellStyle name="Excel Built-in Normal" xfId="3"/>
    <cellStyle name="Normální" xfId="0" builtinId="0"/>
    <cellStyle name="normální_MŠ Raisova" xfId="2"/>
    <cellStyle name="Procenta"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tabSelected="1" zoomScaleNormal="100" workbookViewId="0">
      <selection activeCell="A29" sqref="A29:I29"/>
    </sheetView>
  </sheetViews>
  <sheetFormatPr defaultRowHeight="12.75" x14ac:dyDescent="0.2"/>
  <cols>
    <col min="1" max="1" width="74.75" style="71" customWidth="1"/>
    <col min="2" max="9" width="23.75" style="71" customWidth="1"/>
  </cols>
  <sheetData>
    <row r="1" spans="1:14" ht="18.75" x14ac:dyDescent="0.3">
      <c r="A1" s="70" t="s">
        <v>90</v>
      </c>
      <c r="B1" s="70"/>
      <c r="C1" s="70"/>
      <c r="D1" s="70"/>
      <c r="E1" s="70"/>
      <c r="F1" s="70"/>
      <c r="G1" s="70"/>
      <c r="H1" s="70"/>
      <c r="I1" s="70"/>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370" t="s">
        <v>25</v>
      </c>
      <c r="D5" s="472" t="s">
        <v>113</v>
      </c>
      <c r="E5" s="472"/>
      <c r="F5" s="472"/>
      <c r="G5" s="472"/>
      <c r="H5" s="472"/>
      <c r="I5" s="472"/>
    </row>
    <row r="6" spans="1:14" s="102" customFormat="1" ht="80.25" customHeight="1" x14ac:dyDescent="0.2">
      <c r="A6" s="467" t="s">
        <v>70</v>
      </c>
      <c r="B6" s="468"/>
      <c r="C6" s="180">
        <v>263625.51</v>
      </c>
      <c r="D6" s="473" t="s">
        <v>240</v>
      </c>
      <c r="E6" s="474"/>
      <c r="F6" s="474"/>
      <c r="G6" s="474"/>
      <c r="H6" s="474"/>
      <c r="I6" s="474"/>
    </row>
    <row r="7" spans="1:14" s="104" customFormat="1" ht="11.25" customHeight="1" x14ac:dyDescent="0.15">
      <c r="A7" s="467" t="s">
        <v>38</v>
      </c>
      <c r="B7" s="468"/>
      <c r="C7" s="180">
        <v>0</v>
      </c>
      <c r="D7" s="460"/>
      <c r="E7" s="461"/>
      <c r="F7" s="461"/>
      <c r="G7" s="461"/>
      <c r="H7" s="461"/>
      <c r="I7" s="462"/>
    </row>
    <row r="8" spans="1:14" s="104" customFormat="1" ht="10.5" x14ac:dyDescent="0.15">
      <c r="A8" s="467" t="s">
        <v>71</v>
      </c>
      <c r="B8" s="468"/>
      <c r="C8" s="180">
        <v>0</v>
      </c>
      <c r="D8" s="463"/>
      <c r="E8" s="464"/>
      <c r="F8" s="464"/>
      <c r="G8" s="464"/>
      <c r="H8" s="464"/>
      <c r="I8" s="465"/>
    </row>
    <row r="9" spans="1:14" s="102" customFormat="1" ht="11.25" x14ac:dyDescent="0.2">
      <c r="C9" s="105"/>
    </row>
    <row r="10" spans="1:14" s="106" customFormat="1" ht="11.25" x14ac:dyDescent="0.2">
      <c r="A10" s="469" t="s">
        <v>124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80.25" customHeight="1" x14ac:dyDescent="0.2">
      <c r="A13" s="205" t="s">
        <v>72</v>
      </c>
      <c r="B13" s="185">
        <v>75572.740000000005</v>
      </c>
      <c r="C13" s="185">
        <v>100020.66</v>
      </c>
      <c r="D13" s="185">
        <v>0</v>
      </c>
      <c r="E13" s="185">
        <v>175593.4</v>
      </c>
      <c r="F13" s="186">
        <v>175593.4</v>
      </c>
      <c r="G13" s="476" t="s">
        <v>253</v>
      </c>
      <c r="H13" s="477"/>
      <c r="I13" s="478"/>
    </row>
    <row r="14" spans="1:14" s="102" customFormat="1" ht="23.25" customHeight="1" x14ac:dyDescent="0.2">
      <c r="A14" s="207" t="s">
        <v>117</v>
      </c>
      <c r="B14" s="181">
        <v>28723</v>
      </c>
      <c r="C14" s="181">
        <v>80622</v>
      </c>
      <c r="D14" s="181">
        <v>64038</v>
      </c>
      <c r="E14" s="181">
        <v>45307</v>
      </c>
      <c r="F14" s="182">
        <v>45307</v>
      </c>
      <c r="G14" s="479"/>
      <c r="H14" s="480"/>
      <c r="I14" s="481"/>
      <c r="N14" s="109"/>
    </row>
    <row r="15" spans="1:14" s="102" customFormat="1" ht="25.5" customHeight="1" x14ac:dyDescent="0.2">
      <c r="A15" s="207" t="s">
        <v>73</v>
      </c>
      <c r="B15" s="181">
        <v>64683.38</v>
      </c>
      <c r="C15" s="181">
        <v>10000</v>
      </c>
      <c r="D15" s="181">
        <v>36000</v>
      </c>
      <c r="E15" s="181">
        <v>38683.379999999997</v>
      </c>
      <c r="F15" s="182">
        <v>38683.379999999997</v>
      </c>
      <c r="G15" s="482" t="s">
        <v>127</v>
      </c>
      <c r="H15" s="480"/>
      <c r="I15" s="481"/>
    </row>
    <row r="16" spans="1:14" s="102" customFormat="1" ht="58.5" customHeight="1" x14ac:dyDescent="0.2">
      <c r="A16" s="209" t="s">
        <v>97</v>
      </c>
      <c r="B16" s="187">
        <v>38161.519999999997</v>
      </c>
      <c r="C16" s="187">
        <v>28676</v>
      </c>
      <c r="D16" s="187">
        <v>15150</v>
      </c>
      <c r="E16" s="187">
        <v>51687.519999999997</v>
      </c>
      <c r="F16" s="188">
        <v>49259.519999999997</v>
      </c>
      <c r="G16" s="483" t="s">
        <v>128</v>
      </c>
      <c r="H16" s="484"/>
      <c r="I16" s="485"/>
    </row>
    <row r="17" spans="1:9" s="102" customFormat="1" ht="11.25" x14ac:dyDescent="0.2">
      <c r="A17" s="371" t="s">
        <v>34</v>
      </c>
      <c r="B17" s="184">
        <f>SUM(B13:B16)</f>
        <v>207140.63999999998</v>
      </c>
      <c r="C17" s="184">
        <f t="shared" ref="C17:F17" si="0">SUM(C13:C16)</f>
        <v>219318.66</v>
      </c>
      <c r="D17" s="184">
        <f t="shared" si="0"/>
        <v>115188</v>
      </c>
      <c r="E17" s="184">
        <f t="shared" si="0"/>
        <v>311271.3</v>
      </c>
      <c r="F17" s="184">
        <f t="shared" si="0"/>
        <v>308843.3</v>
      </c>
      <c r="G17" s="466"/>
      <c r="H17" s="466"/>
      <c r="I17" s="466"/>
    </row>
    <row r="18" spans="1:9" s="81" customFormat="1" ht="11.25" x14ac:dyDescent="0.2">
      <c r="A18" s="175"/>
      <c r="B18" s="175"/>
      <c r="C18" s="124"/>
      <c r="D18" s="175"/>
      <c r="E18" s="175"/>
      <c r="F18" s="175"/>
      <c r="G18" s="175"/>
      <c r="H18" s="175"/>
      <c r="I18" s="175"/>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34.5" customHeight="1" x14ac:dyDescent="0.15">
      <c r="A33" s="486" t="s">
        <v>245</v>
      </c>
      <c r="B33" s="487"/>
      <c r="C33" s="487"/>
      <c r="D33" s="487"/>
      <c r="E33" s="487"/>
      <c r="F33" s="487"/>
      <c r="G33" s="487"/>
      <c r="H33" s="487"/>
      <c r="I33" s="488"/>
    </row>
  </sheetData>
  <mergeCells count="23">
    <mergeCell ref="A33:I33"/>
    <mergeCell ref="A31:I31"/>
    <mergeCell ref="A23:I23"/>
    <mergeCell ref="A19:I19"/>
    <mergeCell ref="A27:I27"/>
    <mergeCell ref="A21:I21"/>
    <mergeCell ref="A25:I25"/>
    <mergeCell ref="A29:I29"/>
    <mergeCell ref="D7:I8"/>
    <mergeCell ref="G17:I17"/>
    <mergeCell ref="A8:B8"/>
    <mergeCell ref="A10:I10"/>
    <mergeCell ref="A3:I3"/>
    <mergeCell ref="A5:B5"/>
    <mergeCell ref="D5:I5"/>
    <mergeCell ref="A6:B6"/>
    <mergeCell ref="D6:I6"/>
    <mergeCell ref="A7:B7"/>
    <mergeCell ref="G12:I12"/>
    <mergeCell ref="G13:I13"/>
    <mergeCell ref="G14:I14"/>
    <mergeCell ref="G15:I15"/>
    <mergeCell ref="G16:I16"/>
  </mergeCells>
  <printOptions horizontalCentered="1"/>
  <pageMargins left="0.19685039370078741" right="0.19685039370078741" top="0.59055118110236227" bottom="0.59055118110236227" header="0.31496062992125984" footer="0.31496062992125984"/>
  <pageSetup paperSize="9" firstPageNumber="82" orientation="landscape" useFirstPageNumber="1" r:id="rId1"/>
  <headerFooter>
    <oddFooter>&amp;C&amp;8Stránka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529" t="s">
        <v>77</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6464790</v>
      </c>
      <c r="F6" s="29">
        <f>SUM(F7:F9)</f>
        <v>6483263</v>
      </c>
      <c r="G6" s="29">
        <f>SUM(G7:G9)</f>
        <v>3254780.04</v>
      </c>
      <c r="H6" s="24">
        <f t="shared" ref="H6:H33" si="0">G6/F6*100</f>
        <v>50.202807444337829</v>
      </c>
      <c r="I6" s="30">
        <f>SUM(I7:I9)</f>
        <v>3058061</v>
      </c>
      <c r="J6" s="29">
        <f>SUM(J7:J9)</f>
        <v>1658890</v>
      </c>
      <c r="K6" s="29">
        <f t="shared" ref="K6:L6" si="1">SUM(K7:K9)</f>
        <v>1677363</v>
      </c>
      <c r="L6" s="29">
        <f t="shared" si="1"/>
        <v>886436.04</v>
      </c>
      <c r="M6" s="160">
        <f>L6/K6*100</f>
        <v>52.8470009175116</v>
      </c>
      <c r="N6" s="30">
        <f t="shared" ref="N6:Q6" si="2">SUM(N7:N9)</f>
        <v>782736</v>
      </c>
      <c r="O6" s="29">
        <f t="shared" si="2"/>
        <v>4805900</v>
      </c>
      <c r="P6" s="29">
        <f t="shared" si="2"/>
        <v>4805900</v>
      </c>
      <c r="Q6" s="29">
        <f t="shared" si="2"/>
        <v>2368344</v>
      </c>
      <c r="R6" s="160">
        <f>Q6/P6*100</f>
        <v>49.279926756694898</v>
      </c>
      <c r="S6" s="29">
        <f t="shared" ref="S6:X6" si="3">SUM(S7:S9)</f>
        <v>2275325</v>
      </c>
      <c r="T6" s="29">
        <f t="shared" si="3"/>
        <v>15000</v>
      </c>
      <c r="U6" s="29">
        <f t="shared" si="3"/>
        <v>15000</v>
      </c>
      <c r="V6" s="29">
        <f t="shared" si="3"/>
        <v>0</v>
      </c>
      <c r="W6" s="160">
        <f>V6/U6*100</f>
        <v>0</v>
      </c>
      <c r="X6" s="29">
        <f t="shared" si="3"/>
        <v>4500</v>
      </c>
    </row>
    <row r="7" spans="1:24" s="6" customFormat="1" ht="9.9499999999999993" customHeight="1" x14ac:dyDescent="0.2">
      <c r="A7" s="130" t="s">
        <v>2</v>
      </c>
      <c r="B7" s="522" t="s">
        <v>45</v>
      </c>
      <c r="C7" s="523"/>
      <c r="D7" s="131" t="s">
        <v>25</v>
      </c>
      <c r="E7" s="32">
        <f t="shared" ref="E7:G10" si="4">SUM(J7,O7)</f>
        <v>379000</v>
      </c>
      <c r="F7" s="33">
        <f t="shared" si="4"/>
        <v>379000</v>
      </c>
      <c r="G7" s="33">
        <f t="shared" si="4"/>
        <v>233200</v>
      </c>
      <c r="H7" s="9">
        <f t="shared" si="0"/>
        <v>61.530343007915569</v>
      </c>
      <c r="I7" s="34">
        <f>SUM(N7,S7)</f>
        <v>219428</v>
      </c>
      <c r="J7" s="262">
        <v>379000</v>
      </c>
      <c r="K7" s="35">
        <v>379000</v>
      </c>
      <c r="L7" s="35">
        <v>233200</v>
      </c>
      <c r="M7" s="161">
        <f t="shared" ref="M7:M33" si="5">L7/K7*100</f>
        <v>61.530343007915569</v>
      </c>
      <c r="N7" s="36">
        <v>219428</v>
      </c>
      <c r="O7" s="263"/>
      <c r="P7" s="35"/>
      <c r="Q7" s="35"/>
      <c r="R7" s="161" t="e">
        <f t="shared" ref="R7:R33" si="6">Q7/P7*100</f>
        <v>#DIV/0!</v>
      </c>
      <c r="S7" s="36"/>
      <c r="T7" s="263">
        <v>15000</v>
      </c>
      <c r="U7" s="35">
        <v>15000</v>
      </c>
      <c r="V7" s="35"/>
      <c r="W7" s="161">
        <f t="shared" ref="W7:W33" si="7">V7/U7*100</f>
        <v>0</v>
      </c>
      <c r="X7" s="162">
        <v>4500</v>
      </c>
    </row>
    <row r="8" spans="1:24" s="6" customFormat="1" ht="9.9499999999999993" customHeight="1" x14ac:dyDescent="0.2">
      <c r="A8" s="132" t="s">
        <v>3</v>
      </c>
      <c r="B8" s="524" t="s">
        <v>46</v>
      </c>
      <c r="C8" s="525"/>
      <c r="D8" s="133" t="s">
        <v>25</v>
      </c>
      <c r="E8" s="38">
        <f t="shared" si="4"/>
        <v>600</v>
      </c>
      <c r="F8" s="39">
        <f t="shared" si="4"/>
        <v>600</v>
      </c>
      <c r="G8" s="39">
        <f t="shared" si="4"/>
        <v>156.04</v>
      </c>
      <c r="H8" s="10">
        <f t="shared" si="0"/>
        <v>26.006666666666668</v>
      </c>
      <c r="I8" s="229">
        <f>SUM(N8,S8)</f>
        <v>298</v>
      </c>
      <c r="J8" s="243">
        <v>600</v>
      </c>
      <c r="K8" s="218">
        <v>600</v>
      </c>
      <c r="L8" s="218">
        <v>156.04</v>
      </c>
      <c r="M8" s="163">
        <f t="shared" si="5"/>
        <v>26.006666666666668</v>
      </c>
      <c r="N8" s="229">
        <v>298</v>
      </c>
      <c r="O8" s="217"/>
      <c r="P8" s="218"/>
      <c r="Q8" s="218"/>
      <c r="R8" s="163" t="e">
        <f t="shared" si="6"/>
        <v>#DIV/0!</v>
      </c>
      <c r="S8" s="229"/>
      <c r="T8" s="217"/>
      <c r="U8" s="218"/>
      <c r="V8" s="218"/>
      <c r="W8" s="163" t="e">
        <f t="shared" si="7"/>
        <v>#DIV/0!</v>
      </c>
      <c r="X8" s="164"/>
    </row>
    <row r="9" spans="1:24" s="6" customFormat="1" ht="9.9499999999999993" customHeight="1" x14ac:dyDescent="0.2">
      <c r="A9" s="232" t="s">
        <v>4</v>
      </c>
      <c r="B9" s="233" t="s">
        <v>60</v>
      </c>
      <c r="C9" s="234"/>
      <c r="D9" s="235" t="s">
        <v>25</v>
      </c>
      <c r="E9" s="42">
        <f t="shared" si="4"/>
        <v>6085190</v>
      </c>
      <c r="F9" s="43">
        <f t="shared" si="4"/>
        <v>6103663</v>
      </c>
      <c r="G9" s="43">
        <f t="shared" si="4"/>
        <v>3021424</v>
      </c>
      <c r="H9" s="26">
        <f t="shared" si="0"/>
        <v>49.501815549121901</v>
      </c>
      <c r="I9" s="230">
        <f>SUM(N9,S9)</f>
        <v>2838335</v>
      </c>
      <c r="J9" s="244">
        <v>1279290</v>
      </c>
      <c r="K9" s="264">
        <v>1297763</v>
      </c>
      <c r="L9" s="264">
        <v>653080</v>
      </c>
      <c r="M9" s="165">
        <f t="shared" si="5"/>
        <v>50.32351823869228</v>
      </c>
      <c r="N9" s="230">
        <v>563010</v>
      </c>
      <c r="O9" s="221">
        <v>4805900</v>
      </c>
      <c r="P9" s="264">
        <v>4805900</v>
      </c>
      <c r="Q9" s="264">
        <v>2368344</v>
      </c>
      <c r="R9" s="165">
        <f t="shared" si="6"/>
        <v>49.279926756694898</v>
      </c>
      <c r="S9" s="230">
        <v>2275325</v>
      </c>
      <c r="T9" s="221"/>
      <c r="U9" s="264"/>
      <c r="V9" s="264"/>
      <c r="W9" s="165" t="e">
        <f t="shared" si="7"/>
        <v>#DIV/0!</v>
      </c>
      <c r="X9" s="166"/>
    </row>
    <row r="10" spans="1:24" s="6" customFormat="1" ht="9.9499999999999993" customHeight="1" x14ac:dyDescent="0.2">
      <c r="A10" s="134" t="s">
        <v>5</v>
      </c>
      <c r="B10" s="526" t="s">
        <v>7</v>
      </c>
      <c r="C10" s="527"/>
      <c r="D10" s="20" t="s">
        <v>25</v>
      </c>
      <c r="E10" s="46">
        <f t="shared" si="4"/>
        <v>0</v>
      </c>
      <c r="F10" s="46">
        <f t="shared" si="4"/>
        <v>0</v>
      </c>
      <c r="G10" s="46">
        <f t="shared" si="4"/>
        <v>0</v>
      </c>
      <c r="H10" s="24" t="e">
        <f t="shared" si="0"/>
        <v>#DIV/0!</v>
      </c>
      <c r="I10" s="47">
        <f>SUM(N10,S10)</f>
        <v>0</v>
      </c>
      <c r="J10" s="31"/>
      <c r="K10" s="46"/>
      <c r="L10" s="46"/>
      <c r="M10" s="160" t="e">
        <f t="shared" si="5"/>
        <v>#DIV/0!</v>
      </c>
      <c r="N10" s="47"/>
      <c r="O10" s="46"/>
      <c r="P10" s="46"/>
      <c r="Q10" s="46"/>
      <c r="R10" s="160" t="e">
        <f t="shared" si="6"/>
        <v>#DIV/0!</v>
      </c>
      <c r="S10" s="47"/>
      <c r="T10" s="46"/>
      <c r="U10" s="46"/>
      <c r="V10" s="46"/>
      <c r="W10" s="160" t="e">
        <f t="shared" si="7"/>
        <v>#DIV/0!</v>
      </c>
      <c r="X10" s="167"/>
    </row>
    <row r="11" spans="1:24" s="6" customFormat="1" ht="9.9499999999999993" customHeight="1" x14ac:dyDescent="0.2">
      <c r="A11" s="134" t="s">
        <v>6</v>
      </c>
      <c r="B11" s="526" t="s">
        <v>9</v>
      </c>
      <c r="C11" s="527"/>
      <c r="D11" s="20" t="s">
        <v>25</v>
      </c>
      <c r="E11" s="29">
        <f>SUM(E12:E31)</f>
        <v>6464790</v>
      </c>
      <c r="F11" s="29">
        <f>SUM(F12:F31)</f>
        <v>6483263</v>
      </c>
      <c r="G11" s="29">
        <f>SUM(G12:G31)</f>
        <v>3156762</v>
      </c>
      <c r="H11" s="24">
        <f t="shared" si="0"/>
        <v>48.690944667831616</v>
      </c>
      <c r="I11" s="30">
        <f>SUM(I12:I31)</f>
        <v>2662396</v>
      </c>
      <c r="J11" s="29">
        <f>SUM(J12:J31)</f>
        <v>1658890</v>
      </c>
      <c r="K11" s="29">
        <f>SUM(K12:K31)</f>
        <v>1677363</v>
      </c>
      <c r="L11" s="29">
        <f>SUM(L12:L31)</f>
        <v>788418</v>
      </c>
      <c r="M11" s="160">
        <f t="shared" si="5"/>
        <v>47.003421441870366</v>
      </c>
      <c r="N11" s="30">
        <f>SUM(N12:N31)</f>
        <v>387071</v>
      </c>
      <c r="O11" s="29">
        <f>SUM(O12:O31)</f>
        <v>4805900</v>
      </c>
      <c r="P11" s="29">
        <f>SUM(P12:P31)</f>
        <v>4805900</v>
      </c>
      <c r="Q11" s="29">
        <f>SUM(Q12:Q31)</f>
        <v>2368344</v>
      </c>
      <c r="R11" s="160">
        <f t="shared" si="6"/>
        <v>49.279926756694898</v>
      </c>
      <c r="S11" s="30">
        <f>SUM(S12:S31)</f>
        <v>2275325</v>
      </c>
      <c r="T11" s="29">
        <f>SUM(T12:T31)</f>
        <v>10000</v>
      </c>
      <c r="U11" s="29">
        <f>SUM(U12:U31)</f>
        <v>10000</v>
      </c>
      <c r="V11" s="29">
        <f>SUM(V12:V31)</f>
        <v>0</v>
      </c>
      <c r="W11" s="160">
        <f t="shared" si="7"/>
        <v>0</v>
      </c>
      <c r="X11" s="29">
        <f>SUM(X12:X31)</f>
        <v>0</v>
      </c>
    </row>
    <row r="12" spans="1:24" s="6" customFormat="1" ht="9.9499999999999993" customHeight="1" x14ac:dyDescent="0.2">
      <c r="A12" s="130" t="s">
        <v>8</v>
      </c>
      <c r="B12" s="528" t="s">
        <v>28</v>
      </c>
      <c r="C12" s="528"/>
      <c r="D12" s="131" t="s">
        <v>25</v>
      </c>
      <c r="E12" s="32">
        <f t="shared" ref="E12:I29" si="8">SUM(J12,O12)</f>
        <v>196484</v>
      </c>
      <c r="F12" s="33">
        <f t="shared" si="8"/>
        <v>196484</v>
      </c>
      <c r="G12" s="33">
        <f t="shared" si="8"/>
        <v>120001</v>
      </c>
      <c r="H12" s="9">
        <f t="shared" si="0"/>
        <v>61.074184157488652</v>
      </c>
      <c r="I12" s="34">
        <f t="shared" si="8"/>
        <v>106172</v>
      </c>
      <c r="J12" s="266">
        <v>196484</v>
      </c>
      <c r="K12" s="48">
        <v>196484</v>
      </c>
      <c r="L12" s="48">
        <v>120001</v>
      </c>
      <c r="M12" s="168">
        <f t="shared" si="5"/>
        <v>61.074184157488652</v>
      </c>
      <c r="N12" s="49">
        <v>106172</v>
      </c>
      <c r="O12" s="267"/>
      <c r="P12" s="48"/>
      <c r="Q12" s="48"/>
      <c r="R12" s="168" t="e">
        <f t="shared" si="6"/>
        <v>#DIV/0!</v>
      </c>
      <c r="S12" s="51"/>
      <c r="T12" s="267"/>
      <c r="U12" s="48"/>
      <c r="V12" s="48"/>
      <c r="W12" s="168" t="e">
        <f t="shared" si="7"/>
        <v>#DIV/0!</v>
      </c>
      <c r="X12" s="169"/>
    </row>
    <row r="13" spans="1:24" s="6" customFormat="1" ht="9.9499999999999993" customHeight="1" x14ac:dyDescent="0.2">
      <c r="A13" s="135" t="s">
        <v>10</v>
      </c>
      <c r="B13" s="508" t="s">
        <v>29</v>
      </c>
      <c r="C13" s="508"/>
      <c r="D13" s="133" t="s">
        <v>25</v>
      </c>
      <c r="E13" s="38">
        <f t="shared" si="8"/>
        <v>635000</v>
      </c>
      <c r="F13" s="39">
        <f t="shared" si="8"/>
        <v>635000</v>
      </c>
      <c r="G13" s="39">
        <f t="shared" si="8"/>
        <v>165521</v>
      </c>
      <c r="H13" s="10">
        <f t="shared" si="0"/>
        <v>26.066299212598427</v>
      </c>
      <c r="I13" s="229">
        <f t="shared" si="8"/>
        <v>123501</v>
      </c>
      <c r="J13" s="240">
        <v>635000</v>
      </c>
      <c r="K13" s="218">
        <v>635000</v>
      </c>
      <c r="L13" s="218">
        <v>165521</v>
      </c>
      <c r="M13" s="163">
        <f t="shared" si="5"/>
        <v>26.066299212598427</v>
      </c>
      <c r="N13" s="229">
        <v>123501</v>
      </c>
      <c r="O13" s="217"/>
      <c r="P13" s="218"/>
      <c r="Q13" s="218"/>
      <c r="R13" s="163" t="e">
        <f t="shared" si="6"/>
        <v>#DIV/0!</v>
      </c>
      <c r="S13" s="229"/>
      <c r="T13" s="217"/>
      <c r="U13" s="218"/>
      <c r="V13" s="218"/>
      <c r="W13" s="163" t="e">
        <f t="shared" si="7"/>
        <v>#DIV/0!</v>
      </c>
      <c r="X13" s="164"/>
    </row>
    <row r="14" spans="1:24" s="6" customFormat="1" ht="9.9499999999999993" customHeight="1" x14ac:dyDescent="0.2">
      <c r="A14" s="135" t="s">
        <v>11</v>
      </c>
      <c r="B14" s="236" t="s">
        <v>61</v>
      </c>
      <c r="C14" s="237"/>
      <c r="D14" s="133" t="s">
        <v>25</v>
      </c>
      <c r="E14" s="38">
        <f t="shared" si="8"/>
        <v>0</v>
      </c>
      <c r="F14" s="39">
        <f t="shared" si="8"/>
        <v>0</v>
      </c>
      <c r="G14" s="39">
        <f t="shared" si="8"/>
        <v>0</v>
      </c>
      <c r="H14" s="10" t="e">
        <f t="shared" si="0"/>
        <v>#DIV/0!</v>
      </c>
      <c r="I14" s="229">
        <f t="shared" si="8"/>
        <v>0</v>
      </c>
      <c r="J14" s="240"/>
      <c r="K14" s="218"/>
      <c r="L14" s="218"/>
      <c r="M14" s="163" t="e">
        <f t="shared" si="5"/>
        <v>#DIV/0!</v>
      </c>
      <c r="N14" s="229"/>
      <c r="O14" s="217"/>
      <c r="P14" s="218"/>
      <c r="Q14" s="218"/>
      <c r="R14" s="163" t="e">
        <f t="shared" si="6"/>
        <v>#DIV/0!</v>
      </c>
      <c r="S14" s="229"/>
      <c r="T14" s="217"/>
      <c r="U14" s="218"/>
      <c r="V14" s="218"/>
      <c r="W14" s="163" t="e">
        <f t="shared" si="7"/>
        <v>#DIV/0!</v>
      </c>
      <c r="X14" s="164"/>
    </row>
    <row r="15" spans="1:24" s="6" customFormat="1" ht="9.9499999999999993" customHeight="1" x14ac:dyDescent="0.2">
      <c r="A15" s="135" t="s">
        <v>12</v>
      </c>
      <c r="B15" s="511" t="s">
        <v>109</v>
      </c>
      <c r="C15" s="512"/>
      <c r="D15" s="133" t="s">
        <v>25</v>
      </c>
      <c r="E15" s="38">
        <f t="shared" si="8"/>
        <v>260000</v>
      </c>
      <c r="F15" s="39">
        <f t="shared" si="8"/>
        <v>260000</v>
      </c>
      <c r="G15" s="39">
        <f t="shared" si="8"/>
        <v>164327</v>
      </c>
      <c r="H15" s="10">
        <f t="shared" si="0"/>
        <v>63.20269230769231</v>
      </c>
      <c r="I15" s="229">
        <f t="shared" si="8"/>
        <v>20674</v>
      </c>
      <c r="J15" s="240">
        <v>260000</v>
      </c>
      <c r="K15" s="218">
        <v>260000</v>
      </c>
      <c r="L15" s="218">
        <v>164327</v>
      </c>
      <c r="M15" s="163">
        <f t="shared" si="5"/>
        <v>63.20269230769231</v>
      </c>
      <c r="N15" s="229">
        <v>20674</v>
      </c>
      <c r="O15" s="217"/>
      <c r="P15" s="218"/>
      <c r="Q15" s="218"/>
      <c r="R15" s="163" t="e">
        <f t="shared" si="6"/>
        <v>#DIV/0!</v>
      </c>
      <c r="S15" s="229"/>
      <c r="T15" s="217"/>
      <c r="U15" s="218"/>
      <c r="V15" s="218"/>
      <c r="W15" s="163" t="e">
        <f t="shared" si="7"/>
        <v>#DIV/0!</v>
      </c>
      <c r="X15" s="164"/>
    </row>
    <row r="16" spans="1:24" s="6" customFormat="1" ht="9.9499999999999993" customHeight="1" x14ac:dyDescent="0.2">
      <c r="A16" s="135" t="s">
        <v>13</v>
      </c>
      <c r="B16" s="511" t="s">
        <v>30</v>
      </c>
      <c r="C16" s="512"/>
      <c r="D16" s="133" t="s">
        <v>25</v>
      </c>
      <c r="E16" s="38">
        <f t="shared" si="8"/>
        <v>1700</v>
      </c>
      <c r="F16" s="39">
        <f t="shared" si="8"/>
        <v>1700</v>
      </c>
      <c r="G16" s="39">
        <f t="shared" si="8"/>
        <v>579</v>
      </c>
      <c r="H16" s="10">
        <f t="shared" si="0"/>
        <v>34.058823529411761</v>
      </c>
      <c r="I16" s="229">
        <f t="shared" si="8"/>
        <v>329</v>
      </c>
      <c r="J16" s="240">
        <v>1700</v>
      </c>
      <c r="K16" s="218">
        <v>1700</v>
      </c>
      <c r="L16" s="218">
        <v>579</v>
      </c>
      <c r="M16" s="163">
        <f t="shared" si="5"/>
        <v>34.058823529411761</v>
      </c>
      <c r="N16" s="229">
        <v>329</v>
      </c>
      <c r="O16" s="217"/>
      <c r="P16" s="218"/>
      <c r="Q16" s="218"/>
      <c r="R16" s="163" t="e">
        <f t="shared" si="6"/>
        <v>#DIV/0!</v>
      </c>
      <c r="S16" s="229"/>
      <c r="T16" s="217"/>
      <c r="U16" s="218"/>
      <c r="V16" s="218"/>
      <c r="W16" s="163" t="e">
        <f t="shared" si="7"/>
        <v>#DIV/0!</v>
      </c>
      <c r="X16" s="164"/>
    </row>
    <row r="17" spans="1:24" s="6" customFormat="1" ht="9.9499999999999993" customHeight="1" x14ac:dyDescent="0.2">
      <c r="A17" s="135" t="s">
        <v>14</v>
      </c>
      <c r="B17" s="236" t="s">
        <v>47</v>
      </c>
      <c r="C17" s="237"/>
      <c r="D17" s="133" t="s">
        <v>25</v>
      </c>
      <c r="E17" s="38">
        <f t="shared" si="8"/>
        <v>1000</v>
      </c>
      <c r="F17" s="39">
        <f t="shared" si="8"/>
        <v>1000</v>
      </c>
      <c r="G17" s="39">
        <f t="shared" si="8"/>
        <v>534</v>
      </c>
      <c r="H17" s="10">
        <f t="shared" si="0"/>
        <v>53.400000000000006</v>
      </c>
      <c r="I17" s="229">
        <f t="shared" si="8"/>
        <v>561</v>
      </c>
      <c r="J17" s="240">
        <v>1000</v>
      </c>
      <c r="K17" s="218">
        <v>1000</v>
      </c>
      <c r="L17" s="218">
        <v>534</v>
      </c>
      <c r="M17" s="163">
        <f t="shared" si="5"/>
        <v>53.400000000000006</v>
      </c>
      <c r="N17" s="229">
        <v>561</v>
      </c>
      <c r="O17" s="217"/>
      <c r="P17" s="218"/>
      <c r="Q17" s="218"/>
      <c r="R17" s="163" t="e">
        <f t="shared" si="6"/>
        <v>#DIV/0!</v>
      </c>
      <c r="S17" s="229"/>
      <c r="T17" s="217"/>
      <c r="U17" s="218"/>
      <c r="V17" s="218"/>
      <c r="W17" s="163" t="e">
        <f t="shared" si="7"/>
        <v>#DIV/0!</v>
      </c>
      <c r="X17" s="164"/>
    </row>
    <row r="18" spans="1:24" s="6" customFormat="1" ht="9.9499999999999993" customHeight="1" x14ac:dyDescent="0.2">
      <c r="A18" s="135" t="s">
        <v>15</v>
      </c>
      <c r="B18" s="511" t="s">
        <v>31</v>
      </c>
      <c r="C18" s="512"/>
      <c r="D18" s="133" t="s">
        <v>25</v>
      </c>
      <c r="E18" s="38">
        <f t="shared" si="8"/>
        <v>231000</v>
      </c>
      <c r="F18" s="39">
        <f t="shared" si="8"/>
        <v>230391</v>
      </c>
      <c r="G18" s="39">
        <f t="shared" si="8"/>
        <v>109958</v>
      </c>
      <c r="H18" s="10">
        <f t="shared" si="0"/>
        <v>47.726690712744855</v>
      </c>
      <c r="I18" s="229">
        <f t="shared" si="8"/>
        <v>79069</v>
      </c>
      <c r="J18" s="240">
        <v>231000</v>
      </c>
      <c r="K18" s="218">
        <v>230391</v>
      </c>
      <c r="L18" s="218">
        <v>109958</v>
      </c>
      <c r="M18" s="163">
        <f t="shared" si="5"/>
        <v>47.726690712744855</v>
      </c>
      <c r="N18" s="229">
        <v>79069</v>
      </c>
      <c r="O18" s="217"/>
      <c r="P18" s="218"/>
      <c r="Q18" s="218"/>
      <c r="R18" s="163" t="e">
        <f t="shared" si="6"/>
        <v>#DIV/0!</v>
      </c>
      <c r="S18" s="229"/>
      <c r="T18" s="217"/>
      <c r="U18" s="218"/>
      <c r="V18" s="218"/>
      <c r="W18" s="163" t="e">
        <f t="shared" si="7"/>
        <v>#DIV/0!</v>
      </c>
      <c r="X18" s="164"/>
    </row>
    <row r="19" spans="1:24" s="11" customFormat="1" ht="9.9499999999999993" customHeight="1" x14ac:dyDescent="0.2">
      <c r="A19" s="135" t="s">
        <v>16</v>
      </c>
      <c r="B19" s="508" t="s">
        <v>32</v>
      </c>
      <c r="C19" s="508"/>
      <c r="D19" s="133" t="s">
        <v>25</v>
      </c>
      <c r="E19" s="38">
        <f t="shared" si="8"/>
        <v>3511000</v>
      </c>
      <c r="F19" s="39">
        <f t="shared" si="8"/>
        <v>3511000</v>
      </c>
      <c r="G19" s="39">
        <f t="shared" si="8"/>
        <v>1742822</v>
      </c>
      <c r="H19" s="10">
        <f t="shared" si="0"/>
        <v>49.638906294502988</v>
      </c>
      <c r="I19" s="229">
        <f t="shared" si="8"/>
        <v>1682791</v>
      </c>
      <c r="J19" s="241"/>
      <c r="K19" s="218"/>
      <c r="L19" s="218"/>
      <c r="M19" s="163" t="e">
        <f t="shared" si="5"/>
        <v>#DIV/0!</v>
      </c>
      <c r="N19" s="229"/>
      <c r="O19" s="217">
        <v>3511000</v>
      </c>
      <c r="P19" s="218">
        <v>3511000</v>
      </c>
      <c r="Q19" s="218">
        <v>1742822</v>
      </c>
      <c r="R19" s="163">
        <f t="shared" si="6"/>
        <v>49.638906294502988</v>
      </c>
      <c r="S19" s="229">
        <v>1682791</v>
      </c>
      <c r="T19" s="268"/>
      <c r="U19" s="269"/>
      <c r="V19" s="269"/>
      <c r="W19" s="163" t="e">
        <f t="shared" si="7"/>
        <v>#DIV/0!</v>
      </c>
      <c r="X19" s="170"/>
    </row>
    <row r="20" spans="1:24" s="6" customFormat="1" ht="9.9499999999999993" customHeight="1" x14ac:dyDescent="0.2">
      <c r="A20" s="135" t="s">
        <v>17</v>
      </c>
      <c r="B20" s="508" t="s">
        <v>48</v>
      </c>
      <c r="C20" s="508"/>
      <c r="D20" s="133" t="s">
        <v>25</v>
      </c>
      <c r="E20" s="38">
        <f t="shared" si="8"/>
        <v>1208487</v>
      </c>
      <c r="F20" s="39">
        <f t="shared" si="8"/>
        <v>1208487</v>
      </c>
      <c r="G20" s="39">
        <f t="shared" si="8"/>
        <v>596142</v>
      </c>
      <c r="H20" s="10">
        <f t="shared" si="0"/>
        <v>49.329616288797482</v>
      </c>
      <c r="I20" s="229">
        <f t="shared" si="8"/>
        <v>572744</v>
      </c>
      <c r="J20" s="240"/>
      <c r="K20" s="218"/>
      <c r="L20" s="218"/>
      <c r="M20" s="163" t="e">
        <f t="shared" si="5"/>
        <v>#DIV/0!</v>
      </c>
      <c r="N20" s="229"/>
      <c r="O20" s="217">
        <v>1208487</v>
      </c>
      <c r="P20" s="218">
        <v>1208487</v>
      </c>
      <c r="Q20" s="218">
        <v>596142</v>
      </c>
      <c r="R20" s="163">
        <f t="shared" si="6"/>
        <v>49.329616288797482</v>
      </c>
      <c r="S20" s="229">
        <v>572744</v>
      </c>
      <c r="T20" s="217"/>
      <c r="U20" s="218"/>
      <c r="V20" s="218"/>
      <c r="W20" s="163" t="e">
        <f t="shared" si="7"/>
        <v>#DIV/0!</v>
      </c>
      <c r="X20" s="164"/>
    </row>
    <row r="21" spans="1:24" s="6" customFormat="1" ht="9.9499999999999993" customHeight="1" x14ac:dyDescent="0.2">
      <c r="A21" s="135" t="s">
        <v>18</v>
      </c>
      <c r="B21" s="508" t="s">
        <v>49</v>
      </c>
      <c r="C21" s="508"/>
      <c r="D21" s="133" t="s">
        <v>25</v>
      </c>
      <c r="E21" s="38">
        <f t="shared" si="8"/>
        <v>110413</v>
      </c>
      <c r="F21" s="39">
        <f t="shared" si="8"/>
        <v>110413</v>
      </c>
      <c r="G21" s="39">
        <f t="shared" si="8"/>
        <v>42545</v>
      </c>
      <c r="H21" s="10">
        <f t="shared" si="0"/>
        <v>38.532600327859946</v>
      </c>
      <c r="I21" s="229">
        <f t="shared" si="8"/>
        <v>28933</v>
      </c>
      <c r="J21" s="240">
        <v>24000</v>
      </c>
      <c r="K21" s="218">
        <v>24000</v>
      </c>
      <c r="L21" s="218">
        <v>13165</v>
      </c>
      <c r="M21" s="163">
        <f t="shared" si="5"/>
        <v>54.854166666666671</v>
      </c>
      <c r="N21" s="229">
        <v>9143</v>
      </c>
      <c r="O21" s="217">
        <v>86413</v>
      </c>
      <c r="P21" s="218">
        <v>86413</v>
      </c>
      <c r="Q21" s="218">
        <v>29380</v>
      </c>
      <c r="R21" s="163">
        <f t="shared" si="6"/>
        <v>33.999513962019606</v>
      </c>
      <c r="S21" s="229">
        <v>19790</v>
      </c>
      <c r="T21" s="217"/>
      <c r="U21" s="218"/>
      <c r="V21" s="218"/>
      <c r="W21" s="163" t="e">
        <f t="shared" si="7"/>
        <v>#DIV/0!</v>
      </c>
      <c r="X21" s="164"/>
    </row>
    <row r="22" spans="1:24" s="6" customFormat="1" ht="9.9499999999999993" customHeight="1" x14ac:dyDescent="0.2">
      <c r="A22" s="135" t="s">
        <v>19</v>
      </c>
      <c r="B22" s="508" t="s">
        <v>62</v>
      </c>
      <c r="C22" s="508"/>
      <c r="D22" s="133" t="s">
        <v>25</v>
      </c>
      <c r="E22" s="38">
        <f t="shared" si="8"/>
        <v>0</v>
      </c>
      <c r="F22" s="39">
        <f t="shared" si="8"/>
        <v>0</v>
      </c>
      <c r="G22" s="39">
        <f t="shared" si="8"/>
        <v>0</v>
      </c>
      <c r="H22" s="10" t="e">
        <f t="shared" si="0"/>
        <v>#DIV/0!</v>
      </c>
      <c r="I22" s="229">
        <f t="shared" si="8"/>
        <v>0</v>
      </c>
      <c r="J22" s="240"/>
      <c r="K22" s="218"/>
      <c r="L22" s="218"/>
      <c r="M22" s="163" t="e">
        <f t="shared" si="5"/>
        <v>#DIV/0!</v>
      </c>
      <c r="N22" s="229"/>
      <c r="O22" s="217"/>
      <c r="P22" s="218"/>
      <c r="Q22" s="218"/>
      <c r="R22" s="163" t="e">
        <f t="shared" si="6"/>
        <v>#DIV/0!</v>
      </c>
      <c r="S22" s="229"/>
      <c r="T22" s="217"/>
      <c r="U22" s="218"/>
      <c r="V22" s="218"/>
      <c r="W22" s="163" t="e">
        <f t="shared" si="7"/>
        <v>#DIV/0!</v>
      </c>
      <c r="X22" s="164"/>
    </row>
    <row r="23" spans="1:24" s="6" customFormat="1" ht="9.9499999999999993" customHeight="1" x14ac:dyDescent="0.2">
      <c r="A23" s="135" t="s">
        <v>20</v>
      </c>
      <c r="B23" s="223" t="s">
        <v>101</v>
      </c>
      <c r="C23" s="223"/>
      <c r="D23" s="133" t="s">
        <v>25</v>
      </c>
      <c r="E23" s="38">
        <f t="shared" si="8"/>
        <v>0</v>
      </c>
      <c r="F23" s="39">
        <f t="shared" si="8"/>
        <v>0</v>
      </c>
      <c r="G23" s="39">
        <f t="shared" si="8"/>
        <v>0</v>
      </c>
      <c r="H23" s="10" t="e">
        <f t="shared" si="0"/>
        <v>#DIV/0!</v>
      </c>
      <c r="I23" s="229">
        <f t="shared" si="8"/>
        <v>0</v>
      </c>
      <c r="J23" s="240"/>
      <c r="K23" s="218"/>
      <c r="L23" s="218"/>
      <c r="M23" s="163" t="e">
        <f t="shared" si="5"/>
        <v>#DIV/0!</v>
      </c>
      <c r="N23" s="229"/>
      <c r="O23" s="217"/>
      <c r="P23" s="218"/>
      <c r="Q23" s="218"/>
      <c r="R23" s="163" t="e">
        <f t="shared" si="6"/>
        <v>#DIV/0!</v>
      </c>
      <c r="S23" s="229"/>
      <c r="T23" s="217"/>
      <c r="U23" s="218"/>
      <c r="V23" s="218"/>
      <c r="W23" s="163" t="e">
        <f t="shared" si="7"/>
        <v>#DIV/0!</v>
      </c>
      <c r="X23" s="164"/>
    </row>
    <row r="24" spans="1:24" s="6" customFormat="1" ht="9.9499999999999993" customHeight="1" x14ac:dyDescent="0.2">
      <c r="A24" s="135" t="s">
        <v>21</v>
      </c>
      <c r="B24" s="223" t="s">
        <v>110</v>
      </c>
      <c r="C24" s="223"/>
      <c r="D24" s="133" t="s">
        <v>25</v>
      </c>
      <c r="E24" s="38">
        <f t="shared" si="8"/>
        <v>0</v>
      </c>
      <c r="F24" s="39">
        <f t="shared" si="8"/>
        <v>0</v>
      </c>
      <c r="G24" s="39">
        <f t="shared" si="8"/>
        <v>0</v>
      </c>
      <c r="H24" s="10" t="e">
        <f t="shared" si="0"/>
        <v>#DIV/0!</v>
      </c>
      <c r="I24" s="229">
        <f t="shared" si="8"/>
        <v>0</v>
      </c>
      <c r="J24" s="240"/>
      <c r="K24" s="218"/>
      <c r="L24" s="218"/>
      <c r="M24" s="163" t="e">
        <f t="shared" si="5"/>
        <v>#DIV/0!</v>
      </c>
      <c r="N24" s="229"/>
      <c r="O24" s="217"/>
      <c r="P24" s="218"/>
      <c r="Q24" s="218"/>
      <c r="R24" s="163" t="e">
        <f t="shared" si="6"/>
        <v>#DIV/0!</v>
      </c>
      <c r="S24" s="229"/>
      <c r="T24" s="217"/>
      <c r="U24" s="218"/>
      <c r="V24" s="218"/>
      <c r="W24" s="163" t="e">
        <f t="shared" si="7"/>
        <v>#DIV/0!</v>
      </c>
      <c r="X24" s="164"/>
    </row>
    <row r="25" spans="1:24" s="13" customFormat="1" ht="9.9499999999999993" customHeight="1" x14ac:dyDescent="0.2">
      <c r="A25" s="135" t="s">
        <v>22</v>
      </c>
      <c r="B25" s="223" t="s">
        <v>63</v>
      </c>
      <c r="C25" s="223"/>
      <c r="D25" s="133" t="s">
        <v>25</v>
      </c>
      <c r="E25" s="38">
        <f t="shared" si="8"/>
        <v>1958</v>
      </c>
      <c r="F25" s="39">
        <f t="shared" si="8"/>
        <v>2567</v>
      </c>
      <c r="G25" s="39">
        <f t="shared" si="8"/>
        <v>2567</v>
      </c>
      <c r="H25" s="14">
        <f>G25/F25*100</f>
        <v>100</v>
      </c>
      <c r="I25" s="229">
        <f>SUM(N25,S25)</f>
        <v>1418</v>
      </c>
      <c r="J25" s="240">
        <v>1958</v>
      </c>
      <c r="K25" s="271">
        <v>2567</v>
      </c>
      <c r="L25" s="271">
        <v>2567</v>
      </c>
      <c r="M25" s="163">
        <f t="shared" si="5"/>
        <v>100</v>
      </c>
      <c r="N25" s="272">
        <v>1418</v>
      </c>
      <c r="O25" s="273"/>
      <c r="P25" s="271"/>
      <c r="Q25" s="271"/>
      <c r="R25" s="163" t="e">
        <f t="shared" si="6"/>
        <v>#DIV/0!</v>
      </c>
      <c r="S25" s="274"/>
      <c r="T25" s="273"/>
      <c r="U25" s="271"/>
      <c r="V25" s="271"/>
      <c r="W25" s="163" t="e">
        <f t="shared" si="7"/>
        <v>#DIV/0!</v>
      </c>
      <c r="X25" s="171"/>
    </row>
    <row r="26" spans="1:24" s="6" customFormat="1" ht="9.9499999999999993" customHeight="1" x14ac:dyDescent="0.2">
      <c r="A26" s="135" t="s">
        <v>23</v>
      </c>
      <c r="B26" s="511" t="s">
        <v>64</v>
      </c>
      <c r="C26" s="512"/>
      <c r="D26" s="133" t="s">
        <v>25</v>
      </c>
      <c r="E26" s="38">
        <f t="shared" si="8"/>
        <v>0</v>
      </c>
      <c r="F26" s="39">
        <f t="shared" si="8"/>
        <v>0</v>
      </c>
      <c r="G26" s="39">
        <f t="shared" si="8"/>
        <v>0</v>
      </c>
      <c r="H26" s="10" t="e">
        <f t="shared" si="0"/>
        <v>#DIV/0!</v>
      </c>
      <c r="I26" s="229">
        <f t="shared" si="8"/>
        <v>0</v>
      </c>
      <c r="J26" s="240"/>
      <c r="K26" s="276"/>
      <c r="L26" s="276"/>
      <c r="M26" s="163" t="e">
        <f t="shared" si="5"/>
        <v>#DIV/0!</v>
      </c>
      <c r="N26" s="272"/>
      <c r="O26" s="277"/>
      <c r="P26" s="276"/>
      <c r="Q26" s="276"/>
      <c r="R26" s="163" t="e">
        <f t="shared" si="6"/>
        <v>#DIV/0!</v>
      </c>
      <c r="S26" s="272"/>
      <c r="T26" s="299"/>
      <c r="U26" s="300"/>
      <c r="V26" s="300"/>
      <c r="W26" s="163" t="e">
        <f t="shared" si="7"/>
        <v>#DIV/0!</v>
      </c>
      <c r="X26" s="170"/>
    </row>
    <row r="27" spans="1:24" s="13" customFormat="1" ht="9.9499999999999993" customHeight="1" x14ac:dyDescent="0.2">
      <c r="A27" s="135" t="s">
        <v>44</v>
      </c>
      <c r="B27" s="236" t="s">
        <v>65</v>
      </c>
      <c r="C27" s="237"/>
      <c r="D27" s="133" t="s">
        <v>25</v>
      </c>
      <c r="E27" s="38">
        <f t="shared" si="8"/>
        <v>109248</v>
      </c>
      <c r="F27" s="39">
        <f t="shared" si="8"/>
        <v>127721</v>
      </c>
      <c r="G27" s="39">
        <f t="shared" si="8"/>
        <v>63024</v>
      </c>
      <c r="H27" s="14">
        <f t="shared" si="0"/>
        <v>49.345056803501379</v>
      </c>
      <c r="I27" s="229">
        <f t="shared" si="8"/>
        <v>46204</v>
      </c>
      <c r="J27" s="240">
        <v>109248</v>
      </c>
      <c r="K27" s="276">
        <v>127721</v>
      </c>
      <c r="L27" s="276">
        <v>63024</v>
      </c>
      <c r="M27" s="163">
        <f t="shared" si="5"/>
        <v>49.345056803501379</v>
      </c>
      <c r="N27" s="229">
        <v>46204</v>
      </c>
      <c r="O27" s="277"/>
      <c r="P27" s="276"/>
      <c r="Q27" s="276"/>
      <c r="R27" s="163" t="e">
        <f t="shared" si="6"/>
        <v>#DIV/0!</v>
      </c>
      <c r="S27" s="272"/>
      <c r="T27" s="299"/>
      <c r="U27" s="300"/>
      <c r="V27" s="300"/>
      <c r="W27" s="163" t="e">
        <f t="shared" si="7"/>
        <v>#DIV/0!</v>
      </c>
      <c r="X27" s="171"/>
    </row>
    <row r="28" spans="1:24" s="13" customFormat="1" ht="9.9499999999999993" customHeight="1" x14ac:dyDescent="0.2">
      <c r="A28" s="135" t="s">
        <v>50</v>
      </c>
      <c r="B28" s="236" t="s">
        <v>91</v>
      </c>
      <c r="C28" s="237"/>
      <c r="D28" s="133" t="s">
        <v>25</v>
      </c>
      <c r="E28" s="38">
        <f>SUM(J28,O28)</f>
        <v>198500</v>
      </c>
      <c r="F28" s="39">
        <f>SUM(K28,P28)</f>
        <v>198500</v>
      </c>
      <c r="G28" s="39">
        <f>SUM(L28,Q28)</f>
        <v>148742</v>
      </c>
      <c r="H28" s="14">
        <f>G28/F28*100</f>
        <v>74.932997481108316</v>
      </c>
      <c r="I28" s="229">
        <f>SUM(N28,S28)</f>
        <v>0</v>
      </c>
      <c r="J28" s="240">
        <v>198500</v>
      </c>
      <c r="K28" s="276">
        <v>198500</v>
      </c>
      <c r="L28" s="276">
        <v>148742</v>
      </c>
      <c r="M28" s="163">
        <f t="shared" si="5"/>
        <v>74.932997481108316</v>
      </c>
      <c r="N28" s="229"/>
      <c r="O28" s="277"/>
      <c r="P28" s="276"/>
      <c r="Q28" s="276"/>
      <c r="R28" s="163" t="e">
        <f t="shared" si="6"/>
        <v>#DIV/0!</v>
      </c>
      <c r="S28" s="272"/>
      <c r="T28" s="299">
        <v>10000</v>
      </c>
      <c r="U28" s="300">
        <v>10000</v>
      </c>
      <c r="V28" s="300"/>
      <c r="W28" s="163">
        <f t="shared" si="7"/>
        <v>0</v>
      </c>
      <c r="X28" s="171"/>
    </row>
    <row r="29" spans="1:24" s="15" customFormat="1" ht="9.9499999999999993" customHeight="1" x14ac:dyDescent="0.2">
      <c r="A29" s="135" t="s">
        <v>51</v>
      </c>
      <c r="B29" s="236" t="s">
        <v>66</v>
      </c>
      <c r="C29" s="237"/>
      <c r="D29" s="133" t="s">
        <v>25</v>
      </c>
      <c r="E29" s="38">
        <f t="shared" si="8"/>
        <v>0</v>
      </c>
      <c r="F29" s="39">
        <f t="shared" si="8"/>
        <v>0</v>
      </c>
      <c r="G29" s="39">
        <f t="shared" si="8"/>
        <v>0</v>
      </c>
      <c r="H29" s="14" t="e">
        <f t="shared" si="0"/>
        <v>#DIV/0!</v>
      </c>
      <c r="I29" s="229">
        <f t="shared" si="8"/>
        <v>0</v>
      </c>
      <c r="J29" s="240"/>
      <c r="K29" s="276"/>
      <c r="L29" s="276"/>
      <c r="M29" s="163" t="e">
        <f t="shared" si="5"/>
        <v>#DIV/0!</v>
      </c>
      <c r="N29" s="272"/>
      <c r="O29" s="277"/>
      <c r="P29" s="276"/>
      <c r="Q29" s="276"/>
      <c r="R29" s="163" t="e">
        <f t="shared" si="6"/>
        <v>#DIV/0!</v>
      </c>
      <c r="S29" s="272"/>
      <c r="T29" s="299"/>
      <c r="U29" s="300"/>
      <c r="V29" s="300"/>
      <c r="W29" s="163" t="e">
        <f t="shared" si="7"/>
        <v>#DIV/0!</v>
      </c>
      <c r="X29" s="171"/>
    </row>
    <row r="30" spans="1:24" s="6" customFormat="1" ht="9.75" x14ac:dyDescent="0.2">
      <c r="A30" s="135" t="s">
        <v>53</v>
      </c>
      <c r="B30" s="236" t="s">
        <v>52</v>
      </c>
      <c r="C30" s="237"/>
      <c r="D30" s="133" t="s">
        <v>25</v>
      </c>
      <c r="E30" s="38">
        <f t="shared" ref="E30:G31" si="9">SUM(J30,O30)</f>
        <v>0</v>
      </c>
      <c r="F30" s="39">
        <f t="shared" si="9"/>
        <v>0</v>
      </c>
      <c r="G30" s="39">
        <f t="shared" si="9"/>
        <v>0</v>
      </c>
      <c r="H30" s="14" t="e">
        <f t="shared" si="0"/>
        <v>#DIV/0!</v>
      </c>
      <c r="I30" s="229">
        <f>SUM(N30,S30)</f>
        <v>0</v>
      </c>
      <c r="J30" s="240"/>
      <c r="K30" s="276"/>
      <c r="L30" s="276"/>
      <c r="M30" s="163" t="e">
        <f t="shared" si="5"/>
        <v>#DIV/0!</v>
      </c>
      <c r="N30" s="272"/>
      <c r="O30" s="277"/>
      <c r="P30" s="276"/>
      <c r="Q30" s="276"/>
      <c r="R30" s="163" t="e">
        <f t="shared" si="6"/>
        <v>#DIV/0!</v>
      </c>
      <c r="S30" s="272"/>
      <c r="T30" s="299"/>
      <c r="U30" s="300"/>
      <c r="V30" s="300"/>
      <c r="W30" s="163" t="e">
        <f t="shared" si="7"/>
        <v>#DIV/0!</v>
      </c>
      <c r="X30" s="171"/>
    </row>
    <row r="31" spans="1:24" s="23" customFormat="1" ht="9.75" x14ac:dyDescent="0.2">
      <c r="A31" s="135" t="s">
        <v>54</v>
      </c>
      <c r="B31" s="236" t="s">
        <v>67</v>
      </c>
      <c r="C31" s="237"/>
      <c r="D31" s="133" t="s">
        <v>25</v>
      </c>
      <c r="E31" s="38">
        <f t="shared" si="9"/>
        <v>0</v>
      </c>
      <c r="F31" s="39">
        <f t="shared" si="9"/>
        <v>0</v>
      </c>
      <c r="G31" s="39">
        <f t="shared" si="9"/>
        <v>0</v>
      </c>
      <c r="H31" s="14" t="e">
        <f t="shared" si="0"/>
        <v>#DIV/0!</v>
      </c>
      <c r="I31" s="229">
        <f>SUM(N31,S31)</f>
        <v>0</v>
      </c>
      <c r="J31" s="240"/>
      <c r="K31" s="281"/>
      <c r="L31" s="281"/>
      <c r="M31" s="163" t="e">
        <f t="shared" si="5"/>
        <v>#DIV/0!</v>
      </c>
      <c r="N31" s="282"/>
      <c r="O31" s="283"/>
      <c r="P31" s="281"/>
      <c r="Q31" s="281"/>
      <c r="R31" s="163" t="e">
        <f t="shared" si="6"/>
        <v>#DIV/0!</v>
      </c>
      <c r="S31" s="282"/>
      <c r="T31" s="284"/>
      <c r="U31" s="285"/>
      <c r="V31" s="285"/>
      <c r="W31" s="163" t="e">
        <f t="shared" si="7"/>
        <v>#DIV/0!</v>
      </c>
      <c r="X31" s="172"/>
    </row>
    <row r="32" spans="1:24" s="23" customFormat="1" ht="9.75" x14ac:dyDescent="0.2">
      <c r="A32" s="238" t="s">
        <v>55</v>
      </c>
      <c r="B32" s="233" t="s">
        <v>68</v>
      </c>
      <c r="C32" s="239"/>
      <c r="D32" s="235" t="s">
        <v>25</v>
      </c>
      <c r="E32" s="42">
        <f>SUM(J32,O32)</f>
        <v>0</v>
      </c>
      <c r="F32" s="43">
        <f>SUM(K32,P32)</f>
        <v>0</v>
      </c>
      <c r="G32" s="43">
        <f>SUM(L32,Q32)</f>
        <v>0</v>
      </c>
      <c r="H32" s="16" t="e">
        <f t="shared" si="0"/>
        <v>#DIV/0!</v>
      </c>
      <c r="I32" s="230">
        <f>SUM(N32,S32)</f>
        <v>0</v>
      </c>
      <c r="J32" s="287"/>
      <c r="K32" s="288"/>
      <c r="L32" s="288"/>
      <c r="M32" s="165" t="e">
        <f t="shared" si="5"/>
        <v>#DIV/0!</v>
      </c>
      <c r="N32" s="289"/>
      <c r="O32" s="290"/>
      <c r="P32" s="288"/>
      <c r="Q32" s="288"/>
      <c r="R32" s="165" t="e">
        <f t="shared" si="6"/>
        <v>#DIV/0!</v>
      </c>
      <c r="S32" s="289"/>
      <c r="T32" s="290"/>
      <c r="U32" s="288"/>
      <c r="V32" s="288"/>
      <c r="W32" s="165" t="e">
        <f t="shared" si="7"/>
        <v>#DIV/0!</v>
      </c>
      <c r="X32" s="173"/>
    </row>
    <row r="33" spans="1:24" s="23" customFormat="1" ht="9.75" x14ac:dyDescent="0.2">
      <c r="A33" s="134" t="s">
        <v>56</v>
      </c>
      <c r="B33" s="21" t="s">
        <v>102</v>
      </c>
      <c r="C33" s="22"/>
      <c r="D33" s="20" t="s">
        <v>25</v>
      </c>
      <c r="E33" s="29">
        <f>E6-E11</f>
        <v>0</v>
      </c>
      <c r="F33" s="29">
        <f>F6-F11</f>
        <v>0</v>
      </c>
      <c r="G33" s="29">
        <f>G6-G11</f>
        <v>98018.040000000037</v>
      </c>
      <c r="H33" s="25" t="e">
        <f t="shared" si="0"/>
        <v>#DIV/0!</v>
      </c>
      <c r="I33" s="30">
        <f>I6-I11</f>
        <v>395665</v>
      </c>
      <c r="J33" s="140">
        <f>J6-J11</f>
        <v>0</v>
      </c>
      <c r="K33" s="140">
        <f t="shared" ref="K33:L33" si="10">K6-K11</f>
        <v>0</v>
      </c>
      <c r="L33" s="140">
        <f t="shared" si="10"/>
        <v>98018.040000000037</v>
      </c>
      <c r="M33" s="160" t="e">
        <f t="shared" si="5"/>
        <v>#DIV/0!</v>
      </c>
      <c r="N33" s="140">
        <f>N6-N11</f>
        <v>395665</v>
      </c>
      <c r="O33" s="140">
        <f t="shared" ref="O33:Q33" si="11">O6-O11</f>
        <v>0</v>
      </c>
      <c r="P33" s="140">
        <f t="shared" si="11"/>
        <v>0</v>
      </c>
      <c r="Q33" s="140">
        <f t="shared" si="11"/>
        <v>0</v>
      </c>
      <c r="R33" s="160" t="e">
        <f t="shared" si="6"/>
        <v>#DIV/0!</v>
      </c>
      <c r="S33" s="140">
        <f t="shared" ref="S33:V33" si="12">S6-S11</f>
        <v>0</v>
      </c>
      <c r="T33" s="140">
        <f t="shared" si="12"/>
        <v>5000</v>
      </c>
      <c r="U33" s="140">
        <f t="shared" si="12"/>
        <v>5000</v>
      </c>
      <c r="V33" s="140">
        <f t="shared" si="12"/>
        <v>0</v>
      </c>
      <c r="W33" s="160">
        <f t="shared" si="7"/>
        <v>0</v>
      </c>
      <c r="X33" s="29">
        <f>X6-X11</f>
        <v>4500</v>
      </c>
    </row>
    <row r="34" spans="1:24" ht="9" x14ac:dyDescent="0.2">
      <c r="A34" s="224" t="s">
        <v>57</v>
      </c>
      <c r="B34" s="509" t="s">
        <v>24</v>
      </c>
      <c r="C34" s="510"/>
      <c r="D34" s="136" t="s">
        <v>25</v>
      </c>
      <c r="E34" s="196">
        <v>20707</v>
      </c>
      <c r="F34" s="197">
        <v>21818</v>
      </c>
      <c r="G34" s="197">
        <v>21661</v>
      </c>
      <c r="H34" s="12">
        <f t="shared" ref="H34:H36" si="13">G34/F34*100</f>
        <v>99.280410670088912</v>
      </c>
      <c r="I34" s="256">
        <v>20915</v>
      </c>
      <c r="J34" s="594"/>
      <c r="K34" s="595"/>
      <c r="L34" s="595"/>
      <c r="M34" s="595"/>
      <c r="N34" s="595"/>
      <c r="O34" s="595"/>
      <c r="P34" s="595"/>
      <c r="Q34" s="595"/>
      <c r="R34" s="595"/>
      <c r="S34" s="595"/>
      <c r="T34" s="595"/>
      <c r="U34" s="595"/>
      <c r="V34" s="595"/>
      <c r="W34" s="595"/>
      <c r="X34" s="596"/>
    </row>
    <row r="35" spans="1:24" ht="9" x14ac:dyDescent="0.2">
      <c r="A35" s="137" t="s">
        <v>58</v>
      </c>
      <c r="B35" s="498" t="s">
        <v>33</v>
      </c>
      <c r="C35" s="499"/>
      <c r="D35" s="137" t="s">
        <v>26</v>
      </c>
      <c r="E35" s="293">
        <v>14.13</v>
      </c>
      <c r="F35" s="294">
        <v>13.41</v>
      </c>
      <c r="G35" s="294">
        <v>13.41</v>
      </c>
      <c r="H35" s="261">
        <f t="shared" si="13"/>
        <v>100</v>
      </c>
      <c r="I35" s="297">
        <v>13.41</v>
      </c>
      <c r="J35" s="597"/>
      <c r="K35" s="598"/>
      <c r="L35" s="598"/>
      <c r="M35" s="598"/>
      <c r="N35" s="598"/>
      <c r="O35" s="598"/>
      <c r="P35" s="598"/>
      <c r="Q35" s="598"/>
      <c r="R35" s="598"/>
      <c r="S35" s="598"/>
      <c r="T35" s="598"/>
      <c r="U35" s="598"/>
      <c r="V35" s="598"/>
      <c r="W35" s="598"/>
      <c r="X35" s="599"/>
    </row>
    <row r="36" spans="1:24" ht="9" x14ac:dyDescent="0.2">
      <c r="A36" s="225" t="s">
        <v>59</v>
      </c>
      <c r="B36" s="500" t="s">
        <v>27</v>
      </c>
      <c r="C36" s="501"/>
      <c r="D36" s="226" t="s">
        <v>26</v>
      </c>
      <c r="E36" s="295">
        <v>15</v>
      </c>
      <c r="F36" s="296">
        <v>15</v>
      </c>
      <c r="G36" s="296">
        <v>15</v>
      </c>
      <c r="H36" s="259">
        <f t="shared" si="13"/>
        <v>100</v>
      </c>
      <c r="I36" s="298">
        <v>16</v>
      </c>
      <c r="J36" s="600"/>
      <c r="K36" s="601"/>
      <c r="L36" s="601"/>
      <c r="M36" s="601"/>
      <c r="N36" s="601"/>
      <c r="O36" s="601"/>
      <c r="P36" s="601"/>
      <c r="Q36" s="601"/>
      <c r="R36" s="601"/>
      <c r="S36" s="601"/>
      <c r="T36" s="601"/>
      <c r="U36" s="601"/>
      <c r="V36" s="601"/>
      <c r="W36" s="601"/>
      <c r="X36" s="602"/>
    </row>
    <row r="37" spans="1:24" customFormat="1" x14ac:dyDescent="0.15">
      <c r="A37" s="2"/>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4"/>
  <sheetViews>
    <sheetView tabSelected="1" zoomScaleNormal="100" workbookViewId="0">
      <selection activeCell="A29" sqref="A29:I29"/>
    </sheetView>
  </sheetViews>
  <sheetFormatPr defaultRowHeight="12.75" x14ac:dyDescent="0.2"/>
  <cols>
    <col min="1" max="1" width="74.5" style="71" customWidth="1"/>
    <col min="2" max="9" width="23.75" style="71" customWidth="1"/>
    <col min="14" max="14" width="17.75" bestFit="1" customWidth="1"/>
  </cols>
  <sheetData>
    <row r="1" spans="1:14" ht="18.75" x14ac:dyDescent="0.3">
      <c r="A1" s="72" t="s">
        <v>78</v>
      </c>
      <c r="B1" s="70"/>
      <c r="C1" s="70"/>
      <c r="D1" s="70"/>
      <c r="E1" s="70"/>
      <c r="F1" s="70"/>
      <c r="G1" s="70"/>
      <c r="H1" s="70"/>
      <c r="I1" s="70"/>
    </row>
    <row r="3" spans="1:14" s="115" customFormat="1" ht="10.5" x14ac:dyDescent="0.15">
      <c r="A3" s="489" t="s">
        <v>125</v>
      </c>
      <c r="B3" s="489"/>
      <c r="C3" s="489"/>
      <c r="D3" s="489"/>
      <c r="E3" s="489"/>
      <c r="F3" s="489"/>
      <c r="G3" s="489"/>
      <c r="H3" s="489"/>
      <c r="I3" s="489"/>
    </row>
    <row r="4" spans="1:14" s="116" customFormat="1" ht="11.25" x14ac:dyDescent="0.2"/>
    <row r="5" spans="1:14" s="117" customFormat="1" ht="9.75" x14ac:dyDescent="0.2">
      <c r="A5" s="562" t="s">
        <v>69</v>
      </c>
      <c r="B5" s="563"/>
      <c r="C5" s="412" t="s">
        <v>25</v>
      </c>
      <c r="D5" s="564" t="s">
        <v>113</v>
      </c>
      <c r="E5" s="564"/>
      <c r="F5" s="564"/>
      <c r="G5" s="564"/>
      <c r="H5" s="564"/>
      <c r="I5" s="564"/>
    </row>
    <row r="6" spans="1:14" s="116" customFormat="1" ht="21.75" customHeight="1" x14ac:dyDescent="0.2">
      <c r="A6" s="565" t="s">
        <v>70</v>
      </c>
      <c r="B6" s="566"/>
      <c r="C6" s="192">
        <v>299216.96000000002</v>
      </c>
      <c r="D6" s="473" t="s">
        <v>213</v>
      </c>
      <c r="E6" s="473"/>
      <c r="F6" s="473"/>
      <c r="G6" s="473"/>
      <c r="H6" s="473"/>
      <c r="I6" s="473"/>
    </row>
    <row r="7" spans="1:14" s="118" customFormat="1" ht="11.25" x14ac:dyDescent="0.15">
      <c r="A7" s="565" t="s">
        <v>38</v>
      </c>
      <c r="B7" s="566"/>
      <c r="C7" s="192">
        <v>132108</v>
      </c>
      <c r="D7" s="473" t="s">
        <v>214</v>
      </c>
      <c r="E7" s="473"/>
      <c r="F7" s="473"/>
      <c r="G7" s="473"/>
      <c r="H7" s="473"/>
      <c r="I7" s="473"/>
    </row>
    <row r="8" spans="1:14" s="118" customFormat="1" ht="10.5" x14ac:dyDescent="0.15">
      <c r="A8" s="565" t="s">
        <v>71</v>
      </c>
      <c r="B8" s="566"/>
      <c r="C8" s="192">
        <v>5567073</v>
      </c>
      <c r="D8" s="606"/>
      <c r="E8" s="607"/>
      <c r="F8" s="607"/>
      <c r="G8" s="607"/>
      <c r="H8" s="607"/>
      <c r="I8" s="608"/>
    </row>
    <row r="9" spans="1:14" s="116" customFormat="1" ht="11.25" x14ac:dyDescent="0.2">
      <c r="C9" s="119"/>
    </row>
    <row r="10" spans="1:14" s="120" customFormat="1" ht="11.25" x14ac:dyDescent="0.2">
      <c r="A10" s="489" t="s">
        <v>134</v>
      </c>
      <c r="B10" s="489"/>
      <c r="C10" s="489"/>
      <c r="D10" s="489"/>
      <c r="E10" s="489"/>
      <c r="F10" s="489"/>
      <c r="G10" s="489"/>
      <c r="H10" s="489"/>
      <c r="I10" s="489"/>
    </row>
    <row r="11" spans="1:14" s="116" customFormat="1" ht="11.25" x14ac:dyDescent="0.2">
      <c r="C11" s="119"/>
    </row>
    <row r="12" spans="1:14" s="121" customFormat="1" ht="19.5" x14ac:dyDescent="0.15">
      <c r="A12" s="126" t="s">
        <v>93</v>
      </c>
      <c r="B12" s="126" t="s">
        <v>114</v>
      </c>
      <c r="C12" s="126" t="s">
        <v>94</v>
      </c>
      <c r="D12" s="126" t="s">
        <v>95</v>
      </c>
      <c r="E12" s="126" t="s">
        <v>115</v>
      </c>
      <c r="F12" s="126" t="s">
        <v>116</v>
      </c>
      <c r="G12" s="569" t="s">
        <v>96</v>
      </c>
      <c r="H12" s="569"/>
      <c r="I12" s="569"/>
    </row>
    <row r="13" spans="1:14" s="116" customFormat="1" ht="47.25" customHeight="1" x14ac:dyDescent="0.2">
      <c r="A13" s="428" t="s">
        <v>72</v>
      </c>
      <c r="B13" s="442">
        <v>204881.03</v>
      </c>
      <c r="C13" s="442">
        <v>132099.99</v>
      </c>
      <c r="D13" s="442">
        <v>112500</v>
      </c>
      <c r="E13" s="442">
        <f>B13+C13-D13</f>
        <v>224481.02000000002</v>
      </c>
      <c r="F13" s="446">
        <f>E13</f>
        <v>224481.02000000002</v>
      </c>
      <c r="G13" s="476" t="s">
        <v>215</v>
      </c>
      <c r="H13" s="609"/>
      <c r="I13" s="610"/>
    </row>
    <row r="14" spans="1:14" s="116" customFormat="1" ht="69" customHeight="1" x14ac:dyDescent="0.2">
      <c r="A14" s="429" t="s">
        <v>117</v>
      </c>
      <c r="B14" s="443">
        <v>234397.68</v>
      </c>
      <c r="C14" s="443">
        <v>578290</v>
      </c>
      <c r="D14" s="443">
        <v>431592.2</v>
      </c>
      <c r="E14" s="442">
        <f>B14+C14-D14</f>
        <v>381095.47999999992</v>
      </c>
      <c r="F14" s="446">
        <f>E14</f>
        <v>381095.47999999992</v>
      </c>
      <c r="G14" s="482" t="s">
        <v>216</v>
      </c>
      <c r="H14" s="551"/>
      <c r="I14" s="552"/>
      <c r="N14" s="122"/>
    </row>
    <row r="15" spans="1:14" s="116" customFormat="1" ht="11.25" x14ac:dyDescent="0.2">
      <c r="A15" s="429" t="s">
        <v>73</v>
      </c>
      <c r="B15" s="443">
        <v>66046.12</v>
      </c>
      <c r="C15" s="443">
        <v>0</v>
      </c>
      <c r="D15" s="443">
        <v>0</v>
      </c>
      <c r="E15" s="442">
        <f>B15+C15-D15</f>
        <v>66046.12</v>
      </c>
      <c r="F15" s="446">
        <f>E15</f>
        <v>66046.12</v>
      </c>
      <c r="G15" s="482" t="s">
        <v>217</v>
      </c>
      <c r="H15" s="551"/>
      <c r="I15" s="552"/>
    </row>
    <row r="16" spans="1:14" s="116" customFormat="1" ht="57" customHeight="1" x14ac:dyDescent="0.2">
      <c r="A16" s="430" t="s">
        <v>97</v>
      </c>
      <c r="B16" s="444">
        <v>157355.31</v>
      </c>
      <c r="C16" s="444">
        <v>194022</v>
      </c>
      <c r="D16" s="444">
        <v>74437</v>
      </c>
      <c r="E16" s="442">
        <f>B16+C16-D16</f>
        <v>276940.31</v>
      </c>
      <c r="F16" s="446">
        <f>E16</f>
        <v>276940.31</v>
      </c>
      <c r="G16" s="483" t="s">
        <v>218</v>
      </c>
      <c r="H16" s="553"/>
      <c r="I16" s="554"/>
    </row>
    <row r="17" spans="1:9" s="116" customFormat="1" ht="11.25" x14ac:dyDescent="0.2">
      <c r="A17" s="431" t="s">
        <v>34</v>
      </c>
      <c r="B17" s="445">
        <f>SUM(B13:B16)</f>
        <v>662680.1399999999</v>
      </c>
      <c r="C17" s="445">
        <f>SUM(C13:C16)</f>
        <v>904411.99</v>
      </c>
      <c r="D17" s="445">
        <f>SUM(D13:D16)</f>
        <v>618529.19999999995</v>
      </c>
      <c r="E17" s="445">
        <f>SUM(E13:E16)</f>
        <v>948562.92999999993</v>
      </c>
      <c r="F17" s="445">
        <f>SUM(F13:F16)</f>
        <v>948562.92999999993</v>
      </c>
      <c r="G17" s="611"/>
      <c r="H17" s="611"/>
      <c r="I17" s="611"/>
    </row>
    <row r="18" spans="1:9" s="123" customFormat="1" ht="11.25" x14ac:dyDescent="0.2">
      <c r="A18" s="175"/>
      <c r="B18" s="175"/>
      <c r="C18" s="124"/>
      <c r="D18" s="175"/>
      <c r="E18" s="175"/>
      <c r="F18" s="175"/>
      <c r="G18" s="175"/>
      <c r="H18" s="175"/>
      <c r="I18" s="175"/>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2.5" customHeight="1" x14ac:dyDescent="0.15">
      <c r="A33" s="486" t="s">
        <v>219</v>
      </c>
      <c r="B33" s="487"/>
      <c r="C33" s="487"/>
      <c r="D33" s="487"/>
      <c r="E33" s="487"/>
      <c r="F33" s="487"/>
      <c r="G33" s="487"/>
      <c r="H33" s="487"/>
      <c r="I33" s="488"/>
    </row>
    <row r="34" spans="1:9" ht="24.75" customHeight="1" x14ac:dyDescent="0.2">
      <c r="A34" s="603" t="s">
        <v>257</v>
      </c>
      <c r="B34" s="604"/>
      <c r="C34" s="604"/>
      <c r="D34" s="604"/>
      <c r="E34" s="604"/>
      <c r="F34" s="604"/>
      <c r="G34" s="604"/>
      <c r="H34" s="604"/>
      <c r="I34" s="605"/>
    </row>
  </sheetData>
  <mergeCells count="25">
    <mergeCell ref="A33:I33"/>
    <mergeCell ref="A34:I34"/>
    <mergeCell ref="A7:B7"/>
    <mergeCell ref="D7:I7"/>
    <mergeCell ref="A10:I10"/>
    <mergeCell ref="A8:B8"/>
    <mergeCell ref="D8:I8"/>
    <mergeCell ref="G12:I12"/>
    <mergeCell ref="A19:I19"/>
    <mergeCell ref="G13:I13"/>
    <mergeCell ref="G14:I14"/>
    <mergeCell ref="G15:I15"/>
    <mergeCell ref="G16:I16"/>
    <mergeCell ref="G17:I17"/>
    <mergeCell ref="A21:I21"/>
    <mergeCell ref="A25:I25"/>
    <mergeCell ref="A3:I3"/>
    <mergeCell ref="A5:B5"/>
    <mergeCell ref="D5:I5"/>
    <mergeCell ref="D6:I6"/>
    <mergeCell ref="A31:I31"/>
    <mergeCell ref="A23:I23"/>
    <mergeCell ref="A27:I27"/>
    <mergeCell ref="A29:I29"/>
    <mergeCell ref="A6:B6"/>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15">
      <c r="A1" s="618" t="s">
        <v>78</v>
      </c>
      <c r="B1" s="618"/>
      <c r="C1" s="618"/>
      <c r="D1" s="618"/>
      <c r="E1" s="618"/>
      <c r="F1" s="618"/>
      <c r="G1" s="618"/>
      <c r="H1" s="618"/>
      <c r="I1" s="618"/>
      <c r="J1" s="618"/>
      <c r="K1" s="618"/>
      <c r="L1" s="618"/>
      <c r="M1" s="618"/>
      <c r="N1" s="618"/>
      <c r="O1" s="618"/>
      <c r="P1" s="618"/>
      <c r="Q1" s="618"/>
      <c r="R1" s="618"/>
      <c r="S1" s="618"/>
      <c r="T1" s="618"/>
      <c r="U1" s="618"/>
      <c r="V1" s="618"/>
      <c r="W1" s="618"/>
      <c r="X1" s="618"/>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35537730</v>
      </c>
      <c r="F6" s="29">
        <f>SUM(F7:F9)</f>
        <v>35763324</v>
      </c>
      <c r="G6" s="29">
        <f>SUM(G7:G9)</f>
        <v>23096413.280000001</v>
      </c>
      <c r="H6" s="24">
        <f t="shared" ref="H6:H36" si="0">G6/F6*100</f>
        <v>64.581282433366667</v>
      </c>
      <c r="I6" s="29">
        <f>SUM(I7:I9)</f>
        <v>17279160</v>
      </c>
      <c r="J6" s="29">
        <f>SUM(J7:J9)</f>
        <v>5490430</v>
      </c>
      <c r="K6" s="29">
        <f t="shared" ref="K6:X6" si="1">SUM(K7:K9)</f>
        <v>5716024</v>
      </c>
      <c r="L6" s="29">
        <f t="shared" si="1"/>
        <v>3002013.2800000003</v>
      </c>
      <c r="M6" s="24">
        <f t="shared" ref="M6:M33" si="2">L6/K6*100</f>
        <v>52.519256042311937</v>
      </c>
      <c r="N6" s="30">
        <f t="shared" si="1"/>
        <v>2775118</v>
      </c>
      <c r="O6" s="29">
        <f t="shared" si="1"/>
        <v>30047300</v>
      </c>
      <c r="P6" s="29">
        <f t="shared" si="1"/>
        <v>30047300</v>
      </c>
      <c r="Q6" s="29">
        <f t="shared" si="1"/>
        <v>20094400</v>
      </c>
      <c r="R6" s="24">
        <f t="shared" ref="R6:R33" si="3">Q6/P6*100</f>
        <v>66.875892343072422</v>
      </c>
      <c r="S6" s="29">
        <f t="shared" si="1"/>
        <v>14504042</v>
      </c>
      <c r="T6" s="29">
        <f t="shared" si="1"/>
        <v>356000</v>
      </c>
      <c r="U6" s="29">
        <f t="shared" si="1"/>
        <v>356000</v>
      </c>
      <c r="V6" s="29">
        <f t="shared" si="1"/>
        <v>264274</v>
      </c>
      <c r="W6" s="24">
        <f t="shared" ref="W6:W33" si="4">V6/U6*100</f>
        <v>74.234269662921349</v>
      </c>
      <c r="X6" s="29">
        <f t="shared" si="1"/>
        <v>275193</v>
      </c>
    </row>
    <row r="7" spans="1:24" s="6" customFormat="1" ht="9.9499999999999993" customHeight="1" x14ac:dyDescent="0.2">
      <c r="A7" s="130" t="s">
        <v>2</v>
      </c>
      <c r="B7" s="522" t="s">
        <v>45</v>
      </c>
      <c r="C7" s="523"/>
      <c r="D7" s="131" t="s">
        <v>25</v>
      </c>
      <c r="E7" s="32">
        <f t="shared" ref="E7:G10" si="5">SUM(J7,O7)</f>
        <v>417000</v>
      </c>
      <c r="F7" s="33">
        <f t="shared" si="5"/>
        <v>443894</v>
      </c>
      <c r="G7" s="33">
        <f>SUM(L7,Q7)</f>
        <v>321455.2</v>
      </c>
      <c r="H7" s="9">
        <f t="shared" si="0"/>
        <v>72.41710858898746</v>
      </c>
      <c r="I7" s="34">
        <f>SUM(N7,S7)</f>
        <v>268084</v>
      </c>
      <c r="J7" s="262">
        <v>417000</v>
      </c>
      <c r="K7" s="35">
        <f>417000+12500+14394</f>
        <v>443894</v>
      </c>
      <c r="L7" s="35">
        <f>294450+12500+14505.2</f>
        <v>321455.2</v>
      </c>
      <c r="M7" s="9">
        <f t="shared" si="2"/>
        <v>72.41710858898746</v>
      </c>
      <c r="N7" s="302">
        <v>268084</v>
      </c>
      <c r="O7" s="263"/>
      <c r="P7" s="35"/>
      <c r="Q7" s="35"/>
      <c r="R7" s="9" t="e">
        <f t="shared" si="3"/>
        <v>#DIV/0!</v>
      </c>
      <c r="S7" s="302"/>
      <c r="T7" s="263">
        <v>356000</v>
      </c>
      <c r="U7" s="35">
        <v>356000</v>
      </c>
      <c r="V7" s="35">
        <v>264274</v>
      </c>
      <c r="W7" s="9">
        <f t="shared" si="4"/>
        <v>74.234269662921349</v>
      </c>
      <c r="X7" s="65">
        <v>275193</v>
      </c>
    </row>
    <row r="8" spans="1:24" s="6" customFormat="1" ht="9.9499999999999993" customHeight="1" x14ac:dyDescent="0.2">
      <c r="A8" s="132" t="s">
        <v>3</v>
      </c>
      <c r="B8" s="524" t="s">
        <v>46</v>
      </c>
      <c r="C8" s="525"/>
      <c r="D8" s="133" t="s">
        <v>25</v>
      </c>
      <c r="E8" s="38">
        <f t="shared" si="5"/>
        <v>3000</v>
      </c>
      <c r="F8" s="39">
        <f t="shared" si="5"/>
        <v>3000</v>
      </c>
      <c r="G8" s="39">
        <f t="shared" si="5"/>
        <v>833.96</v>
      </c>
      <c r="H8" s="10">
        <f t="shared" si="0"/>
        <v>27.798666666666666</v>
      </c>
      <c r="I8" s="40">
        <f>SUM(N8,S8)</f>
        <v>1512</v>
      </c>
      <c r="J8" s="243">
        <v>3000</v>
      </c>
      <c r="K8" s="218">
        <v>3000</v>
      </c>
      <c r="L8" s="218">
        <v>833.96</v>
      </c>
      <c r="M8" s="219">
        <f t="shared" si="2"/>
        <v>27.798666666666666</v>
      </c>
      <c r="N8" s="229">
        <v>1512</v>
      </c>
      <c r="O8" s="217"/>
      <c r="P8" s="218"/>
      <c r="Q8" s="218"/>
      <c r="R8" s="219" t="e">
        <f t="shared" si="3"/>
        <v>#DIV/0!</v>
      </c>
      <c r="S8" s="229"/>
      <c r="T8" s="217"/>
      <c r="U8" s="218"/>
      <c r="V8" s="218"/>
      <c r="W8" s="219" t="e">
        <f t="shared" si="4"/>
        <v>#DIV/0!</v>
      </c>
      <c r="X8" s="220"/>
    </row>
    <row r="9" spans="1:24" s="6" customFormat="1" ht="9.9499999999999993" customHeight="1" x14ac:dyDescent="0.2">
      <c r="A9" s="232" t="s">
        <v>4</v>
      </c>
      <c r="B9" s="233" t="s">
        <v>60</v>
      </c>
      <c r="C9" s="234"/>
      <c r="D9" s="235" t="s">
        <v>25</v>
      </c>
      <c r="E9" s="42">
        <f t="shared" si="5"/>
        <v>35117730</v>
      </c>
      <c r="F9" s="43">
        <f t="shared" si="5"/>
        <v>35316430</v>
      </c>
      <c r="G9" s="43">
        <f t="shared" si="5"/>
        <v>22774124.120000001</v>
      </c>
      <c r="H9" s="26">
        <f t="shared" si="0"/>
        <v>64.485918084019261</v>
      </c>
      <c r="I9" s="44">
        <f>SUM(N9,S9)</f>
        <v>17009564</v>
      </c>
      <c r="J9" s="244">
        <v>5070430</v>
      </c>
      <c r="K9" s="264">
        <v>5269130</v>
      </c>
      <c r="L9" s="264">
        <v>2679724.12</v>
      </c>
      <c r="M9" s="265">
        <f t="shared" si="2"/>
        <v>50.857050784474858</v>
      </c>
      <c r="N9" s="230">
        <v>2505522</v>
      </c>
      <c r="O9" s="221">
        <v>30047300</v>
      </c>
      <c r="P9" s="264">
        <v>30047300</v>
      </c>
      <c r="Q9" s="264">
        <v>20094400</v>
      </c>
      <c r="R9" s="265">
        <f t="shared" si="3"/>
        <v>66.875892343072422</v>
      </c>
      <c r="S9" s="230">
        <v>14504042</v>
      </c>
      <c r="T9" s="221"/>
      <c r="U9" s="264"/>
      <c r="V9" s="264"/>
      <c r="W9" s="265" t="e">
        <f t="shared" si="4"/>
        <v>#DIV/0!</v>
      </c>
      <c r="X9" s="222"/>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9.9499999999999993" customHeight="1" x14ac:dyDescent="0.2">
      <c r="A11" s="134" t="s">
        <v>6</v>
      </c>
      <c r="B11" s="526" t="s">
        <v>9</v>
      </c>
      <c r="C11" s="527"/>
      <c r="D11" s="20" t="s">
        <v>25</v>
      </c>
      <c r="E11" s="29">
        <f>SUM(E12:E31)</f>
        <v>35537730</v>
      </c>
      <c r="F11" s="29">
        <f>SUM(F12:F31)</f>
        <v>35763324</v>
      </c>
      <c r="G11" s="29">
        <f>SUM(G12:G31)</f>
        <v>17230123.32</v>
      </c>
      <c r="H11" s="24">
        <f t="shared" si="0"/>
        <v>48.178193167950496</v>
      </c>
      <c r="I11" s="30">
        <f>SUM(I12:I31)</f>
        <v>16138605</v>
      </c>
      <c r="J11" s="29">
        <f>SUM(J12:J31)</f>
        <v>5490430</v>
      </c>
      <c r="K11" s="29">
        <f>SUM(K12:K31)</f>
        <v>5716024</v>
      </c>
      <c r="L11" s="29">
        <f>SUM(L12:L31)</f>
        <v>2702796.32</v>
      </c>
      <c r="M11" s="24">
        <f t="shared" si="2"/>
        <v>47.284551639391296</v>
      </c>
      <c r="N11" s="30">
        <f>SUM(N12:N31)</f>
        <v>2352775</v>
      </c>
      <c r="O11" s="29">
        <f>SUM(O12:O31)</f>
        <v>30047300</v>
      </c>
      <c r="P11" s="29">
        <f>SUM(P12:P31)</f>
        <v>30047300</v>
      </c>
      <c r="Q11" s="29">
        <f>SUM(Q12:Q31)</f>
        <v>14527327</v>
      </c>
      <c r="R11" s="24">
        <f t="shared" si="3"/>
        <v>48.348194346913033</v>
      </c>
      <c r="S11" s="30">
        <f>SUM(S12:S31)</f>
        <v>13785830</v>
      </c>
      <c r="T11" s="29">
        <f>SUM(T12:T31)</f>
        <v>238000</v>
      </c>
      <c r="U11" s="29">
        <f>SUM(U12:U31)</f>
        <v>251500</v>
      </c>
      <c r="V11" s="29">
        <f>SUM(V12:V31)</f>
        <v>132166</v>
      </c>
      <c r="W11" s="24">
        <f t="shared" si="4"/>
        <v>52.551093439363818</v>
      </c>
      <c r="X11" s="29">
        <f>SUM(X12:X31)</f>
        <v>120312</v>
      </c>
    </row>
    <row r="12" spans="1:24" s="6" customFormat="1" ht="9.9499999999999993" customHeight="1" x14ac:dyDescent="0.2">
      <c r="A12" s="130" t="s">
        <v>8</v>
      </c>
      <c r="B12" s="528" t="s">
        <v>28</v>
      </c>
      <c r="C12" s="528"/>
      <c r="D12" s="131" t="s">
        <v>25</v>
      </c>
      <c r="E12" s="32">
        <f t="shared" ref="E12:I29" si="6">SUM(J12,O12)</f>
        <v>767830</v>
      </c>
      <c r="F12" s="33">
        <f t="shared" si="6"/>
        <v>782131</v>
      </c>
      <c r="G12" s="33">
        <f t="shared" si="6"/>
        <v>310739.13</v>
      </c>
      <c r="H12" s="9">
        <f t="shared" si="0"/>
        <v>39.729806132220816</v>
      </c>
      <c r="I12" s="34">
        <f t="shared" si="6"/>
        <v>237514</v>
      </c>
      <c r="J12" s="266">
        <v>445330</v>
      </c>
      <c r="K12" s="48">
        <f>445330+12500+1801</f>
        <v>459631</v>
      </c>
      <c r="L12" s="48">
        <v>301310.13</v>
      </c>
      <c r="M12" s="9">
        <f t="shared" si="2"/>
        <v>65.554788515134959</v>
      </c>
      <c r="N12" s="303">
        <v>191068</v>
      </c>
      <c r="O12" s="267">
        <v>322500</v>
      </c>
      <c r="P12" s="48">
        <v>322500</v>
      </c>
      <c r="Q12" s="48">
        <v>9429</v>
      </c>
      <c r="R12" s="9">
        <f t="shared" si="3"/>
        <v>2.923720930232558</v>
      </c>
      <c r="S12" s="304">
        <v>46446</v>
      </c>
      <c r="T12" s="267">
        <v>20000</v>
      </c>
      <c r="U12" s="48">
        <v>20000</v>
      </c>
      <c r="V12" s="48">
        <v>10049</v>
      </c>
      <c r="W12" s="9">
        <f t="shared" si="4"/>
        <v>50.244999999999997</v>
      </c>
      <c r="X12" s="52">
        <v>4691</v>
      </c>
    </row>
    <row r="13" spans="1:24" s="6" customFormat="1" ht="9.9499999999999993" customHeight="1" x14ac:dyDescent="0.2">
      <c r="A13" s="135" t="s">
        <v>10</v>
      </c>
      <c r="B13" s="508" t="s">
        <v>29</v>
      </c>
      <c r="C13" s="508"/>
      <c r="D13" s="133" t="s">
        <v>25</v>
      </c>
      <c r="E13" s="38">
        <f t="shared" si="6"/>
        <v>2950000</v>
      </c>
      <c r="F13" s="39">
        <f t="shared" si="6"/>
        <v>2600000</v>
      </c>
      <c r="G13" s="39">
        <f t="shared" si="6"/>
        <v>1482448</v>
      </c>
      <c r="H13" s="10">
        <f t="shared" si="0"/>
        <v>57.017230769230764</v>
      </c>
      <c r="I13" s="40">
        <f t="shared" si="6"/>
        <v>1410857</v>
      </c>
      <c r="J13" s="240">
        <v>2950000</v>
      </c>
      <c r="K13" s="218">
        <f>J13-350000</f>
        <v>2600000</v>
      </c>
      <c r="L13" s="218">
        <v>1482448</v>
      </c>
      <c r="M13" s="219">
        <f t="shared" si="2"/>
        <v>57.017230769230764</v>
      </c>
      <c r="N13" s="229">
        <v>1410857</v>
      </c>
      <c r="O13" s="217"/>
      <c r="P13" s="218"/>
      <c r="Q13" s="218"/>
      <c r="R13" s="219" t="e">
        <f t="shared" si="3"/>
        <v>#DIV/0!</v>
      </c>
      <c r="S13" s="229"/>
      <c r="T13" s="217">
        <v>155000</v>
      </c>
      <c r="U13" s="218">
        <v>155000</v>
      </c>
      <c r="V13" s="218">
        <v>88506</v>
      </c>
      <c r="W13" s="219">
        <f t="shared" si="4"/>
        <v>57.100645161290316</v>
      </c>
      <c r="X13" s="220">
        <v>91477</v>
      </c>
    </row>
    <row r="14" spans="1:24" s="6" customFormat="1" ht="9.9499999999999993" customHeight="1" x14ac:dyDescent="0.2">
      <c r="A14" s="135" t="s">
        <v>11</v>
      </c>
      <c r="B14" s="236" t="s">
        <v>61</v>
      </c>
      <c r="C14" s="237"/>
      <c r="D14" s="133" t="s">
        <v>25</v>
      </c>
      <c r="E14" s="38">
        <f t="shared" si="6"/>
        <v>0</v>
      </c>
      <c r="F14" s="39">
        <f t="shared" si="6"/>
        <v>0</v>
      </c>
      <c r="G14" s="39">
        <f t="shared" si="6"/>
        <v>0</v>
      </c>
      <c r="H14" s="10" t="e">
        <f t="shared" si="0"/>
        <v>#DIV/0!</v>
      </c>
      <c r="I14" s="40">
        <f t="shared" si="6"/>
        <v>0</v>
      </c>
      <c r="J14" s="240"/>
      <c r="K14" s="218"/>
      <c r="L14" s="218"/>
      <c r="M14" s="219" t="e">
        <f t="shared" si="2"/>
        <v>#DIV/0!</v>
      </c>
      <c r="N14" s="229"/>
      <c r="O14" s="217"/>
      <c r="P14" s="218"/>
      <c r="Q14" s="218"/>
      <c r="R14" s="219" t="e">
        <f t="shared" si="3"/>
        <v>#DIV/0!</v>
      </c>
      <c r="S14" s="229"/>
      <c r="T14" s="217"/>
      <c r="U14" s="218"/>
      <c r="V14" s="218"/>
      <c r="W14" s="219" t="e">
        <f t="shared" si="4"/>
        <v>#DIV/0!</v>
      </c>
      <c r="X14" s="220"/>
    </row>
    <row r="15" spans="1:24" s="6" customFormat="1" ht="9.9499999999999993" customHeight="1" x14ac:dyDescent="0.2">
      <c r="A15" s="135" t="s">
        <v>12</v>
      </c>
      <c r="B15" s="511" t="s">
        <v>109</v>
      </c>
      <c r="C15" s="512"/>
      <c r="D15" s="133" t="s">
        <v>25</v>
      </c>
      <c r="E15" s="38">
        <f t="shared" si="6"/>
        <v>510000</v>
      </c>
      <c r="F15" s="39">
        <f t="shared" si="6"/>
        <v>860000</v>
      </c>
      <c r="G15" s="39">
        <f t="shared" si="6"/>
        <v>77792</v>
      </c>
      <c r="H15" s="10">
        <f t="shared" si="0"/>
        <v>9.0455813953488367</v>
      </c>
      <c r="I15" s="40">
        <f t="shared" si="6"/>
        <v>144527</v>
      </c>
      <c r="J15" s="240">
        <v>510000</v>
      </c>
      <c r="K15" s="218">
        <f>510000+350000</f>
        <v>860000</v>
      </c>
      <c r="L15" s="218">
        <v>77792</v>
      </c>
      <c r="M15" s="219">
        <f t="shared" si="2"/>
        <v>9.0455813953488367</v>
      </c>
      <c r="N15" s="229">
        <v>144527</v>
      </c>
      <c r="O15" s="217"/>
      <c r="P15" s="218"/>
      <c r="Q15" s="218"/>
      <c r="R15" s="219" t="e">
        <f t="shared" si="3"/>
        <v>#DIV/0!</v>
      </c>
      <c r="S15" s="229"/>
      <c r="T15" s="217">
        <v>12000</v>
      </c>
      <c r="U15" s="218">
        <v>12000</v>
      </c>
      <c r="V15" s="218">
        <v>295</v>
      </c>
      <c r="W15" s="219">
        <f t="shared" si="4"/>
        <v>2.458333333333333</v>
      </c>
      <c r="X15" s="220">
        <v>445</v>
      </c>
    </row>
    <row r="16" spans="1:24" s="6" customFormat="1" ht="9.9499999999999993" customHeight="1" x14ac:dyDescent="0.2">
      <c r="A16" s="135" t="s">
        <v>13</v>
      </c>
      <c r="B16" s="511" t="s">
        <v>30</v>
      </c>
      <c r="C16" s="512"/>
      <c r="D16" s="133" t="s">
        <v>25</v>
      </c>
      <c r="E16" s="38">
        <f t="shared" si="6"/>
        <v>32000</v>
      </c>
      <c r="F16" s="39">
        <f t="shared" si="6"/>
        <v>32000</v>
      </c>
      <c r="G16" s="39">
        <f t="shared" si="6"/>
        <v>28896</v>
      </c>
      <c r="H16" s="10">
        <f t="shared" si="0"/>
        <v>90.3</v>
      </c>
      <c r="I16" s="40">
        <f t="shared" si="6"/>
        <v>24675</v>
      </c>
      <c r="J16" s="240">
        <v>2000</v>
      </c>
      <c r="K16" s="218">
        <v>2000</v>
      </c>
      <c r="L16" s="218">
        <v>138</v>
      </c>
      <c r="M16" s="219">
        <f t="shared" si="2"/>
        <v>6.9</v>
      </c>
      <c r="N16" s="229">
        <v>138</v>
      </c>
      <c r="O16" s="217">
        <v>30000</v>
      </c>
      <c r="P16" s="218">
        <v>30000</v>
      </c>
      <c r="Q16" s="218">
        <v>28758</v>
      </c>
      <c r="R16" s="219">
        <f t="shared" si="3"/>
        <v>95.86</v>
      </c>
      <c r="S16" s="229">
        <v>24537</v>
      </c>
      <c r="T16" s="217"/>
      <c r="U16" s="218"/>
      <c r="V16" s="218"/>
      <c r="W16" s="219" t="e">
        <f t="shared" si="4"/>
        <v>#DIV/0!</v>
      </c>
      <c r="X16" s="220"/>
    </row>
    <row r="17" spans="1:24" s="6" customFormat="1" ht="9.9499999999999993" customHeight="1" x14ac:dyDescent="0.2">
      <c r="A17" s="135" t="s">
        <v>14</v>
      </c>
      <c r="B17" s="236" t="s">
        <v>47</v>
      </c>
      <c r="C17" s="237"/>
      <c r="D17" s="133" t="s">
        <v>25</v>
      </c>
      <c r="E17" s="38">
        <f t="shared" si="6"/>
        <v>2000</v>
      </c>
      <c r="F17" s="39">
        <f t="shared" si="6"/>
        <v>2000</v>
      </c>
      <c r="G17" s="39">
        <f t="shared" si="6"/>
        <v>1067</v>
      </c>
      <c r="H17" s="10">
        <f t="shared" si="0"/>
        <v>53.349999999999994</v>
      </c>
      <c r="I17" s="40">
        <f t="shared" si="6"/>
        <v>740</v>
      </c>
      <c r="J17" s="240">
        <v>2000</v>
      </c>
      <c r="K17" s="218">
        <v>2000</v>
      </c>
      <c r="L17" s="218">
        <v>1067</v>
      </c>
      <c r="M17" s="219">
        <f t="shared" si="2"/>
        <v>53.349999999999994</v>
      </c>
      <c r="N17" s="229">
        <v>740</v>
      </c>
      <c r="O17" s="217"/>
      <c r="P17" s="218"/>
      <c r="Q17" s="218"/>
      <c r="R17" s="219" t="e">
        <f t="shared" si="3"/>
        <v>#DIV/0!</v>
      </c>
      <c r="S17" s="229"/>
      <c r="T17" s="217"/>
      <c r="U17" s="218"/>
      <c r="V17" s="218"/>
      <c r="W17" s="219" t="e">
        <f t="shared" si="4"/>
        <v>#DIV/0!</v>
      </c>
      <c r="X17" s="220"/>
    </row>
    <row r="18" spans="1:24" s="6" customFormat="1" ht="9.9499999999999993" customHeight="1" x14ac:dyDescent="0.2">
      <c r="A18" s="135" t="s">
        <v>15</v>
      </c>
      <c r="B18" s="511" t="s">
        <v>31</v>
      </c>
      <c r="C18" s="512"/>
      <c r="D18" s="133" t="s">
        <v>25</v>
      </c>
      <c r="E18" s="38">
        <f t="shared" si="6"/>
        <v>496900</v>
      </c>
      <c r="F18" s="39">
        <f t="shared" si="6"/>
        <v>496900</v>
      </c>
      <c r="G18" s="39">
        <f t="shared" si="6"/>
        <v>265434.08999999997</v>
      </c>
      <c r="H18" s="10">
        <f t="shared" si="0"/>
        <v>53.418009659891318</v>
      </c>
      <c r="I18" s="40">
        <f t="shared" si="6"/>
        <v>245665</v>
      </c>
      <c r="J18" s="240">
        <v>371900</v>
      </c>
      <c r="K18" s="218">
        <v>371900</v>
      </c>
      <c r="L18" s="218">
        <v>196592.09</v>
      </c>
      <c r="M18" s="219">
        <f t="shared" si="2"/>
        <v>52.861546114546918</v>
      </c>
      <c r="N18" s="229">
        <v>180283</v>
      </c>
      <c r="O18" s="217">
        <v>125000</v>
      </c>
      <c r="P18" s="218">
        <v>125000</v>
      </c>
      <c r="Q18" s="218">
        <v>68842</v>
      </c>
      <c r="R18" s="219">
        <f t="shared" si="3"/>
        <v>55.073599999999999</v>
      </c>
      <c r="S18" s="229">
        <v>65382</v>
      </c>
      <c r="T18" s="217">
        <v>3600</v>
      </c>
      <c r="U18" s="218">
        <v>3600</v>
      </c>
      <c r="V18" s="218">
        <v>1057</v>
      </c>
      <c r="W18" s="219">
        <f t="shared" si="4"/>
        <v>29.361111111111111</v>
      </c>
      <c r="X18" s="220"/>
    </row>
    <row r="19" spans="1:24" s="11" customFormat="1" ht="9.9499999999999993" customHeight="1" x14ac:dyDescent="0.2">
      <c r="A19" s="135" t="s">
        <v>16</v>
      </c>
      <c r="B19" s="508" t="s">
        <v>32</v>
      </c>
      <c r="C19" s="508"/>
      <c r="D19" s="133" t="s">
        <v>25</v>
      </c>
      <c r="E19" s="38">
        <f t="shared" si="6"/>
        <v>21893200</v>
      </c>
      <c r="F19" s="39">
        <f t="shared" si="6"/>
        <v>21893200</v>
      </c>
      <c r="G19" s="39">
        <f t="shared" si="6"/>
        <v>10736021</v>
      </c>
      <c r="H19" s="10">
        <f t="shared" si="0"/>
        <v>49.038153399228982</v>
      </c>
      <c r="I19" s="40">
        <f t="shared" si="6"/>
        <v>10152273</v>
      </c>
      <c r="J19" s="241">
        <v>199200</v>
      </c>
      <c r="K19" s="218">
        <v>199200</v>
      </c>
      <c r="L19" s="218">
        <v>109100</v>
      </c>
      <c r="M19" s="219">
        <f t="shared" si="2"/>
        <v>54.769076305220885</v>
      </c>
      <c r="N19" s="229">
        <v>60404</v>
      </c>
      <c r="O19" s="217">
        <v>21694000</v>
      </c>
      <c r="P19" s="218">
        <v>21694000</v>
      </c>
      <c r="Q19" s="218">
        <v>10626921</v>
      </c>
      <c r="R19" s="219">
        <f t="shared" si="3"/>
        <v>48.985530561445565</v>
      </c>
      <c r="S19" s="229">
        <v>10091869</v>
      </c>
      <c r="T19" s="268">
        <v>35000</v>
      </c>
      <c r="U19" s="269">
        <v>35000</v>
      </c>
      <c r="V19" s="269">
        <v>17500</v>
      </c>
      <c r="W19" s="219">
        <f t="shared" si="4"/>
        <v>50</v>
      </c>
      <c r="X19" s="270">
        <v>17500</v>
      </c>
    </row>
    <row r="20" spans="1:24" s="6" customFormat="1" ht="9.9499999999999993" customHeight="1" x14ac:dyDescent="0.2">
      <c r="A20" s="135" t="s">
        <v>17</v>
      </c>
      <c r="B20" s="508" t="s">
        <v>48</v>
      </c>
      <c r="C20" s="508"/>
      <c r="D20" s="133" t="s">
        <v>25</v>
      </c>
      <c r="E20" s="38">
        <f t="shared" si="6"/>
        <v>7437350</v>
      </c>
      <c r="F20" s="39">
        <f t="shared" si="6"/>
        <v>7437350</v>
      </c>
      <c r="G20" s="39">
        <f t="shared" si="6"/>
        <v>3620802</v>
      </c>
      <c r="H20" s="10">
        <f t="shared" si="0"/>
        <v>48.684033963710192</v>
      </c>
      <c r="I20" s="40">
        <f t="shared" si="6"/>
        <v>3436356</v>
      </c>
      <c r="J20" s="240"/>
      <c r="K20" s="218"/>
      <c r="L20" s="218"/>
      <c r="M20" s="219" t="e">
        <f t="shared" si="2"/>
        <v>#DIV/0!</v>
      </c>
      <c r="N20" s="229"/>
      <c r="O20" s="217">
        <f>7347250+90100</f>
        <v>7437350</v>
      </c>
      <c r="P20" s="218">
        <v>7437350</v>
      </c>
      <c r="Q20" s="218">
        <f>3576621+44181</f>
        <v>3620802</v>
      </c>
      <c r="R20" s="219">
        <f t="shared" si="3"/>
        <v>48.684033963710192</v>
      </c>
      <c r="S20" s="229">
        <v>3436356</v>
      </c>
      <c r="T20" s="217">
        <f>11900+150</f>
        <v>12050</v>
      </c>
      <c r="U20" s="218">
        <v>12050</v>
      </c>
      <c r="V20" s="218">
        <f>5950+74</f>
        <v>6024</v>
      </c>
      <c r="W20" s="219">
        <f t="shared" si="4"/>
        <v>49.991701244813278</v>
      </c>
      <c r="X20" s="220">
        <v>6024</v>
      </c>
    </row>
    <row r="21" spans="1:24" s="6" customFormat="1" ht="9.9499999999999993" customHeight="1" x14ac:dyDescent="0.2">
      <c r="A21" s="135" t="s">
        <v>18</v>
      </c>
      <c r="B21" s="508" t="s">
        <v>49</v>
      </c>
      <c r="C21" s="508"/>
      <c r="D21" s="133" t="s">
        <v>25</v>
      </c>
      <c r="E21" s="38">
        <f t="shared" si="6"/>
        <v>355750</v>
      </c>
      <c r="F21" s="39">
        <f t="shared" si="6"/>
        <v>355750</v>
      </c>
      <c r="G21" s="39">
        <f t="shared" si="6"/>
        <v>176485</v>
      </c>
      <c r="H21" s="10">
        <f t="shared" si="0"/>
        <v>49.609276177090656</v>
      </c>
      <c r="I21" s="40">
        <f t="shared" si="6"/>
        <v>125354</v>
      </c>
      <c r="J21" s="240">
        <v>15000</v>
      </c>
      <c r="K21" s="218">
        <v>15000</v>
      </c>
      <c r="L21" s="218">
        <v>10565</v>
      </c>
      <c r="M21" s="219">
        <f t="shared" si="2"/>
        <v>70.433333333333337</v>
      </c>
      <c r="N21" s="229">
        <v>12000</v>
      </c>
      <c r="O21" s="217">
        <v>340750</v>
      </c>
      <c r="P21" s="218">
        <v>340750</v>
      </c>
      <c r="Q21" s="218">
        <v>165920</v>
      </c>
      <c r="R21" s="219">
        <f t="shared" si="3"/>
        <v>48.692589875275125</v>
      </c>
      <c r="S21" s="229">
        <v>113354</v>
      </c>
      <c r="T21" s="217">
        <v>350</v>
      </c>
      <c r="U21" s="218">
        <v>350</v>
      </c>
      <c r="V21" s="218">
        <v>175</v>
      </c>
      <c r="W21" s="219">
        <f t="shared" si="4"/>
        <v>50</v>
      </c>
      <c r="X21" s="220">
        <v>175</v>
      </c>
    </row>
    <row r="22" spans="1:24" s="6" customFormat="1" ht="9.9499999999999993" customHeight="1" x14ac:dyDescent="0.2">
      <c r="A22" s="135" t="s">
        <v>19</v>
      </c>
      <c r="B22" s="508" t="s">
        <v>62</v>
      </c>
      <c r="C22" s="508"/>
      <c r="D22" s="133" t="s">
        <v>25</v>
      </c>
      <c r="E22" s="38">
        <f t="shared" si="6"/>
        <v>0</v>
      </c>
      <c r="F22" s="39">
        <f t="shared" si="6"/>
        <v>0</v>
      </c>
      <c r="G22" s="39">
        <f t="shared" si="6"/>
        <v>0</v>
      </c>
      <c r="H22" s="10" t="e">
        <f t="shared" si="0"/>
        <v>#DIV/0!</v>
      </c>
      <c r="I22" s="40">
        <f t="shared" si="6"/>
        <v>0</v>
      </c>
      <c r="J22" s="240"/>
      <c r="K22" s="218"/>
      <c r="L22" s="218"/>
      <c r="M22" s="219" t="e">
        <f t="shared" si="2"/>
        <v>#DIV/0!</v>
      </c>
      <c r="N22" s="229"/>
      <c r="O22" s="217"/>
      <c r="P22" s="218"/>
      <c r="Q22" s="218"/>
      <c r="R22" s="219" t="e">
        <f t="shared" si="3"/>
        <v>#DIV/0!</v>
      </c>
      <c r="S22" s="229"/>
      <c r="T22" s="217"/>
      <c r="U22" s="218"/>
      <c r="V22" s="218"/>
      <c r="W22" s="219" t="e">
        <f t="shared" si="4"/>
        <v>#DIV/0!</v>
      </c>
      <c r="X22" s="220"/>
    </row>
    <row r="23" spans="1:24" s="6" customFormat="1" ht="9.9499999999999993" customHeight="1" x14ac:dyDescent="0.2">
      <c r="A23" s="135" t="s">
        <v>20</v>
      </c>
      <c r="B23" s="223" t="s">
        <v>101</v>
      </c>
      <c r="C23" s="223"/>
      <c r="D23" s="133" t="s">
        <v>25</v>
      </c>
      <c r="E23" s="38">
        <f t="shared" si="6"/>
        <v>0</v>
      </c>
      <c r="F23" s="39">
        <f t="shared" si="6"/>
        <v>0</v>
      </c>
      <c r="G23" s="39">
        <f t="shared" si="6"/>
        <v>0</v>
      </c>
      <c r="H23" s="10" t="e">
        <f t="shared" si="0"/>
        <v>#DIV/0!</v>
      </c>
      <c r="I23" s="40">
        <f t="shared" si="6"/>
        <v>0</v>
      </c>
      <c r="J23" s="240"/>
      <c r="K23" s="218"/>
      <c r="L23" s="218"/>
      <c r="M23" s="219" t="e">
        <f t="shared" si="2"/>
        <v>#DIV/0!</v>
      </c>
      <c r="N23" s="229"/>
      <c r="O23" s="217"/>
      <c r="P23" s="218"/>
      <c r="Q23" s="218"/>
      <c r="R23" s="219" t="e">
        <f t="shared" si="3"/>
        <v>#DIV/0!</v>
      </c>
      <c r="S23" s="229"/>
      <c r="T23" s="217"/>
      <c r="U23" s="218"/>
      <c r="V23" s="218"/>
      <c r="W23" s="219" t="e">
        <f t="shared" si="4"/>
        <v>#DIV/0!</v>
      </c>
      <c r="X23" s="220"/>
    </row>
    <row r="24" spans="1:24" s="6" customFormat="1" ht="9.9499999999999993" customHeight="1" x14ac:dyDescent="0.2">
      <c r="A24" s="135" t="s">
        <v>21</v>
      </c>
      <c r="B24" s="223" t="s">
        <v>110</v>
      </c>
      <c r="C24" s="223"/>
      <c r="D24" s="133" t="s">
        <v>25</v>
      </c>
      <c r="E24" s="38">
        <f t="shared" si="6"/>
        <v>0</v>
      </c>
      <c r="F24" s="39">
        <f t="shared" si="6"/>
        <v>0</v>
      </c>
      <c r="G24" s="39">
        <f t="shared" si="6"/>
        <v>0</v>
      </c>
      <c r="H24" s="10" t="e">
        <f t="shared" si="0"/>
        <v>#DIV/0!</v>
      </c>
      <c r="I24" s="40">
        <f t="shared" si="6"/>
        <v>0</v>
      </c>
      <c r="J24" s="240"/>
      <c r="K24" s="218"/>
      <c r="L24" s="218"/>
      <c r="M24" s="219" t="e">
        <f t="shared" si="2"/>
        <v>#DIV/0!</v>
      </c>
      <c r="N24" s="229"/>
      <c r="O24" s="217"/>
      <c r="P24" s="218"/>
      <c r="Q24" s="218"/>
      <c r="R24" s="219" t="e">
        <f t="shared" si="3"/>
        <v>#DIV/0!</v>
      </c>
      <c r="S24" s="229"/>
      <c r="T24" s="217"/>
      <c r="U24" s="218"/>
      <c r="V24" s="218"/>
      <c r="W24" s="219" t="e">
        <f t="shared" si="4"/>
        <v>#DIV/0!</v>
      </c>
      <c r="X24" s="220"/>
    </row>
    <row r="25" spans="1:24" s="13" customFormat="1" ht="9.9499999999999993" customHeight="1" x14ac:dyDescent="0.2">
      <c r="A25" s="135" t="s">
        <v>22</v>
      </c>
      <c r="B25" s="223" t="s">
        <v>63</v>
      </c>
      <c r="C25" s="223"/>
      <c r="D25" s="133" t="s">
        <v>25</v>
      </c>
      <c r="E25" s="38">
        <f t="shared" si="6"/>
        <v>0</v>
      </c>
      <c r="F25" s="39">
        <f t="shared" si="6"/>
        <v>0</v>
      </c>
      <c r="G25" s="39">
        <f t="shared" si="6"/>
        <v>0</v>
      </c>
      <c r="H25" s="14" t="e">
        <f>G25/F25*100</f>
        <v>#DIV/0!</v>
      </c>
      <c r="I25" s="40">
        <f>SUM(N25,S25)</f>
        <v>0</v>
      </c>
      <c r="J25" s="240"/>
      <c r="K25" s="271"/>
      <c r="L25" s="271"/>
      <c r="M25" s="219" t="e">
        <f>L25/K25*100</f>
        <v>#DIV/0!</v>
      </c>
      <c r="N25" s="272"/>
      <c r="O25" s="273"/>
      <c r="P25" s="271"/>
      <c r="Q25" s="271"/>
      <c r="R25" s="219" t="e">
        <f>Q25/P25*100</f>
        <v>#DIV/0!</v>
      </c>
      <c r="S25" s="274"/>
      <c r="T25" s="273"/>
      <c r="U25" s="271"/>
      <c r="V25" s="271"/>
      <c r="W25" s="219" t="e">
        <f>V25/U25*100</f>
        <v>#DIV/0!</v>
      </c>
      <c r="X25" s="275"/>
    </row>
    <row r="26" spans="1:24" s="6" customFormat="1" ht="9.9499999999999993" customHeight="1" x14ac:dyDescent="0.2">
      <c r="A26" s="135" t="s">
        <v>23</v>
      </c>
      <c r="B26" s="511" t="s">
        <v>64</v>
      </c>
      <c r="C26" s="512"/>
      <c r="D26" s="133" t="s">
        <v>25</v>
      </c>
      <c r="E26" s="38">
        <f t="shared" si="6"/>
        <v>773000</v>
      </c>
      <c r="F26" s="39">
        <f t="shared" si="6"/>
        <v>971700</v>
      </c>
      <c r="G26" s="39">
        <f t="shared" si="6"/>
        <v>469730</v>
      </c>
      <c r="H26" s="10">
        <f t="shared" si="0"/>
        <v>48.341051764948027</v>
      </c>
      <c r="I26" s="40">
        <f t="shared" si="6"/>
        <v>0</v>
      </c>
      <c r="J26" s="240">
        <v>773000</v>
      </c>
      <c r="K26" s="276">
        <v>971700</v>
      </c>
      <c r="L26" s="276">
        <v>469730</v>
      </c>
      <c r="M26" s="219">
        <f>L26/K26*100</f>
        <v>48.341051764948027</v>
      </c>
      <c r="N26" s="272"/>
      <c r="O26" s="277"/>
      <c r="P26" s="276"/>
      <c r="Q26" s="276"/>
      <c r="R26" s="219" t="e">
        <f>Q26/P26*100</f>
        <v>#DIV/0!</v>
      </c>
      <c r="S26" s="272"/>
      <c r="T26" s="273"/>
      <c r="U26" s="271">
        <v>13500</v>
      </c>
      <c r="V26" s="271">
        <v>8560</v>
      </c>
      <c r="W26" s="219">
        <f>V26/U26*100</f>
        <v>63.407407407407412</v>
      </c>
      <c r="X26" s="275"/>
    </row>
    <row r="27" spans="1:24" s="13" customFormat="1" ht="9.9499999999999993" customHeight="1" x14ac:dyDescent="0.2">
      <c r="A27" s="135" t="s">
        <v>44</v>
      </c>
      <c r="B27" s="236" t="s">
        <v>65</v>
      </c>
      <c r="C27" s="237"/>
      <c r="D27" s="133" t="s">
        <v>25</v>
      </c>
      <c r="E27" s="38">
        <f t="shared" si="6"/>
        <v>0</v>
      </c>
      <c r="F27" s="39">
        <f t="shared" si="6"/>
        <v>0</v>
      </c>
      <c r="G27" s="39">
        <f t="shared" si="6"/>
        <v>0</v>
      </c>
      <c r="H27" s="14" t="e">
        <f t="shared" si="0"/>
        <v>#DIV/0!</v>
      </c>
      <c r="I27" s="40">
        <f t="shared" si="6"/>
        <v>336846</v>
      </c>
      <c r="J27" s="240"/>
      <c r="K27" s="276"/>
      <c r="L27" s="276"/>
      <c r="M27" s="219" t="e">
        <f t="shared" si="2"/>
        <v>#DIV/0!</v>
      </c>
      <c r="N27" s="229">
        <v>336846</v>
      </c>
      <c r="O27" s="277"/>
      <c r="P27" s="276"/>
      <c r="Q27" s="276"/>
      <c r="R27" s="219" t="e">
        <f t="shared" si="3"/>
        <v>#DIV/0!</v>
      </c>
      <c r="S27" s="272"/>
      <c r="T27" s="273"/>
      <c r="U27" s="271"/>
      <c r="V27" s="271"/>
      <c r="W27" s="219" t="e">
        <f t="shared" si="4"/>
        <v>#DIV/0!</v>
      </c>
      <c r="X27" s="275"/>
    </row>
    <row r="28" spans="1:24" s="13" customFormat="1" ht="9.9499999999999993" customHeight="1" x14ac:dyDescent="0.2">
      <c r="A28" s="135" t="s">
        <v>50</v>
      </c>
      <c r="B28" s="236" t="s">
        <v>91</v>
      </c>
      <c r="C28" s="237"/>
      <c r="D28" s="133" t="s">
        <v>25</v>
      </c>
      <c r="E28" s="38">
        <f>SUM(J28,O28)</f>
        <v>318700</v>
      </c>
      <c r="F28" s="39">
        <f>SUM(K28,P28)</f>
        <v>331293</v>
      </c>
      <c r="G28" s="39">
        <f>SUM(L28,Q28)</f>
        <v>60073</v>
      </c>
      <c r="H28" s="14">
        <f>G28/F28*100</f>
        <v>18.132891428433439</v>
      </c>
      <c r="I28" s="40">
        <f>SUM(N28,S28)</f>
        <v>19389</v>
      </c>
      <c r="J28" s="240">
        <v>221000</v>
      </c>
      <c r="K28" s="276">
        <f>221000+12593</f>
        <v>233593</v>
      </c>
      <c r="L28" s="276">
        <v>53418</v>
      </c>
      <c r="M28" s="219">
        <f>L28/K28*100</f>
        <v>22.867979776791255</v>
      </c>
      <c r="N28" s="229">
        <v>11503</v>
      </c>
      <c r="O28" s="277">
        <v>97700</v>
      </c>
      <c r="P28" s="276">
        <v>97700</v>
      </c>
      <c r="Q28" s="276">
        <v>6655</v>
      </c>
      <c r="R28" s="219">
        <f>Q28/P28*100</f>
        <v>6.8116683725690894</v>
      </c>
      <c r="S28" s="272">
        <v>7886</v>
      </c>
      <c r="T28" s="273"/>
      <c r="U28" s="271"/>
      <c r="V28" s="271"/>
      <c r="W28" s="219" t="e">
        <f>V28/U28*100</f>
        <v>#DIV/0!</v>
      </c>
      <c r="X28" s="275"/>
    </row>
    <row r="29" spans="1:24" s="15" customFormat="1" ht="9.9499999999999993" customHeight="1" x14ac:dyDescent="0.2">
      <c r="A29" s="135" t="s">
        <v>51</v>
      </c>
      <c r="B29" s="236" t="s">
        <v>66</v>
      </c>
      <c r="C29" s="237"/>
      <c r="D29" s="133" t="s">
        <v>25</v>
      </c>
      <c r="E29" s="38">
        <f t="shared" si="6"/>
        <v>1000</v>
      </c>
      <c r="F29" s="39">
        <f t="shared" si="6"/>
        <v>1000</v>
      </c>
      <c r="G29" s="39">
        <f t="shared" si="6"/>
        <v>636.1</v>
      </c>
      <c r="H29" s="14">
        <f t="shared" si="0"/>
        <v>63.61</v>
      </c>
      <c r="I29" s="40">
        <f t="shared" si="6"/>
        <v>4409</v>
      </c>
      <c r="J29" s="240">
        <v>1000</v>
      </c>
      <c r="K29" s="276">
        <v>1000</v>
      </c>
      <c r="L29" s="276">
        <v>636.1</v>
      </c>
      <c r="M29" s="219">
        <f t="shared" si="2"/>
        <v>63.61</v>
      </c>
      <c r="N29" s="272">
        <v>4409</v>
      </c>
      <c r="O29" s="277"/>
      <c r="P29" s="276"/>
      <c r="Q29" s="276">
        <v>0</v>
      </c>
      <c r="R29" s="219" t="e">
        <f t="shared" si="3"/>
        <v>#DIV/0!</v>
      </c>
      <c r="S29" s="272"/>
      <c r="T29" s="273"/>
      <c r="U29" s="271"/>
      <c r="V29" s="271"/>
      <c r="W29" s="219" t="e">
        <f t="shared" si="4"/>
        <v>#DIV/0!</v>
      </c>
      <c r="X29" s="275"/>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40">
        <f>SUM(N30,S30)</f>
        <v>0</v>
      </c>
      <c r="J30" s="240"/>
      <c r="K30" s="276"/>
      <c r="L30" s="276"/>
      <c r="M30" s="219" t="e">
        <f t="shared" si="2"/>
        <v>#DIV/0!</v>
      </c>
      <c r="N30" s="272"/>
      <c r="O30" s="277"/>
      <c r="P30" s="276"/>
      <c r="Q30" s="276">
        <v>0</v>
      </c>
      <c r="R30" s="219" t="e">
        <f t="shared" si="3"/>
        <v>#DIV/0!</v>
      </c>
      <c r="S30" s="272"/>
      <c r="T30" s="273"/>
      <c r="U30" s="271"/>
      <c r="V30" s="271"/>
      <c r="W30" s="219" t="e">
        <f t="shared" si="4"/>
        <v>#DIV/0!</v>
      </c>
      <c r="X30" s="275"/>
    </row>
    <row r="31" spans="1:24" s="23" customFormat="1" ht="9.75" x14ac:dyDescent="0.2">
      <c r="A31" s="135" t="s">
        <v>54</v>
      </c>
      <c r="B31" s="236" t="s">
        <v>67</v>
      </c>
      <c r="C31" s="237"/>
      <c r="D31" s="133" t="s">
        <v>25</v>
      </c>
      <c r="E31" s="38">
        <f t="shared" si="7"/>
        <v>0</v>
      </c>
      <c r="F31" s="39">
        <f t="shared" si="7"/>
        <v>0</v>
      </c>
      <c r="G31" s="39">
        <f t="shared" si="7"/>
        <v>0</v>
      </c>
      <c r="H31" s="14" t="e">
        <f t="shared" si="0"/>
        <v>#DIV/0!</v>
      </c>
      <c r="I31" s="40">
        <f>SUM(N31,S31)</f>
        <v>0</v>
      </c>
      <c r="J31" s="240"/>
      <c r="K31" s="281"/>
      <c r="L31" s="281"/>
      <c r="M31" s="219" t="e">
        <f t="shared" si="2"/>
        <v>#DIV/0!</v>
      </c>
      <c r="N31" s="282"/>
      <c r="O31" s="283"/>
      <c r="P31" s="281"/>
      <c r="Q31" s="281">
        <v>0</v>
      </c>
      <c r="R31" s="219" t="e">
        <f t="shared" si="3"/>
        <v>#DIV/0!</v>
      </c>
      <c r="S31" s="282"/>
      <c r="T31" s="284"/>
      <c r="U31" s="285"/>
      <c r="V31" s="285"/>
      <c r="W31" s="219" t="e">
        <f t="shared" si="4"/>
        <v>#DIV/0!</v>
      </c>
      <c r="X31" s="286"/>
    </row>
    <row r="32" spans="1:24" s="23" customFormat="1" ht="9.75" x14ac:dyDescent="0.2">
      <c r="A32" s="238" t="s">
        <v>55</v>
      </c>
      <c r="B32" s="233" t="s">
        <v>68</v>
      </c>
      <c r="C32" s="239"/>
      <c r="D32" s="235" t="s">
        <v>25</v>
      </c>
      <c r="E32" s="42">
        <f>SUM(J32,O32)</f>
        <v>0</v>
      </c>
      <c r="F32" s="43">
        <f>SUM(K32,P32)</f>
        <v>0</v>
      </c>
      <c r="G32" s="43">
        <f>SUM(L32,Q32)</f>
        <v>0</v>
      </c>
      <c r="H32" s="16" t="e">
        <f t="shared" si="0"/>
        <v>#DIV/0!</v>
      </c>
      <c r="I32" s="44">
        <f>SUM(N32,S32)</f>
        <v>0</v>
      </c>
      <c r="J32" s="287"/>
      <c r="K32" s="288"/>
      <c r="L32" s="288"/>
      <c r="M32" s="265" t="e">
        <f t="shared" si="2"/>
        <v>#DIV/0!</v>
      </c>
      <c r="N32" s="289"/>
      <c r="O32" s="290"/>
      <c r="P32" s="288"/>
      <c r="Q32" s="288">
        <v>0</v>
      </c>
      <c r="R32" s="265" t="e">
        <f t="shared" si="3"/>
        <v>#DIV/0!</v>
      </c>
      <c r="S32" s="289"/>
      <c r="T32" s="290"/>
      <c r="U32" s="288"/>
      <c r="V32" s="288"/>
      <c r="W32" s="265" t="e">
        <f t="shared" si="4"/>
        <v>#DIV/0!</v>
      </c>
      <c r="X32" s="291"/>
    </row>
    <row r="33" spans="1:24" s="23" customFormat="1" ht="9.75" x14ac:dyDescent="0.2">
      <c r="A33" s="134" t="s">
        <v>56</v>
      </c>
      <c r="B33" s="21" t="s">
        <v>102</v>
      </c>
      <c r="C33" s="22"/>
      <c r="D33" s="20" t="s">
        <v>25</v>
      </c>
      <c r="E33" s="29">
        <f>E6-E11</f>
        <v>0</v>
      </c>
      <c r="F33" s="29">
        <f>F6-F11</f>
        <v>0</v>
      </c>
      <c r="G33" s="29">
        <f>G6-G11</f>
        <v>5866289.9600000009</v>
      </c>
      <c r="H33" s="25" t="e">
        <f t="shared" si="0"/>
        <v>#DIV/0!</v>
      </c>
      <c r="I33" s="29">
        <f>I6-I11</f>
        <v>1140555</v>
      </c>
      <c r="J33" s="29">
        <f>J6-J11</f>
        <v>0</v>
      </c>
      <c r="K33" s="29">
        <f>K6-K11</f>
        <v>0</v>
      </c>
      <c r="L33" s="29">
        <f>L6-L11</f>
        <v>299216.96000000043</v>
      </c>
      <c r="M33" s="19" t="e">
        <f t="shared" si="2"/>
        <v>#DIV/0!</v>
      </c>
      <c r="N33" s="29">
        <f>N6-N11</f>
        <v>422343</v>
      </c>
      <c r="O33" s="29">
        <f>O6-O11</f>
        <v>0</v>
      </c>
      <c r="P33" s="29">
        <f>P6-P11</f>
        <v>0</v>
      </c>
      <c r="Q33" s="29">
        <f>Q6-Q11</f>
        <v>5567073</v>
      </c>
      <c r="R33" s="19" t="e">
        <f t="shared" si="3"/>
        <v>#DIV/0!</v>
      </c>
      <c r="S33" s="29">
        <f>S6-S11</f>
        <v>718212</v>
      </c>
      <c r="T33" s="29">
        <f>T6-T11</f>
        <v>118000</v>
      </c>
      <c r="U33" s="29">
        <f>U6-U11</f>
        <v>104500</v>
      </c>
      <c r="V33" s="29">
        <f>V6-V11</f>
        <v>132108</v>
      </c>
      <c r="W33" s="19">
        <f t="shared" si="4"/>
        <v>126.41913875598085</v>
      </c>
      <c r="X33" s="29">
        <f>X6-X11</f>
        <v>154881</v>
      </c>
    </row>
    <row r="34" spans="1:24" s="4" customFormat="1" ht="9" x14ac:dyDescent="0.2">
      <c r="A34" s="224" t="s">
        <v>57</v>
      </c>
      <c r="B34" s="509" t="s">
        <v>24</v>
      </c>
      <c r="C34" s="510"/>
      <c r="D34" s="136" t="s">
        <v>25</v>
      </c>
      <c r="E34" s="306">
        <f>E19/12/E35</f>
        <v>24005.701754385966</v>
      </c>
      <c r="F34" s="151">
        <f>F19/12/F35</f>
        <v>23390.170940170938</v>
      </c>
      <c r="G34" s="196">
        <f>G19/6/G35</f>
        <v>22940.215811965812</v>
      </c>
      <c r="H34" s="12">
        <f t="shared" si="0"/>
        <v>98.076306798457978</v>
      </c>
      <c r="I34" s="256">
        <v>22606</v>
      </c>
      <c r="J34" s="612"/>
      <c r="K34" s="613"/>
      <c r="L34" s="613"/>
      <c r="M34" s="613"/>
      <c r="N34" s="613"/>
      <c r="O34" s="613"/>
      <c r="P34" s="613"/>
      <c r="Q34" s="613"/>
      <c r="R34" s="613"/>
      <c r="S34" s="613"/>
      <c r="T34" s="613"/>
      <c r="U34" s="613"/>
      <c r="V34" s="613"/>
      <c r="W34" s="613"/>
      <c r="X34" s="614"/>
    </row>
    <row r="35" spans="1:24" s="4" customFormat="1" ht="9" x14ac:dyDescent="0.2">
      <c r="A35" s="137" t="s">
        <v>58</v>
      </c>
      <c r="B35" s="498" t="s">
        <v>33</v>
      </c>
      <c r="C35" s="499"/>
      <c r="D35" s="137" t="s">
        <v>26</v>
      </c>
      <c r="E35" s="198">
        <v>76</v>
      </c>
      <c r="F35" s="199">
        <v>78</v>
      </c>
      <c r="G35" s="199">
        <v>78</v>
      </c>
      <c r="H35" s="261">
        <f t="shared" si="0"/>
        <v>100</v>
      </c>
      <c r="I35" s="301">
        <v>75</v>
      </c>
      <c r="J35" s="612"/>
      <c r="K35" s="613"/>
      <c r="L35" s="613"/>
      <c r="M35" s="613"/>
      <c r="N35" s="613"/>
      <c r="O35" s="613"/>
      <c r="P35" s="613"/>
      <c r="Q35" s="613"/>
      <c r="R35" s="613"/>
      <c r="S35" s="613"/>
      <c r="T35" s="613"/>
      <c r="U35" s="613"/>
      <c r="V35" s="613"/>
      <c r="W35" s="613"/>
      <c r="X35" s="614"/>
    </row>
    <row r="36" spans="1:24" s="4" customFormat="1" ht="9" x14ac:dyDescent="0.2">
      <c r="A36" s="225" t="s">
        <v>59</v>
      </c>
      <c r="B36" s="500" t="s">
        <v>27</v>
      </c>
      <c r="C36" s="501"/>
      <c r="D36" s="226" t="s">
        <v>26</v>
      </c>
      <c r="E36" s="200">
        <v>87</v>
      </c>
      <c r="F36" s="201">
        <v>86</v>
      </c>
      <c r="G36" s="201">
        <v>86</v>
      </c>
      <c r="H36" s="259">
        <f t="shared" si="0"/>
        <v>100</v>
      </c>
      <c r="I36" s="260">
        <v>79</v>
      </c>
      <c r="J36" s="615"/>
      <c r="K36" s="616"/>
      <c r="L36" s="616"/>
      <c r="M36" s="616"/>
      <c r="N36" s="616"/>
      <c r="O36" s="616"/>
      <c r="P36" s="616"/>
      <c r="Q36" s="616"/>
      <c r="R36" s="616"/>
      <c r="S36" s="616"/>
      <c r="T36" s="616"/>
      <c r="U36" s="616"/>
      <c r="V36" s="616"/>
      <c r="W36" s="616"/>
      <c r="X36" s="61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
  <sheetViews>
    <sheetView tabSelected="1" zoomScaleNormal="100" workbookViewId="0">
      <selection activeCell="A29" sqref="A29:I29"/>
    </sheetView>
  </sheetViews>
  <sheetFormatPr defaultRowHeight="12.75" x14ac:dyDescent="0.2"/>
  <cols>
    <col min="1" max="1" width="74.75" style="71" customWidth="1"/>
    <col min="2" max="9" width="23.75" style="71" customWidth="1"/>
  </cols>
  <sheetData>
    <row r="1" spans="1:14" ht="18.75" x14ac:dyDescent="0.15">
      <c r="A1" s="619" t="s">
        <v>79</v>
      </c>
      <c r="B1" s="619"/>
      <c r="C1" s="619"/>
      <c r="D1" s="619"/>
      <c r="E1" s="619"/>
      <c r="F1" s="619"/>
      <c r="G1" s="619"/>
      <c r="H1" s="619"/>
      <c r="I1" s="619"/>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11" t="s">
        <v>25</v>
      </c>
      <c r="D5" s="472" t="s">
        <v>113</v>
      </c>
      <c r="E5" s="472"/>
      <c r="F5" s="472"/>
      <c r="G5" s="472"/>
      <c r="H5" s="472"/>
      <c r="I5" s="472"/>
    </row>
    <row r="6" spans="1:14" s="102" customFormat="1" ht="45.75" customHeight="1" x14ac:dyDescent="0.2">
      <c r="A6" s="467" t="s">
        <v>70</v>
      </c>
      <c r="B6" s="468"/>
      <c r="C6" s="180">
        <v>-148813</v>
      </c>
      <c r="D6" s="473" t="s">
        <v>244</v>
      </c>
      <c r="E6" s="473"/>
      <c r="F6" s="473"/>
      <c r="G6" s="473"/>
      <c r="H6" s="473"/>
      <c r="I6" s="473"/>
    </row>
    <row r="7" spans="1:14" s="104" customFormat="1" ht="36" customHeight="1" x14ac:dyDescent="0.15">
      <c r="A7" s="467" t="s">
        <v>38</v>
      </c>
      <c r="B7" s="468"/>
      <c r="C7" s="180">
        <v>20702</v>
      </c>
      <c r="D7" s="473" t="s">
        <v>220</v>
      </c>
      <c r="E7" s="473"/>
      <c r="F7" s="473"/>
      <c r="G7" s="473"/>
      <c r="H7" s="473"/>
      <c r="I7" s="473"/>
    </row>
    <row r="8" spans="1:14" s="104" customFormat="1" ht="10.5" x14ac:dyDescent="0.15">
      <c r="A8" s="467" t="s">
        <v>71</v>
      </c>
      <c r="B8" s="468"/>
      <c r="C8" s="180">
        <v>-33662</v>
      </c>
      <c r="D8" s="591"/>
      <c r="E8" s="592"/>
      <c r="F8" s="592"/>
      <c r="G8" s="592"/>
      <c r="H8" s="592"/>
      <c r="I8" s="593"/>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138.75" customHeight="1" x14ac:dyDescent="0.2">
      <c r="A13" s="205" t="s">
        <v>72</v>
      </c>
      <c r="B13" s="203">
        <v>224581.47</v>
      </c>
      <c r="C13" s="185">
        <v>253762.25</v>
      </c>
      <c r="D13" s="185">
        <v>0</v>
      </c>
      <c r="E13" s="185">
        <f>SUM(B13:D13)</f>
        <v>478343.72</v>
      </c>
      <c r="F13" s="186">
        <f>E13</f>
        <v>478343.72</v>
      </c>
      <c r="G13" s="476" t="s">
        <v>221</v>
      </c>
      <c r="H13" s="549"/>
      <c r="I13" s="550"/>
    </row>
    <row r="14" spans="1:14" s="102" customFormat="1" ht="24.95" customHeight="1" x14ac:dyDescent="0.2">
      <c r="A14" s="207" t="s">
        <v>117</v>
      </c>
      <c r="B14" s="204">
        <v>156017.94</v>
      </c>
      <c r="C14" s="181">
        <v>258393</v>
      </c>
      <c r="D14" s="181"/>
      <c r="E14" s="185">
        <f>SUM(B14:D14)</f>
        <v>414410.94</v>
      </c>
      <c r="F14" s="186">
        <f>E14</f>
        <v>414410.94</v>
      </c>
      <c r="G14" s="482" t="s">
        <v>258</v>
      </c>
      <c r="H14" s="551"/>
      <c r="I14" s="552"/>
      <c r="N14" s="109"/>
    </row>
    <row r="15" spans="1:14" s="102" customFormat="1" ht="24.95" customHeight="1" x14ac:dyDescent="0.2">
      <c r="A15" s="207" t="s">
        <v>73</v>
      </c>
      <c r="B15" s="204">
        <v>69577.149999999994</v>
      </c>
      <c r="C15" s="181"/>
      <c r="D15" s="181">
        <v>5130</v>
      </c>
      <c r="E15" s="185">
        <v>64447.15</v>
      </c>
      <c r="F15" s="186">
        <f>E15</f>
        <v>64447.15</v>
      </c>
      <c r="G15" s="482" t="s">
        <v>222</v>
      </c>
      <c r="H15" s="551"/>
      <c r="I15" s="552"/>
    </row>
    <row r="16" spans="1:14" s="102" customFormat="1" ht="24.95" customHeight="1" x14ac:dyDescent="0.2">
      <c r="A16" s="447" t="s">
        <v>97</v>
      </c>
      <c r="B16" s="448">
        <v>237295.31</v>
      </c>
      <c r="C16" s="183">
        <v>110546</v>
      </c>
      <c r="D16" s="187">
        <v>54163</v>
      </c>
      <c r="E16" s="187">
        <v>293678.31</v>
      </c>
      <c r="F16" s="186">
        <f>E16</f>
        <v>293678.31</v>
      </c>
      <c r="G16" s="483" t="s">
        <v>259</v>
      </c>
      <c r="H16" s="553"/>
      <c r="I16" s="554"/>
    </row>
    <row r="17" spans="1:9" s="102" customFormat="1" ht="11.25" x14ac:dyDescent="0.2">
      <c r="A17" s="371" t="s">
        <v>34</v>
      </c>
      <c r="B17" s="184">
        <f>SUM(B13:B16)</f>
        <v>687471.87000000011</v>
      </c>
      <c r="C17" s="184">
        <f t="shared" ref="C17:F17" si="0">SUM(C13:C16)</f>
        <v>622701.25</v>
      </c>
      <c r="D17" s="184">
        <f t="shared" si="0"/>
        <v>59293</v>
      </c>
      <c r="E17" s="184">
        <f t="shared" si="0"/>
        <v>1250880.1199999999</v>
      </c>
      <c r="F17" s="184">
        <f t="shared" si="0"/>
        <v>1250880.1199999999</v>
      </c>
      <c r="G17" s="466"/>
      <c r="H17" s="466"/>
      <c r="I17" s="466"/>
    </row>
    <row r="18" spans="1:9" s="116" customFormat="1" ht="11.25" customHeight="1" x14ac:dyDescent="0.2">
      <c r="A18" s="179"/>
      <c r="B18" s="179"/>
      <c r="C18" s="113"/>
      <c r="D18" s="179"/>
      <c r="E18" s="179"/>
      <c r="F18" s="179"/>
      <c r="G18" s="179"/>
      <c r="H18" s="179"/>
      <c r="I18" s="179"/>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24.75" customHeight="1" x14ac:dyDescent="0.2">
      <c r="A25" s="620" t="s">
        <v>223</v>
      </c>
      <c r="B25" s="621"/>
      <c r="C25" s="621"/>
      <c r="D25" s="621"/>
      <c r="E25" s="621"/>
      <c r="F25" s="621"/>
      <c r="G25" s="621"/>
      <c r="H25" s="621"/>
      <c r="I25" s="622"/>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114" customHeight="1" x14ac:dyDescent="0.15">
      <c r="A33" s="486" t="s">
        <v>275</v>
      </c>
      <c r="B33" s="487"/>
      <c r="C33" s="487"/>
      <c r="D33" s="487"/>
      <c r="E33" s="487"/>
      <c r="F33" s="487"/>
      <c r="G33" s="487"/>
      <c r="H33" s="487"/>
      <c r="I33" s="488"/>
    </row>
    <row r="34" spans="1:9" ht="36" customHeight="1" x14ac:dyDescent="0.15">
      <c r="A34" s="585" t="s">
        <v>224</v>
      </c>
      <c r="B34" s="586"/>
      <c r="C34" s="586"/>
      <c r="D34" s="586"/>
      <c r="E34" s="586"/>
      <c r="F34" s="586"/>
      <c r="G34" s="586"/>
      <c r="H34" s="586"/>
      <c r="I34" s="587"/>
    </row>
    <row r="35" spans="1:9" ht="13.5" customHeight="1" x14ac:dyDescent="0.15">
      <c r="A35" s="585" t="s">
        <v>225</v>
      </c>
      <c r="B35" s="586"/>
      <c r="C35" s="586"/>
      <c r="D35" s="586"/>
      <c r="E35" s="586"/>
      <c r="F35" s="586"/>
      <c r="G35" s="586"/>
      <c r="H35" s="586"/>
      <c r="I35" s="587"/>
    </row>
    <row r="36" spans="1:9" s="450" customFormat="1" ht="24" customHeight="1" x14ac:dyDescent="0.2">
      <c r="A36" s="603" t="s">
        <v>226</v>
      </c>
      <c r="B36" s="604"/>
      <c r="C36" s="604"/>
      <c r="D36" s="604"/>
      <c r="E36" s="604"/>
      <c r="F36" s="604"/>
      <c r="G36" s="604"/>
      <c r="H36" s="604"/>
      <c r="I36" s="605"/>
    </row>
  </sheetData>
  <mergeCells count="28">
    <mergeCell ref="A19:I19"/>
    <mergeCell ref="A25:I25"/>
    <mergeCell ref="A36:I36"/>
    <mergeCell ref="A34:I34"/>
    <mergeCell ref="A35:I35"/>
    <mergeCell ref="A21:I21"/>
    <mergeCell ref="A23:I23"/>
    <mergeCell ref="A27:I27"/>
    <mergeCell ref="A29:I29"/>
    <mergeCell ref="A33:I33"/>
    <mergeCell ref="A31:I31"/>
    <mergeCell ref="A10:I10"/>
    <mergeCell ref="G16:I16"/>
    <mergeCell ref="G17:I17"/>
    <mergeCell ref="G12:I12"/>
    <mergeCell ref="G13:I13"/>
    <mergeCell ref="G14:I14"/>
    <mergeCell ref="G15:I15"/>
    <mergeCell ref="A7:B7"/>
    <mergeCell ref="D7:I7"/>
    <mergeCell ref="A8:B8"/>
    <mergeCell ref="D8:I8"/>
    <mergeCell ref="A1:I1"/>
    <mergeCell ref="A3:I3"/>
    <mergeCell ref="A5:B5"/>
    <mergeCell ref="D5:I5"/>
    <mergeCell ref="A6:B6"/>
    <mergeCell ref="D6:I6"/>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15">
      <c r="A1" s="618" t="s">
        <v>79</v>
      </c>
      <c r="B1" s="618"/>
      <c r="C1" s="618"/>
      <c r="D1" s="618"/>
      <c r="E1" s="618"/>
      <c r="F1" s="618"/>
      <c r="G1" s="618"/>
      <c r="H1" s="618"/>
      <c r="I1" s="618"/>
      <c r="J1" s="618"/>
      <c r="K1" s="618"/>
      <c r="L1" s="618"/>
      <c r="M1" s="618"/>
      <c r="N1" s="618"/>
      <c r="O1" s="618"/>
      <c r="P1" s="618"/>
      <c r="Q1" s="618"/>
      <c r="R1" s="618"/>
      <c r="S1" s="618"/>
      <c r="T1" s="618"/>
      <c r="U1" s="618"/>
      <c r="V1" s="618"/>
      <c r="W1" s="618"/>
      <c r="X1" s="618"/>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24788209</v>
      </c>
      <c r="F6" s="29">
        <f>SUM(F7:F9)</f>
        <v>24806831</v>
      </c>
      <c r="G6" s="29">
        <f>SUM(G7:G9)</f>
        <v>12450324</v>
      </c>
      <c r="H6" s="24">
        <f t="shared" ref="H6:H36" si="0">G6/F6*100</f>
        <v>50.189095092396116</v>
      </c>
      <c r="I6" s="29">
        <f>SUM(I7:I9)</f>
        <v>11954764</v>
      </c>
      <c r="J6" s="138">
        <f>SUM(J7:J9)</f>
        <v>4242780</v>
      </c>
      <c r="K6" s="29">
        <f t="shared" ref="K6:X6" si="1">SUM(K7:K9)</f>
        <v>4261402</v>
      </c>
      <c r="L6" s="29">
        <f t="shared" si="1"/>
        <v>2178630</v>
      </c>
      <c r="M6" s="24">
        <f t="shared" ref="M6:M33" si="2">L6/K6*100</f>
        <v>51.12472374115373</v>
      </c>
      <c r="N6" s="30">
        <f t="shared" si="1"/>
        <v>1944540</v>
      </c>
      <c r="O6" s="29">
        <f t="shared" si="1"/>
        <v>20545429</v>
      </c>
      <c r="P6" s="29">
        <f t="shared" si="1"/>
        <v>20545429</v>
      </c>
      <c r="Q6" s="29">
        <f t="shared" si="1"/>
        <v>10271694</v>
      </c>
      <c r="R6" s="24">
        <f t="shared" ref="R6:R33" si="3">Q6/P6*100</f>
        <v>49.995032958425931</v>
      </c>
      <c r="S6" s="29">
        <f t="shared" si="1"/>
        <v>10010224</v>
      </c>
      <c r="T6" s="29">
        <f>SUM(T7:T9)</f>
        <v>70800</v>
      </c>
      <c r="U6" s="29">
        <f t="shared" si="1"/>
        <v>70800</v>
      </c>
      <c r="V6" s="29">
        <f t="shared" si="1"/>
        <v>65446</v>
      </c>
      <c r="W6" s="24">
        <f t="shared" ref="W6:W33" si="4">V6/U6*100</f>
        <v>92.437853107344637</v>
      </c>
      <c r="X6" s="29">
        <f t="shared" si="1"/>
        <v>69056</v>
      </c>
    </row>
    <row r="7" spans="1:24" s="6" customFormat="1" ht="9.9499999999999993" customHeight="1" x14ac:dyDescent="0.2">
      <c r="A7" s="130" t="s">
        <v>2</v>
      </c>
      <c r="B7" s="522" t="s">
        <v>45</v>
      </c>
      <c r="C7" s="523"/>
      <c r="D7" s="131" t="s">
        <v>25</v>
      </c>
      <c r="E7" s="32">
        <f t="shared" ref="E7:G10" si="5">SUM(J7,O7)</f>
        <v>215000</v>
      </c>
      <c r="F7" s="33">
        <f t="shared" si="5"/>
        <v>220130</v>
      </c>
      <c r="G7" s="33">
        <f t="shared" si="5"/>
        <v>155251</v>
      </c>
      <c r="H7" s="9">
        <f t="shared" si="0"/>
        <v>70.526961341025768</v>
      </c>
      <c r="I7" s="34">
        <f>SUM(N7,S7)</f>
        <v>188186</v>
      </c>
      <c r="J7" s="142">
        <v>215000</v>
      </c>
      <c r="K7" s="35">
        <v>220130</v>
      </c>
      <c r="L7" s="35">
        <v>155251</v>
      </c>
      <c r="M7" s="9">
        <f t="shared" si="2"/>
        <v>70.526961341025768</v>
      </c>
      <c r="N7" s="36">
        <v>188186</v>
      </c>
      <c r="O7" s="37"/>
      <c r="P7" s="35"/>
      <c r="Q7" s="35"/>
      <c r="R7" s="9" t="e">
        <f t="shared" si="3"/>
        <v>#DIV/0!</v>
      </c>
      <c r="S7" s="36"/>
      <c r="T7" s="142">
        <v>70800</v>
      </c>
      <c r="U7" s="147">
        <v>70800</v>
      </c>
      <c r="V7" s="35">
        <v>65446</v>
      </c>
      <c r="W7" s="9">
        <f t="shared" si="4"/>
        <v>92.437853107344637</v>
      </c>
      <c r="X7" s="65">
        <v>69056</v>
      </c>
    </row>
    <row r="8" spans="1:24" s="6" customFormat="1" ht="9.9499999999999993" customHeight="1" x14ac:dyDescent="0.2">
      <c r="A8" s="132" t="s">
        <v>3</v>
      </c>
      <c r="B8" s="524" t="s">
        <v>46</v>
      </c>
      <c r="C8" s="525"/>
      <c r="D8" s="133" t="s">
        <v>25</v>
      </c>
      <c r="E8" s="38">
        <f t="shared" si="5"/>
        <v>2000</v>
      </c>
      <c r="F8" s="39">
        <f t="shared" si="5"/>
        <v>2000</v>
      </c>
      <c r="G8" s="39">
        <f t="shared" si="5"/>
        <v>677</v>
      </c>
      <c r="H8" s="10">
        <f t="shared" si="0"/>
        <v>33.85</v>
      </c>
      <c r="I8" s="40">
        <f>SUM(N8,S8)</f>
        <v>1233</v>
      </c>
      <c r="J8" s="243">
        <v>2000</v>
      </c>
      <c r="K8" s="39">
        <v>2000</v>
      </c>
      <c r="L8" s="39">
        <v>677</v>
      </c>
      <c r="M8" s="10">
        <f t="shared" si="2"/>
        <v>33.85</v>
      </c>
      <c r="N8" s="40">
        <v>1233</v>
      </c>
      <c r="O8" s="38"/>
      <c r="P8" s="39"/>
      <c r="Q8" s="39"/>
      <c r="R8" s="10" t="e">
        <f t="shared" si="3"/>
        <v>#DIV/0!</v>
      </c>
      <c r="S8" s="40"/>
      <c r="T8" s="243"/>
      <c r="U8" s="248"/>
      <c r="V8" s="39"/>
      <c r="W8" s="10" t="e">
        <f t="shared" si="4"/>
        <v>#DIV/0!</v>
      </c>
      <c r="X8" s="41"/>
    </row>
    <row r="9" spans="1:24" s="6" customFormat="1" ht="9.9499999999999993" customHeight="1" x14ac:dyDescent="0.2">
      <c r="A9" s="232" t="s">
        <v>4</v>
      </c>
      <c r="B9" s="233" t="s">
        <v>60</v>
      </c>
      <c r="C9" s="234"/>
      <c r="D9" s="235" t="s">
        <v>25</v>
      </c>
      <c r="E9" s="42">
        <f t="shared" si="5"/>
        <v>24571209</v>
      </c>
      <c r="F9" s="43">
        <f t="shared" si="5"/>
        <v>24584701</v>
      </c>
      <c r="G9" s="43">
        <f t="shared" si="5"/>
        <v>12294396</v>
      </c>
      <c r="H9" s="26">
        <f t="shared" si="0"/>
        <v>50.008320215080104</v>
      </c>
      <c r="I9" s="44">
        <f>SUM(N9,S9)</f>
        <v>11765345</v>
      </c>
      <c r="J9" s="244">
        <v>4025780</v>
      </c>
      <c r="K9" s="43">
        <v>4039272</v>
      </c>
      <c r="L9" s="43">
        <v>2022702</v>
      </c>
      <c r="M9" s="26">
        <f t="shared" si="2"/>
        <v>50.075904766997617</v>
      </c>
      <c r="N9" s="44">
        <v>1755121</v>
      </c>
      <c r="O9" s="42">
        <v>20545429</v>
      </c>
      <c r="P9" s="43">
        <v>20545429</v>
      </c>
      <c r="Q9" s="43">
        <v>10271694</v>
      </c>
      <c r="R9" s="26">
        <f t="shared" si="3"/>
        <v>49.995032958425931</v>
      </c>
      <c r="S9" s="44">
        <v>10010224</v>
      </c>
      <c r="T9" s="244"/>
      <c r="U9" s="249"/>
      <c r="V9" s="43"/>
      <c r="W9" s="26" t="e">
        <f t="shared" si="4"/>
        <v>#DIV/0!</v>
      </c>
      <c r="X9" s="45"/>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139"/>
      <c r="K10" s="46"/>
      <c r="L10" s="46"/>
      <c r="M10" s="24" t="e">
        <f t="shared" si="2"/>
        <v>#DIV/0!</v>
      </c>
      <c r="N10" s="47"/>
      <c r="O10" s="46"/>
      <c r="P10" s="46"/>
      <c r="Q10" s="46"/>
      <c r="R10" s="24" t="e">
        <f t="shared" si="3"/>
        <v>#DIV/0!</v>
      </c>
      <c r="S10" s="47"/>
      <c r="T10" s="31"/>
      <c r="U10" s="46"/>
      <c r="V10" s="46"/>
      <c r="W10" s="24" t="e">
        <f t="shared" si="4"/>
        <v>#DIV/0!</v>
      </c>
      <c r="X10" s="46"/>
    </row>
    <row r="11" spans="1:24" s="6" customFormat="1" ht="9.9499999999999993" customHeight="1" x14ac:dyDescent="0.2">
      <c r="A11" s="134" t="s">
        <v>6</v>
      </c>
      <c r="B11" s="526" t="s">
        <v>9</v>
      </c>
      <c r="C11" s="527"/>
      <c r="D11" s="20" t="s">
        <v>25</v>
      </c>
      <c r="E11" s="29">
        <f>SUM(E12:E31)</f>
        <v>24788209</v>
      </c>
      <c r="F11" s="29">
        <f>SUM(F12:F31)</f>
        <v>24806831</v>
      </c>
      <c r="G11" s="29">
        <f>SUM(G12:G31)</f>
        <v>12632799</v>
      </c>
      <c r="H11" s="24">
        <f t="shared" si="0"/>
        <v>50.924678770940147</v>
      </c>
      <c r="I11" s="30">
        <f>SUM(I12:I31)</f>
        <v>11696690</v>
      </c>
      <c r="J11" s="30">
        <f>SUM(J12:J32)</f>
        <v>4242780</v>
      </c>
      <c r="K11" s="29">
        <f>SUM(K12:K31)</f>
        <v>4261402</v>
      </c>
      <c r="L11" s="29">
        <f>SUM(L12:L31)</f>
        <v>2327443</v>
      </c>
      <c r="M11" s="24">
        <f t="shared" si="2"/>
        <v>54.616837369485438</v>
      </c>
      <c r="N11" s="30">
        <f>SUM(N12:N31)</f>
        <v>1686466</v>
      </c>
      <c r="O11" s="29">
        <f>SUM(O12:O31)</f>
        <v>20545429</v>
      </c>
      <c r="P11" s="29">
        <f>SUM(P12:P31)</f>
        <v>20545429</v>
      </c>
      <c r="Q11" s="29">
        <f>SUM(Q12:Q31)</f>
        <v>10305356</v>
      </c>
      <c r="R11" s="24">
        <f t="shared" si="3"/>
        <v>50.158874755061092</v>
      </c>
      <c r="S11" s="30">
        <f>SUM(S12:S31)</f>
        <v>10010224</v>
      </c>
      <c r="T11" s="29">
        <f>SUM(T12:T31)</f>
        <v>26400</v>
      </c>
      <c r="U11" s="29">
        <f>SUM(U12:U31)</f>
        <v>26400</v>
      </c>
      <c r="V11" s="29">
        <f>SUM(V12:V31)</f>
        <v>44744</v>
      </c>
      <c r="W11" s="24">
        <f t="shared" si="4"/>
        <v>169.48484848484847</v>
      </c>
      <c r="X11" s="29">
        <f>SUM(X12:X31)</f>
        <v>40216</v>
      </c>
    </row>
    <row r="12" spans="1:24" s="6" customFormat="1" ht="9.9499999999999993" customHeight="1" x14ac:dyDescent="0.2">
      <c r="A12" s="130" t="s">
        <v>8</v>
      </c>
      <c r="B12" s="528" t="s">
        <v>28</v>
      </c>
      <c r="C12" s="528"/>
      <c r="D12" s="131" t="s">
        <v>25</v>
      </c>
      <c r="E12" s="32">
        <f t="shared" ref="E12:I29" si="6">SUM(J12,O12)</f>
        <v>635000</v>
      </c>
      <c r="F12" s="33">
        <f t="shared" si="6"/>
        <v>935000</v>
      </c>
      <c r="G12" s="33">
        <f t="shared" si="6"/>
        <v>598099</v>
      </c>
      <c r="H12" s="9">
        <f t="shared" si="0"/>
        <v>63.96780748663101</v>
      </c>
      <c r="I12" s="34">
        <f t="shared" si="6"/>
        <v>297699</v>
      </c>
      <c r="J12" s="143">
        <v>395000</v>
      </c>
      <c r="K12" s="48">
        <v>695000</v>
      </c>
      <c r="L12" s="48">
        <v>407885</v>
      </c>
      <c r="M12" s="9">
        <f t="shared" si="2"/>
        <v>58.688489208633101</v>
      </c>
      <c r="N12" s="49">
        <v>215644</v>
      </c>
      <c r="O12" s="50">
        <v>240000</v>
      </c>
      <c r="P12" s="48">
        <v>240000</v>
      </c>
      <c r="Q12" s="48">
        <v>190214</v>
      </c>
      <c r="R12" s="9">
        <f t="shared" si="3"/>
        <v>79.255833333333342</v>
      </c>
      <c r="S12" s="51">
        <v>82055</v>
      </c>
      <c r="T12" s="143">
        <v>250</v>
      </c>
      <c r="U12" s="144">
        <v>250</v>
      </c>
      <c r="V12" s="48">
        <v>268</v>
      </c>
      <c r="W12" s="9">
        <f t="shared" si="4"/>
        <v>107.2</v>
      </c>
      <c r="X12" s="52">
        <v>416</v>
      </c>
    </row>
    <row r="13" spans="1:24" s="6" customFormat="1" ht="9.9499999999999993" customHeight="1" x14ac:dyDescent="0.2">
      <c r="A13" s="135" t="s">
        <v>10</v>
      </c>
      <c r="B13" s="508" t="s">
        <v>29</v>
      </c>
      <c r="C13" s="508"/>
      <c r="D13" s="133" t="s">
        <v>25</v>
      </c>
      <c r="E13" s="38">
        <f t="shared" si="6"/>
        <v>2005000</v>
      </c>
      <c r="F13" s="39">
        <f t="shared" si="6"/>
        <v>1705000</v>
      </c>
      <c r="G13" s="39">
        <f t="shared" si="6"/>
        <v>1000568</v>
      </c>
      <c r="H13" s="10">
        <f t="shared" si="0"/>
        <v>58.684340175953075</v>
      </c>
      <c r="I13" s="40">
        <f t="shared" si="6"/>
        <v>823569</v>
      </c>
      <c r="J13" s="240">
        <v>2005000</v>
      </c>
      <c r="K13" s="39">
        <v>1705000</v>
      </c>
      <c r="L13" s="39">
        <v>1000568</v>
      </c>
      <c r="M13" s="10">
        <f t="shared" si="2"/>
        <v>58.684340175953075</v>
      </c>
      <c r="N13" s="40">
        <v>823569</v>
      </c>
      <c r="O13" s="38"/>
      <c r="P13" s="39"/>
      <c r="Q13" s="39"/>
      <c r="R13" s="10" t="e">
        <f t="shared" si="3"/>
        <v>#DIV/0!</v>
      </c>
      <c r="S13" s="40"/>
      <c r="T13" s="240">
        <v>10850</v>
      </c>
      <c r="U13" s="248">
        <v>10850</v>
      </c>
      <c r="V13" s="39">
        <v>7528</v>
      </c>
      <c r="W13" s="10">
        <f t="shared" si="4"/>
        <v>69.382488479262676</v>
      </c>
      <c r="X13" s="41">
        <v>7724</v>
      </c>
    </row>
    <row r="14" spans="1:24" s="6" customFormat="1" ht="9.9499999999999993" customHeight="1" x14ac:dyDescent="0.2">
      <c r="A14" s="135" t="s">
        <v>11</v>
      </c>
      <c r="B14" s="236" t="s">
        <v>61</v>
      </c>
      <c r="C14" s="237"/>
      <c r="D14" s="133" t="s">
        <v>25</v>
      </c>
      <c r="E14" s="38">
        <f t="shared" si="6"/>
        <v>0</v>
      </c>
      <c r="F14" s="39">
        <f t="shared" si="6"/>
        <v>0</v>
      </c>
      <c r="G14" s="39">
        <f t="shared" si="6"/>
        <v>0</v>
      </c>
      <c r="H14" s="10" t="e">
        <f t="shared" si="0"/>
        <v>#DIV/0!</v>
      </c>
      <c r="I14" s="40">
        <f t="shared" si="6"/>
        <v>0</v>
      </c>
      <c r="J14" s="240"/>
      <c r="K14" s="39"/>
      <c r="L14" s="39"/>
      <c r="M14" s="10" t="e">
        <f t="shared" si="2"/>
        <v>#DIV/0!</v>
      </c>
      <c r="N14" s="40"/>
      <c r="O14" s="38"/>
      <c r="P14" s="39"/>
      <c r="Q14" s="39"/>
      <c r="R14" s="10" t="e">
        <f t="shared" si="3"/>
        <v>#DIV/0!</v>
      </c>
      <c r="S14" s="40"/>
      <c r="T14" s="240"/>
      <c r="U14" s="248"/>
      <c r="V14" s="39"/>
      <c r="W14" s="10" t="e">
        <f t="shared" si="4"/>
        <v>#DIV/0!</v>
      </c>
      <c r="X14" s="41"/>
    </row>
    <row r="15" spans="1:24" s="6" customFormat="1" ht="9.9499999999999993" customHeight="1" x14ac:dyDescent="0.2">
      <c r="A15" s="135" t="s">
        <v>12</v>
      </c>
      <c r="B15" s="511" t="s">
        <v>109</v>
      </c>
      <c r="C15" s="512"/>
      <c r="D15" s="133" t="s">
        <v>25</v>
      </c>
      <c r="E15" s="38">
        <f t="shared" si="6"/>
        <v>463000</v>
      </c>
      <c r="F15" s="39">
        <f t="shared" si="6"/>
        <v>463000</v>
      </c>
      <c r="G15" s="39">
        <f t="shared" si="6"/>
        <v>157269</v>
      </c>
      <c r="H15" s="10">
        <f t="shared" si="0"/>
        <v>33.967386609071276</v>
      </c>
      <c r="I15" s="40">
        <f t="shared" si="6"/>
        <v>55296</v>
      </c>
      <c r="J15" s="240">
        <v>463000</v>
      </c>
      <c r="K15" s="39">
        <v>463000</v>
      </c>
      <c r="L15" s="39">
        <v>157269</v>
      </c>
      <c r="M15" s="10">
        <f t="shared" si="2"/>
        <v>33.967386609071276</v>
      </c>
      <c r="N15" s="40">
        <v>55296</v>
      </c>
      <c r="O15" s="38"/>
      <c r="P15" s="39"/>
      <c r="Q15" s="39"/>
      <c r="R15" s="10" t="e">
        <f t="shared" si="3"/>
        <v>#DIV/0!</v>
      </c>
      <c r="S15" s="40"/>
      <c r="T15" s="240">
        <v>5850</v>
      </c>
      <c r="U15" s="248">
        <v>5850</v>
      </c>
      <c r="V15" s="39">
        <v>1014</v>
      </c>
      <c r="W15" s="10">
        <f t="shared" si="4"/>
        <v>17.333333333333336</v>
      </c>
      <c r="X15" s="41">
        <v>624</v>
      </c>
    </row>
    <row r="16" spans="1:24" s="6" customFormat="1" ht="9.9499999999999993" customHeight="1" x14ac:dyDescent="0.2">
      <c r="A16" s="135" t="s">
        <v>13</v>
      </c>
      <c r="B16" s="511" t="s">
        <v>30</v>
      </c>
      <c r="C16" s="512"/>
      <c r="D16" s="133" t="s">
        <v>25</v>
      </c>
      <c r="E16" s="38">
        <f t="shared" si="6"/>
        <v>53000</v>
      </c>
      <c r="F16" s="39">
        <f t="shared" si="6"/>
        <v>53000</v>
      </c>
      <c r="G16" s="39">
        <f t="shared" si="6"/>
        <v>38840</v>
      </c>
      <c r="H16" s="10">
        <f t="shared" si="0"/>
        <v>73.283018867924525</v>
      </c>
      <c r="I16" s="40">
        <f t="shared" si="6"/>
        <v>35336</v>
      </c>
      <c r="J16" s="240">
        <v>3000</v>
      </c>
      <c r="K16" s="39">
        <v>3000</v>
      </c>
      <c r="L16" s="39">
        <v>290</v>
      </c>
      <c r="M16" s="10">
        <f t="shared" si="2"/>
        <v>9.6666666666666661</v>
      </c>
      <c r="N16" s="40">
        <v>1227</v>
      </c>
      <c r="O16" s="38">
        <v>50000</v>
      </c>
      <c r="P16" s="39">
        <v>50000</v>
      </c>
      <c r="Q16" s="39">
        <v>38550</v>
      </c>
      <c r="R16" s="10">
        <f t="shared" si="3"/>
        <v>77.100000000000009</v>
      </c>
      <c r="S16" s="40">
        <v>34109</v>
      </c>
      <c r="T16" s="240"/>
      <c r="U16" s="248"/>
      <c r="V16" s="39"/>
      <c r="W16" s="10" t="e">
        <f t="shared" si="4"/>
        <v>#DIV/0!</v>
      </c>
      <c r="X16" s="41"/>
    </row>
    <row r="17" spans="1:24" s="6" customFormat="1" ht="9.9499999999999993" customHeight="1" x14ac:dyDescent="0.2">
      <c r="A17" s="135" t="s">
        <v>14</v>
      </c>
      <c r="B17" s="236" t="s">
        <v>47</v>
      </c>
      <c r="C17" s="237"/>
      <c r="D17" s="133" t="s">
        <v>25</v>
      </c>
      <c r="E17" s="38">
        <f t="shared" si="6"/>
        <v>5000</v>
      </c>
      <c r="F17" s="39">
        <f t="shared" si="6"/>
        <v>5000</v>
      </c>
      <c r="G17" s="39">
        <f t="shared" si="6"/>
        <v>830</v>
      </c>
      <c r="H17" s="10">
        <f t="shared" si="0"/>
        <v>16.600000000000001</v>
      </c>
      <c r="I17" s="40">
        <f t="shared" si="6"/>
        <v>1974</v>
      </c>
      <c r="J17" s="240">
        <v>5000</v>
      </c>
      <c r="K17" s="39">
        <v>5000</v>
      </c>
      <c r="L17" s="39">
        <v>830</v>
      </c>
      <c r="M17" s="10">
        <f t="shared" si="2"/>
        <v>16.600000000000001</v>
      </c>
      <c r="N17" s="40">
        <v>1974</v>
      </c>
      <c r="O17" s="38"/>
      <c r="P17" s="39"/>
      <c r="Q17" s="39"/>
      <c r="R17" s="10" t="e">
        <f t="shared" si="3"/>
        <v>#DIV/0!</v>
      </c>
      <c r="S17" s="40"/>
      <c r="T17" s="240"/>
      <c r="U17" s="248"/>
      <c r="V17" s="39"/>
      <c r="W17" s="10" t="e">
        <f t="shared" si="4"/>
        <v>#DIV/0!</v>
      </c>
      <c r="X17" s="41"/>
    </row>
    <row r="18" spans="1:24" s="6" customFormat="1" ht="9.9499999999999993" customHeight="1" x14ac:dyDescent="0.2">
      <c r="A18" s="135" t="s">
        <v>15</v>
      </c>
      <c r="B18" s="511" t="s">
        <v>31</v>
      </c>
      <c r="C18" s="512"/>
      <c r="D18" s="133" t="s">
        <v>25</v>
      </c>
      <c r="E18" s="38">
        <f t="shared" si="6"/>
        <v>379190</v>
      </c>
      <c r="F18" s="39">
        <f t="shared" si="6"/>
        <v>378095</v>
      </c>
      <c r="G18" s="39">
        <f t="shared" si="6"/>
        <v>290923</v>
      </c>
      <c r="H18" s="10">
        <f t="shared" si="0"/>
        <v>76.944418730742271</v>
      </c>
      <c r="I18" s="40">
        <f t="shared" si="6"/>
        <v>159072</v>
      </c>
      <c r="J18" s="240">
        <v>334190</v>
      </c>
      <c r="K18" s="39">
        <v>333095</v>
      </c>
      <c r="L18" s="39">
        <v>258965</v>
      </c>
      <c r="M18" s="10">
        <f t="shared" si="2"/>
        <v>77.745087737732476</v>
      </c>
      <c r="N18" s="40">
        <v>142123</v>
      </c>
      <c r="O18" s="38">
        <v>45000</v>
      </c>
      <c r="P18" s="39">
        <v>45000</v>
      </c>
      <c r="Q18" s="39">
        <v>31958</v>
      </c>
      <c r="R18" s="10">
        <f t="shared" si="3"/>
        <v>71.017777777777781</v>
      </c>
      <c r="S18" s="40">
        <v>16949</v>
      </c>
      <c r="T18" s="240">
        <v>7700</v>
      </c>
      <c r="U18" s="248">
        <v>7700</v>
      </c>
      <c r="V18" s="39">
        <v>35934</v>
      </c>
      <c r="W18" s="10">
        <f t="shared" si="4"/>
        <v>466.6753246753247</v>
      </c>
      <c r="X18" s="41">
        <v>30924</v>
      </c>
    </row>
    <row r="19" spans="1:24" s="11" customFormat="1" ht="9.9499999999999993" customHeight="1" x14ac:dyDescent="0.2">
      <c r="A19" s="135" t="s">
        <v>16</v>
      </c>
      <c r="B19" s="508" t="s">
        <v>32</v>
      </c>
      <c r="C19" s="508"/>
      <c r="D19" s="133" t="s">
        <v>25</v>
      </c>
      <c r="E19" s="38">
        <f t="shared" si="6"/>
        <v>15180485</v>
      </c>
      <c r="F19" s="39">
        <f t="shared" si="6"/>
        <v>15185615</v>
      </c>
      <c r="G19" s="39">
        <f t="shared" si="6"/>
        <v>7562553</v>
      </c>
      <c r="H19" s="10">
        <f t="shared" si="0"/>
        <v>49.800768687998477</v>
      </c>
      <c r="I19" s="40">
        <f t="shared" si="6"/>
        <v>7306937</v>
      </c>
      <c r="J19" s="241">
        <v>380010</v>
      </c>
      <c r="K19" s="39">
        <v>385140</v>
      </c>
      <c r="L19" s="39">
        <v>184142</v>
      </c>
      <c r="M19" s="10">
        <f t="shared" si="2"/>
        <v>47.8117048346056</v>
      </c>
      <c r="N19" s="40">
        <v>180359</v>
      </c>
      <c r="O19" s="38">
        <v>14800475</v>
      </c>
      <c r="P19" s="39">
        <v>14800475</v>
      </c>
      <c r="Q19" s="39">
        <v>7378411</v>
      </c>
      <c r="R19" s="10">
        <f t="shared" si="3"/>
        <v>49.852528381690455</v>
      </c>
      <c r="S19" s="40">
        <v>7126578</v>
      </c>
      <c r="T19" s="241">
        <v>1000</v>
      </c>
      <c r="U19" s="253">
        <v>1000</v>
      </c>
      <c r="V19" s="53"/>
      <c r="W19" s="10">
        <f t="shared" si="4"/>
        <v>0</v>
      </c>
      <c r="X19" s="66">
        <v>389</v>
      </c>
    </row>
    <row r="20" spans="1:24" s="6" customFormat="1" ht="9.9499999999999993" customHeight="1" x14ac:dyDescent="0.2">
      <c r="A20" s="135" t="s">
        <v>17</v>
      </c>
      <c r="B20" s="508" t="s">
        <v>48</v>
      </c>
      <c r="C20" s="508"/>
      <c r="D20" s="133" t="s">
        <v>25</v>
      </c>
      <c r="E20" s="38">
        <f t="shared" si="6"/>
        <v>5162554</v>
      </c>
      <c r="F20" s="39">
        <f t="shared" si="6"/>
        <v>5163607</v>
      </c>
      <c r="G20" s="39">
        <f t="shared" si="6"/>
        <v>2550240</v>
      </c>
      <c r="H20" s="10">
        <f t="shared" si="0"/>
        <v>49.388731559160099</v>
      </c>
      <c r="I20" s="40">
        <f t="shared" si="6"/>
        <v>2451793</v>
      </c>
      <c r="J20" s="240">
        <v>52200</v>
      </c>
      <c r="K20" s="39">
        <v>53253</v>
      </c>
      <c r="L20" s="39">
        <v>21760</v>
      </c>
      <c r="M20" s="10">
        <f t="shared" si="2"/>
        <v>40.861547706232514</v>
      </c>
      <c r="N20" s="40">
        <v>25668</v>
      </c>
      <c r="O20" s="38">
        <v>5110354</v>
      </c>
      <c r="P20" s="39">
        <v>5110354</v>
      </c>
      <c r="Q20" s="39">
        <v>2528480</v>
      </c>
      <c r="R20" s="10">
        <f t="shared" si="3"/>
        <v>49.477590006484874</v>
      </c>
      <c r="S20" s="40">
        <v>2426125</v>
      </c>
      <c r="T20" s="240">
        <v>350</v>
      </c>
      <c r="U20" s="248">
        <v>350</v>
      </c>
      <c r="V20" s="39"/>
      <c r="W20" s="10">
        <f t="shared" si="4"/>
        <v>0</v>
      </c>
      <c r="X20" s="41">
        <v>135</v>
      </c>
    </row>
    <row r="21" spans="1:24" s="6" customFormat="1" ht="9.9499999999999993" customHeight="1" x14ac:dyDescent="0.2">
      <c r="A21" s="135" t="s">
        <v>18</v>
      </c>
      <c r="B21" s="508" t="s">
        <v>49</v>
      </c>
      <c r="C21" s="508"/>
      <c r="D21" s="133" t="s">
        <v>25</v>
      </c>
      <c r="E21" s="38">
        <f t="shared" si="6"/>
        <v>158200</v>
      </c>
      <c r="F21" s="39">
        <f t="shared" si="6"/>
        <v>158242</v>
      </c>
      <c r="G21" s="39">
        <f t="shared" si="6"/>
        <v>113165</v>
      </c>
      <c r="H21" s="10">
        <f t="shared" si="0"/>
        <v>71.513883798233095</v>
      </c>
      <c r="I21" s="40">
        <f t="shared" si="6"/>
        <v>79874</v>
      </c>
      <c r="J21" s="240">
        <v>1200</v>
      </c>
      <c r="K21" s="39">
        <v>1242</v>
      </c>
      <c r="L21" s="39">
        <v>431</v>
      </c>
      <c r="M21" s="10">
        <f t="shared" si="2"/>
        <v>34.702093397745571</v>
      </c>
      <c r="N21" s="40">
        <v>500</v>
      </c>
      <c r="O21" s="38">
        <v>157000</v>
      </c>
      <c r="P21" s="39">
        <v>157000</v>
      </c>
      <c r="Q21" s="39">
        <v>112734</v>
      </c>
      <c r="R21" s="10">
        <f t="shared" si="3"/>
        <v>71.805095541401272</v>
      </c>
      <c r="S21" s="40">
        <v>79374</v>
      </c>
      <c r="T21" s="240">
        <v>50</v>
      </c>
      <c r="U21" s="248">
        <v>50</v>
      </c>
      <c r="V21" s="39"/>
      <c r="W21" s="10">
        <f t="shared" si="4"/>
        <v>0</v>
      </c>
      <c r="X21" s="41">
        <v>4</v>
      </c>
    </row>
    <row r="22" spans="1:24" s="6" customFormat="1" ht="9.9499999999999993" customHeight="1" x14ac:dyDescent="0.2">
      <c r="A22" s="135" t="s">
        <v>19</v>
      </c>
      <c r="B22" s="508" t="s">
        <v>62</v>
      </c>
      <c r="C22" s="508"/>
      <c r="D22" s="133" t="s">
        <v>25</v>
      </c>
      <c r="E22" s="38">
        <f t="shared" si="6"/>
        <v>0</v>
      </c>
      <c r="F22" s="39">
        <f t="shared" si="6"/>
        <v>0</v>
      </c>
      <c r="G22" s="39">
        <f t="shared" si="6"/>
        <v>0</v>
      </c>
      <c r="H22" s="10" t="e">
        <f t="shared" si="0"/>
        <v>#DIV/0!</v>
      </c>
      <c r="I22" s="40">
        <f t="shared" si="6"/>
        <v>0</v>
      </c>
      <c r="J22" s="240"/>
      <c r="K22" s="39"/>
      <c r="L22" s="39"/>
      <c r="M22" s="10" t="e">
        <f t="shared" si="2"/>
        <v>#DIV/0!</v>
      </c>
      <c r="N22" s="40"/>
      <c r="O22" s="38"/>
      <c r="P22" s="39"/>
      <c r="Q22" s="39"/>
      <c r="R22" s="10" t="e">
        <f t="shared" si="3"/>
        <v>#DIV/0!</v>
      </c>
      <c r="S22" s="40"/>
      <c r="T22" s="240"/>
      <c r="U22" s="248"/>
      <c r="V22" s="39"/>
      <c r="W22" s="10" t="e">
        <f t="shared" si="4"/>
        <v>#DIV/0!</v>
      </c>
      <c r="X22" s="41"/>
    </row>
    <row r="23" spans="1:24" s="6" customFormat="1" ht="9.9499999999999993" customHeight="1" x14ac:dyDescent="0.2">
      <c r="A23" s="135" t="s">
        <v>20</v>
      </c>
      <c r="B23" s="223" t="s">
        <v>101</v>
      </c>
      <c r="C23" s="223"/>
      <c r="D23" s="133" t="s">
        <v>25</v>
      </c>
      <c r="E23" s="38">
        <f t="shared" si="6"/>
        <v>0</v>
      </c>
      <c r="F23" s="39">
        <f t="shared" si="6"/>
        <v>0</v>
      </c>
      <c r="G23" s="39">
        <f t="shared" si="6"/>
        <v>0</v>
      </c>
      <c r="H23" s="10" t="e">
        <f t="shared" si="0"/>
        <v>#DIV/0!</v>
      </c>
      <c r="I23" s="40">
        <f t="shared" si="6"/>
        <v>0</v>
      </c>
      <c r="J23" s="240"/>
      <c r="K23" s="39"/>
      <c r="L23" s="39"/>
      <c r="M23" s="10" t="e">
        <f t="shared" si="2"/>
        <v>#DIV/0!</v>
      </c>
      <c r="N23" s="40"/>
      <c r="O23" s="38"/>
      <c r="P23" s="39"/>
      <c r="Q23" s="39"/>
      <c r="R23" s="10" t="e">
        <f t="shared" si="3"/>
        <v>#DIV/0!</v>
      </c>
      <c r="S23" s="40"/>
      <c r="T23" s="240"/>
      <c r="U23" s="248"/>
      <c r="V23" s="39"/>
      <c r="W23" s="10" t="e">
        <f t="shared" si="4"/>
        <v>#DIV/0!</v>
      </c>
      <c r="X23" s="41"/>
    </row>
    <row r="24" spans="1:24" s="6" customFormat="1" ht="9.9499999999999993" customHeight="1" x14ac:dyDescent="0.2">
      <c r="A24" s="135" t="s">
        <v>21</v>
      </c>
      <c r="B24" s="223" t="s">
        <v>110</v>
      </c>
      <c r="C24" s="223"/>
      <c r="D24" s="133" t="s">
        <v>25</v>
      </c>
      <c r="E24" s="38">
        <f t="shared" si="6"/>
        <v>0</v>
      </c>
      <c r="F24" s="39">
        <f t="shared" si="6"/>
        <v>0</v>
      </c>
      <c r="G24" s="39">
        <f t="shared" si="6"/>
        <v>0</v>
      </c>
      <c r="H24" s="10" t="e">
        <f t="shared" si="0"/>
        <v>#DIV/0!</v>
      </c>
      <c r="I24" s="40">
        <f t="shared" si="6"/>
        <v>0</v>
      </c>
      <c r="J24" s="240"/>
      <c r="K24" s="39"/>
      <c r="L24" s="39"/>
      <c r="M24" s="10" t="e">
        <f t="shared" si="2"/>
        <v>#DIV/0!</v>
      </c>
      <c r="N24" s="40"/>
      <c r="O24" s="38"/>
      <c r="P24" s="39"/>
      <c r="Q24" s="39"/>
      <c r="R24" s="10" t="e">
        <f t="shared" si="3"/>
        <v>#DIV/0!</v>
      </c>
      <c r="S24" s="40"/>
      <c r="T24" s="240"/>
      <c r="U24" s="248"/>
      <c r="V24" s="39"/>
      <c r="W24" s="10" t="e">
        <f t="shared" si="4"/>
        <v>#DIV/0!</v>
      </c>
      <c r="X24" s="41"/>
    </row>
    <row r="25" spans="1:24" s="13" customFormat="1" ht="9.9499999999999993" customHeight="1" x14ac:dyDescent="0.2">
      <c r="A25" s="135" t="s">
        <v>22</v>
      </c>
      <c r="B25" s="223" t="s">
        <v>63</v>
      </c>
      <c r="C25" s="223"/>
      <c r="D25" s="133" t="s">
        <v>25</v>
      </c>
      <c r="E25" s="38">
        <f t="shared" si="6"/>
        <v>0</v>
      </c>
      <c r="F25" s="39">
        <f t="shared" si="6"/>
        <v>0</v>
      </c>
      <c r="G25" s="39">
        <f t="shared" si="6"/>
        <v>0</v>
      </c>
      <c r="H25" s="14" t="e">
        <f>G25/F25*100</f>
        <v>#DIV/0!</v>
      </c>
      <c r="I25" s="40">
        <f>SUM(N25,S25)</f>
        <v>0</v>
      </c>
      <c r="J25" s="240"/>
      <c r="K25" s="59"/>
      <c r="L25" s="59"/>
      <c r="M25" s="10" t="e">
        <f>L25/K25*100</f>
        <v>#DIV/0!</v>
      </c>
      <c r="N25" s="55"/>
      <c r="O25" s="58"/>
      <c r="P25" s="59"/>
      <c r="Q25" s="59"/>
      <c r="R25" s="10" t="e">
        <f>Q25/P25*100</f>
        <v>#DIV/0!</v>
      </c>
      <c r="S25" s="55"/>
      <c r="T25" s="240"/>
      <c r="U25" s="254"/>
      <c r="V25" s="60"/>
      <c r="W25" s="10" t="e">
        <f>V25/U25*100</f>
        <v>#DIV/0!</v>
      </c>
      <c r="X25" s="68"/>
    </row>
    <row r="26" spans="1:24" s="6" customFormat="1" ht="9.9499999999999993" customHeight="1" x14ac:dyDescent="0.2">
      <c r="A26" s="135" t="s">
        <v>23</v>
      </c>
      <c r="B26" s="511" t="s">
        <v>64</v>
      </c>
      <c r="C26" s="512"/>
      <c r="D26" s="133" t="s">
        <v>25</v>
      </c>
      <c r="E26" s="38">
        <f t="shared" si="6"/>
        <v>516930</v>
      </c>
      <c r="F26" s="39">
        <f t="shared" si="6"/>
        <v>530422</v>
      </c>
      <c r="G26" s="39">
        <f t="shared" si="6"/>
        <v>258393</v>
      </c>
      <c r="H26" s="10">
        <f t="shared" si="0"/>
        <v>48.714608368431172</v>
      </c>
      <c r="I26" s="40">
        <f t="shared" si="6"/>
        <v>214524</v>
      </c>
      <c r="J26" s="240">
        <v>516930</v>
      </c>
      <c r="K26" s="54">
        <v>530422</v>
      </c>
      <c r="L26" s="54">
        <v>258393</v>
      </c>
      <c r="M26" s="10">
        <f t="shared" si="2"/>
        <v>48.714608368431172</v>
      </c>
      <c r="N26" s="55">
        <v>214524</v>
      </c>
      <c r="O26" s="56"/>
      <c r="P26" s="54"/>
      <c r="Q26" s="54"/>
      <c r="R26" s="10" t="e">
        <f t="shared" si="3"/>
        <v>#DIV/0!</v>
      </c>
      <c r="S26" s="57"/>
      <c r="T26" s="240">
        <v>350</v>
      </c>
      <c r="U26" s="250">
        <v>350</v>
      </c>
      <c r="V26" s="54"/>
      <c r="W26" s="10">
        <f t="shared" si="4"/>
        <v>0</v>
      </c>
      <c r="X26" s="67"/>
    </row>
    <row r="27" spans="1:24" s="13" customFormat="1" ht="9.9499999999999993" customHeight="1" x14ac:dyDescent="0.2">
      <c r="A27" s="135" t="s">
        <v>44</v>
      </c>
      <c r="B27" s="236" t="s">
        <v>65</v>
      </c>
      <c r="C27" s="237"/>
      <c r="D27" s="133" t="s">
        <v>25</v>
      </c>
      <c r="E27" s="38">
        <f t="shared" si="6"/>
        <v>0</v>
      </c>
      <c r="F27" s="39">
        <f t="shared" si="6"/>
        <v>0</v>
      </c>
      <c r="G27" s="39">
        <f t="shared" si="6"/>
        <v>0</v>
      </c>
      <c r="H27" s="14" t="e">
        <f t="shared" si="0"/>
        <v>#DIV/0!</v>
      </c>
      <c r="I27" s="40">
        <f t="shared" si="6"/>
        <v>0</v>
      </c>
      <c r="J27" s="240"/>
      <c r="K27" s="59"/>
      <c r="L27" s="59"/>
      <c r="M27" s="10" t="e">
        <f t="shared" si="2"/>
        <v>#DIV/0!</v>
      </c>
      <c r="N27" s="40"/>
      <c r="O27" s="58"/>
      <c r="P27" s="59"/>
      <c r="Q27" s="59"/>
      <c r="R27" s="10" t="e">
        <f t="shared" si="3"/>
        <v>#DIV/0!</v>
      </c>
      <c r="S27" s="55"/>
      <c r="T27" s="240"/>
      <c r="U27" s="254"/>
      <c r="V27" s="60"/>
      <c r="W27" s="10" t="e">
        <f t="shared" si="4"/>
        <v>#DIV/0!</v>
      </c>
      <c r="X27" s="68"/>
    </row>
    <row r="28" spans="1:24" s="13" customFormat="1" ht="9.9499999999999993" customHeight="1" x14ac:dyDescent="0.2">
      <c r="A28" s="135" t="s">
        <v>50</v>
      </c>
      <c r="B28" s="236" t="s">
        <v>91</v>
      </c>
      <c r="C28" s="237"/>
      <c r="D28" s="133" t="s">
        <v>25</v>
      </c>
      <c r="E28" s="38">
        <f>SUM(J28,O28)</f>
        <v>229600</v>
      </c>
      <c r="F28" s="39">
        <f>SUM(K28,P28)</f>
        <v>229600</v>
      </c>
      <c r="G28" s="39">
        <f>SUM(L28,Q28)</f>
        <v>61697</v>
      </c>
      <c r="H28" s="14">
        <f>G28/F28*100</f>
        <v>26.87151567944251</v>
      </c>
      <c r="I28" s="40">
        <f>SUM(N28,S28)</f>
        <v>270394</v>
      </c>
      <c r="J28" s="240">
        <v>87000</v>
      </c>
      <c r="K28" s="59">
        <v>87000</v>
      </c>
      <c r="L28" s="59">
        <v>36688</v>
      </c>
      <c r="M28" s="10">
        <f>L28/K28*100</f>
        <v>42.170114942528734</v>
      </c>
      <c r="N28" s="40">
        <v>25360</v>
      </c>
      <c r="O28" s="58">
        <v>142600</v>
      </c>
      <c r="P28" s="59">
        <v>142600</v>
      </c>
      <c r="Q28" s="59">
        <v>25009</v>
      </c>
      <c r="R28" s="10">
        <f>Q28/P28*100</f>
        <v>17.537868162692845</v>
      </c>
      <c r="S28" s="55">
        <v>245034</v>
      </c>
      <c r="T28" s="240"/>
      <c r="U28" s="254"/>
      <c r="V28" s="60"/>
      <c r="W28" s="10" t="e">
        <f>V28/U28*100</f>
        <v>#DIV/0!</v>
      </c>
      <c r="X28" s="68"/>
    </row>
    <row r="29" spans="1:24" s="15" customFormat="1" ht="9.9499999999999993" customHeight="1" x14ac:dyDescent="0.2">
      <c r="A29" s="135" t="s">
        <v>51</v>
      </c>
      <c r="B29" s="236" t="s">
        <v>66</v>
      </c>
      <c r="C29" s="237"/>
      <c r="D29" s="133" t="s">
        <v>25</v>
      </c>
      <c r="E29" s="38">
        <f t="shared" si="6"/>
        <v>250</v>
      </c>
      <c r="F29" s="39">
        <f t="shared" si="6"/>
        <v>250</v>
      </c>
      <c r="G29" s="39">
        <f t="shared" si="6"/>
        <v>222</v>
      </c>
      <c r="H29" s="14">
        <f t="shared" si="0"/>
        <v>88.8</v>
      </c>
      <c r="I29" s="40">
        <f t="shared" si="6"/>
        <v>222</v>
      </c>
      <c r="J29" s="240">
        <v>250</v>
      </c>
      <c r="K29" s="59">
        <v>250</v>
      </c>
      <c r="L29" s="59">
        <v>222</v>
      </c>
      <c r="M29" s="10">
        <f t="shared" si="2"/>
        <v>88.8</v>
      </c>
      <c r="N29" s="55">
        <v>222</v>
      </c>
      <c r="O29" s="58"/>
      <c r="P29" s="59"/>
      <c r="Q29" s="59"/>
      <c r="R29" s="10" t="e">
        <f t="shared" si="3"/>
        <v>#DIV/0!</v>
      </c>
      <c r="S29" s="55"/>
      <c r="T29" s="240"/>
      <c r="U29" s="254"/>
      <c r="V29" s="60"/>
      <c r="W29" s="10" t="e">
        <f t="shared" si="4"/>
        <v>#DIV/0!</v>
      </c>
      <c r="X29" s="68"/>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40">
        <f>SUM(N30,S30)</f>
        <v>0</v>
      </c>
      <c r="J30" s="240"/>
      <c r="K30" s="59"/>
      <c r="L30" s="59"/>
      <c r="M30" s="10" t="e">
        <f t="shared" si="2"/>
        <v>#DIV/0!</v>
      </c>
      <c r="N30" s="55"/>
      <c r="O30" s="58"/>
      <c r="P30" s="59"/>
      <c r="Q30" s="59"/>
      <c r="R30" s="10" t="e">
        <f t="shared" si="3"/>
        <v>#DIV/0!</v>
      </c>
      <c r="S30" s="55"/>
      <c r="T30" s="240"/>
      <c r="U30" s="254"/>
      <c r="V30" s="60"/>
      <c r="W30" s="10" t="e">
        <f t="shared" si="4"/>
        <v>#DIV/0!</v>
      </c>
      <c r="X30" s="68"/>
    </row>
    <row r="31" spans="1:24" s="23" customFormat="1" ht="9.75" x14ac:dyDescent="0.2">
      <c r="A31" s="135" t="s">
        <v>54</v>
      </c>
      <c r="B31" s="236" t="s">
        <v>67</v>
      </c>
      <c r="C31" s="237"/>
      <c r="D31" s="133" t="s">
        <v>25</v>
      </c>
      <c r="E31" s="38">
        <f t="shared" si="7"/>
        <v>0</v>
      </c>
      <c r="F31" s="39">
        <f t="shared" si="7"/>
        <v>0</v>
      </c>
      <c r="G31" s="39">
        <f t="shared" si="7"/>
        <v>0</v>
      </c>
      <c r="H31" s="14" t="e">
        <f t="shared" si="0"/>
        <v>#DIV/0!</v>
      </c>
      <c r="I31" s="40">
        <f>SUM(N31,S31)</f>
        <v>0</v>
      </c>
      <c r="J31" s="240"/>
      <c r="K31" s="85"/>
      <c r="L31" s="85"/>
      <c r="M31" s="10" t="e">
        <f t="shared" si="2"/>
        <v>#DIV/0!</v>
      </c>
      <c r="N31" s="86"/>
      <c r="O31" s="87"/>
      <c r="P31" s="85"/>
      <c r="Q31" s="85"/>
      <c r="R31" s="10" t="e">
        <f t="shared" si="3"/>
        <v>#DIV/0!</v>
      </c>
      <c r="S31" s="86"/>
      <c r="T31" s="240"/>
      <c r="U31" s="255"/>
      <c r="V31" s="89"/>
      <c r="W31" s="10" t="e">
        <f t="shared" si="4"/>
        <v>#DIV/0!</v>
      </c>
      <c r="X31" s="90"/>
    </row>
    <row r="32" spans="1:24" s="23" customFormat="1" ht="9.75" x14ac:dyDescent="0.2">
      <c r="A32" s="238" t="s">
        <v>55</v>
      </c>
      <c r="B32" s="233" t="s">
        <v>68</v>
      </c>
      <c r="C32" s="239"/>
      <c r="D32" s="235" t="s">
        <v>25</v>
      </c>
      <c r="E32" s="42">
        <f>SUM(J32,O32)</f>
        <v>0</v>
      </c>
      <c r="F32" s="43">
        <f>SUM(K32,P32)</f>
        <v>0</v>
      </c>
      <c r="G32" s="43">
        <f>SUM(L32,Q32)</f>
        <v>0</v>
      </c>
      <c r="H32" s="16" t="e">
        <f t="shared" si="0"/>
        <v>#DIV/0!</v>
      </c>
      <c r="I32" s="44">
        <f>SUM(N32,S32)</f>
        <v>0</v>
      </c>
      <c r="J32" s="242"/>
      <c r="K32" s="61"/>
      <c r="L32" s="61"/>
      <c r="M32" s="26" t="e">
        <f t="shared" si="2"/>
        <v>#DIV/0!</v>
      </c>
      <c r="N32" s="91"/>
      <c r="O32" s="64"/>
      <c r="P32" s="61"/>
      <c r="Q32" s="61"/>
      <c r="R32" s="26" t="e">
        <f t="shared" si="3"/>
        <v>#DIV/0!</v>
      </c>
      <c r="S32" s="91"/>
      <c r="T32" s="242"/>
      <c r="U32" s="251"/>
      <c r="V32" s="61"/>
      <c r="W32" s="26" t="e">
        <f t="shared" si="4"/>
        <v>#DIV/0!</v>
      </c>
      <c r="X32" s="69"/>
    </row>
    <row r="33" spans="1:24" s="23" customFormat="1" ht="9.75" x14ac:dyDescent="0.2">
      <c r="A33" s="134" t="s">
        <v>56</v>
      </c>
      <c r="B33" s="21" t="s">
        <v>102</v>
      </c>
      <c r="C33" s="22"/>
      <c r="D33" s="20" t="s">
        <v>25</v>
      </c>
      <c r="E33" s="29">
        <f>E6-E11</f>
        <v>0</v>
      </c>
      <c r="F33" s="29">
        <f>F6-F11</f>
        <v>0</v>
      </c>
      <c r="G33" s="29">
        <f>G6-G11</f>
        <v>-182475</v>
      </c>
      <c r="H33" s="25" t="e">
        <f t="shared" si="0"/>
        <v>#DIV/0!</v>
      </c>
      <c r="I33" s="29">
        <f>I6-I11</f>
        <v>258074</v>
      </c>
      <c r="J33" s="140">
        <f>J6-J11</f>
        <v>0</v>
      </c>
      <c r="K33" s="29">
        <f>K6-K11</f>
        <v>0</v>
      </c>
      <c r="L33" s="29">
        <f>L6-L11</f>
        <v>-148813</v>
      </c>
      <c r="M33" s="19" t="e">
        <f t="shared" si="2"/>
        <v>#DIV/0!</v>
      </c>
      <c r="N33" s="29">
        <f>N6-N11</f>
        <v>258074</v>
      </c>
      <c r="O33" s="29">
        <f>O6-O11</f>
        <v>0</v>
      </c>
      <c r="P33" s="29">
        <f>P6-P11</f>
        <v>0</v>
      </c>
      <c r="Q33" s="29">
        <f>Q6-Q11</f>
        <v>-33662</v>
      </c>
      <c r="R33" s="19" t="e">
        <f t="shared" si="3"/>
        <v>#DIV/0!</v>
      </c>
      <c r="S33" s="29">
        <f>S6-S11</f>
        <v>0</v>
      </c>
      <c r="T33" s="29">
        <f>T6-T11</f>
        <v>44400</v>
      </c>
      <c r="U33" s="29">
        <f>U6-U11</f>
        <v>44400</v>
      </c>
      <c r="V33" s="29">
        <f>V6-V11</f>
        <v>20702</v>
      </c>
      <c r="W33" s="19">
        <f t="shared" si="4"/>
        <v>46.626126126126124</v>
      </c>
      <c r="X33" s="29">
        <f>X6-X11</f>
        <v>28840</v>
      </c>
    </row>
    <row r="34" spans="1:24" s="4" customFormat="1" ht="9" x14ac:dyDescent="0.2">
      <c r="A34" s="224" t="s">
        <v>57</v>
      </c>
      <c r="B34" s="509" t="s">
        <v>24</v>
      </c>
      <c r="C34" s="510"/>
      <c r="D34" s="136" t="s">
        <v>25</v>
      </c>
      <c r="E34" s="92">
        <v>25300</v>
      </c>
      <c r="F34" s="93">
        <v>25300</v>
      </c>
      <c r="G34" s="93">
        <v>25307</v>
      </c>
      <c r="H34" s="12">
        <f t="shared" si="0"/>
        <v>100.02766798418972</v>
      </c>
      <c r="I34" s="94">
        <v>24356</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95">
        <v>50</v>
      </c>
      <c r="F35" s="96">
        <v>50</v>
      </c>
      <c r="G35" s="96">
        <v>50</v>
      </c>
      <c r="H35" s="14">
        <f t="shared" si="0"/>
        <v>100</v>
      </c>
      <c r="I35" s="97">
        <v>50</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98">
        <v>56</v>
      </c>
      <c r="F36" s="99">
        <v>56</v>
      </c>
      <c r="G36" s="99">
        <v>56</v>
      </c>
      <c r="H36" s="16">
        <f t="shared" si="0"/>
        <v>100</v>
      </c>
      <c r="I36" s="100">
        <v>56</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5"/>
  <sheetViews>
    <sheetView tabSelected="1" zoomScaleNormal="100" workbookViewId="0">
      <selection activeCell="A29" sqref="A29:I29"/>
    </sheetView>
  </sheetViews>
  <sheetFormatPr defaultRowHeight="12.75" x14ac:dyDescent="0.2"/>
  <cols>
    <col min="1" max="1" width="74.75" style="71" customWidth="1"/>
    <col min="2" max="9" width="23.75" style="71" customWidth="1"/>
  </cols>
  <sheetData>
    <row r="1" spans="1:14" ht="18.75" x14ac:dyDescent="0.3">
      <c r="A1" s="70" t="s">
        <v>80</v>
      </c>
      <c r="B1" s="70"/>
      <c r="C1" s="70"/>
      <c r="D1" s="70"/>
      <c r="E1" s="70"/>
      <c r="F1" s="70"/>
      <c r="G1" s="70"/>
      <c r="H1" s="70"/>
      <c r="I1" s="70"/>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49" t="s">
        <v>25</v>
      </c>
      <c r="D5" s="472" t="s">
        <v>113</v>
      </c>
      <c r="E5" s="472"/>
      <c r="F5" s="472"/>
      <c r="G5" s="472"/>
      <c r="H5" s="472"/>
      <c r="I5" s="472"/>
    </row>
    <row r="6" spans="1:14" s="102" customFormat="1" ht="35.25" customHeight="1" x14ac:dyDescent="0.2">
      <c r="A6" s="467" t="s">
        <v>70</v>
      </c>
      <c r="B6" s="468"/>
      <c r="C6" s="180">
        <v>171732.78</v>
      </c>
      <c r="D6" s="473" t="s">
        <v>234</v>
      </c>
      <c r="E6" s="473"/>
      <c r="F6" s="473"/>
      <c r="G6" s="473"/>
      <c r="H6" s="473"/>
      <c r="I6" s="473"/>
    </row>
    <row r="7" spans="1:14" s="104" customFormat="1" ht="13.9" customHeight="1" x14ac:dyDescent="0.15">
      <c r="A7" s="467" t="s">
        <v>38</v>
      </c>
      <c r="B7" s="468"/>
      <c r="C7" s="180">
        <v>38921.050000000003</v>
      </c>
      <c r="D7" s="473" t="s">
        <v>260</v>
      </c>
      <c r="E7" s="473"/>
      <c r="F7" s="473"/>
      <c r="G7" s="473"/>
      <c r="H7" s="473"/>
      <c r="I7" s="473"/>
    </row>
    <row r="8" spans="1:14" s="104" customFormat="1" ht="13.9" customHeight="1" x14ac:dyDescent="0.15">
      <c r="A8" s="467" t="s">
        <v>71</v>
      </c>
      <c r="B8" s="468"/>
      <c r="C8" s="180">
        <v>0</v>
      </c>
      <c r="D8" s="591"/>
      <c r="E8" s="592"/>
      <c r="F8" s="592"/>
      <c r="G8" s="592"/>
      <c r="H8" s="592"/>
      <c r="I8" s="593"/>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57.75" customHeight="1" x14ac:dyDescent="0.2">
      <c r="A13" s="451" t="s">
        <v>72</v>
      </c>
      <c r="B13" s="442">
        <v>112771.67</v>
      </c>
      <c r="C13" s="442">
        <v>190707.44</v>
      </c>
      <c r="D13" s="442">
        <v>190707.44</v>
      </c>
      <c r="E13" s="442">
        <f>B13+C13-D13</f>
        <v>112771.66999999998</v>
      </c>
      <c r="F13" s="452">
        <v>112771.67</v>
      </c>
      <c r="G13" s="476" t="s">
        <v>227</v>
      </c>
      <c r="H13" s="549"/>
      <c r="I13" s="627"/>
    </row>
    <row r="14" spans="1:14" s="102" customFormat="1" ht="46.5" customHeight="1" x14ac:dyDescent="0.2">
      <c r="A14" s="453" t="s">
        <v>117</v>
      </c>
      <c r="B14" s="443">
        <v>226808.92</v>
      </c>
      <c r="C14" s="443">
        <v>764196.95</v>
      </c>
      <c r="D14" s="443">
        <v>565332</v>
      </c>
      <c r="E14" s="443">
        <f>B14+C14-D14</f>
        <v>425673.87</v>
      </c>
      <c r="F14" s="454">
        <v>425673.87</v>
      </c>
      <c r="G14" s="482" t="s">
        <v>228</v>
      </c>
      <c r="H14" s="551"/>
      <c r="I14" s="628"/>
      <c r="N14" s="109"/>
    </row>
    <row r="15" spans="1:14" s="102" customFormat="1" ht="48.75" customHeight="1" x14ac:dyDescent="0.2">
      <c r="A15" s="453" t="s">
        <v>73</v>
      </c>
      <c r="B15" s="443">
        <v>57417</v>
      </c>
      <c r="C15" s="443">
        <v>10000</v>
      </c>
      <c r="D15" s="443">
        <v>7230</v>
      </c>
      <c r="E15" s="443">
        <f>B15+C15-D15</f>
        <v>60187</v>
      </c>
      <c r="F15" s="454">
        <v>67417</v>
      </c>
      <c r="G15" s="482" t="s">
        <v>261</v>
      </c>
      <c r="H15" s="551"/>
      <c r="I15" s="628"/>
    </row>
    <row r="16" spans="1:14" s="102" customFormat="1" ht="13.5" customHeight="1" x14ac:dyDescent="0.2">
      <c r="A16" s="455" t="s">
        <v>97</v>
      </c>
      <c r="B16" s="444">
        <v>219303.04000000001</v>
      </c>
      <c r="C16" s="444">
        <v>185905</v>
      </c>
      <c r="D16" s="444">
        <v>185149</v>
      </c>
      <c r="E16" s="444">
        <f>B16+C16-D16</f>
        <v>220059.04000000004</v>
      </c>
      <c r="F16" s="456">
        <v>193194.04</v>
      </c>
      <c r="G16" s="483" t="s">
        <v>229</v>
      </c>
      <c r="H16" s="553"/>
      <c r="I16" s="629"/>
    </row>
    <row r="17" spans="1:9" s="102" customFormat="1" ht="11.25" x14ac:dyDescent="0.2">
      <c r="A17" s="371" t="s">
        <v>34</v>
      </c>
      <c r="B17" s="184">
        <f>SUM(B13:B16)</f>
        <v>616300.63</v>
      </c>
      <c r="C17" s="184">
        <f t="shared" ref="C17:F17" si="0">SUM(C13:C16)</f>
        <v>1150809.3899999999</v>
      </c>
      <c r="D17" s="184">
        <f t="shared" si="0"/>
        <v>948418.44</v>
      </c>
      <c r="E17" s="184">
        <f t="shared" si="0"/>
        <v>818691.58000000007</v>
      </c>
      <c r="F17" s="184">
        <f t="shared" si="0"/>
        <v>799056.58000000007</v>
      </c>
      <c r="G17" s="466"/>
      <c r="H17" s="466"/>
      <c r="I17" s="466"/>
    </row>
    <row r="18" spans="1:9" s="116" customFormat="1" ht="11.25" x14ac:dyDescent="0.2">
      <c r="A18" s="178"/>
      <c r="B18" s="178"/>
      <c r="C18" s="105"/>
      <c r="D18" s="178"/>
      <c r="E18" s="178"/>
      <c r="F18" s="178"/>
      <c r="G18" s="178"/>
      <c r="H18" s="178"/>
      <c r="I18" s="178"/>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34.5" customHeight="1" x14ac:dyDescent="0.2">
      <c r="A21" s="620" t="s">
        <v>230</v>
      </c>
      <c r="B21" s="621"/>
      <c r="C21" s="621"/>
      <c r="D21" s="621"/>
      <c r="E21" s="621"/>
      <c r="F21" s="621"/>
      <c r="G21" s="621"/>
      <c r="H21" s="621"/>
      <c r="I21" s="622"/>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231</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5.5" customHeight="1" x14ac:dyDescent="0.15">
      <c r="A33" s="585" t="s">
        <v>249</v>
      </c>
      <c r="B33" s="586"/>
      <c r="C33" s="586"/>
      <c r="D33" s="586"/>
      <c r="E33" s="586"/>
      <c r="F33" s="586"/>
      <c r="G33" s="586"/>
      <c r="H33" s="586"/>
      <c r="I33" s="587"/>
    </row>
    <row r="34" spans="1:9" s="23" customFormat="1" ht="10.5" x14ac:dyDescent="0.15">
      <c r="A34" s="623" t="s">
        <v>233</v>
      </c>
      <c r="B34" s="624"/>
      <c r="C34" s="624"/>
      <c r="D34" s="624"/>
      <c r="E34" s="624"/>
      <c r="F34" s="624"/>
      <c r="G34" s="624"/>
      <c r="H34" s="624"/>
      <c r="I34" s="625"/>
    </row>
    <row r="35" spans="1:9" x14ac:dyDescent="0.2">
      <c r="A35" s="626"/>
      <c r="B35" s="626"/>
      <c r="C35" s="626"/>
      <c r="D35" s="626"/>
      <c r="E35" s="626"/>
      <c r="F35" s="626"/>
      <c r="G35" s="626"/>
      <c r="H35" s="626"/>
      <c r="I35" s="626"/>
    </row>
  </sheetData>
  <mergeCells count="26">
    <mergeCell ref="A35:I35"/>
    <mergeCell ref="A7:B7"/>
    <mergeCell ref="D7:I7"/>
    <mergeCell ref="A8:B8"/>
    <mergeCell ref="D8:I8"/>
    <mergeCell ref="A19:I19"/>
    <mergeCell ref="G12:I12"/>
    <mergeCell ref="G13:I13"/>
    <mergeCell ref="G14:I14"/>
    <mergeCell ref="G15:I15"/>
    <mergeCell ref="A10:I10"/>
    <mergeCell ref="G16:I16"/>
    <mergeCell ref="G17:I17"/>
    <mergeCell ref="A21:I21"/>
    <mergeCell ref="A23:I23"/>
    <mergeCell ref="A25:I25"/>
    <mergeCell ref="A3:I3"/>
    <mergeCell ref="A5:B5"/>
    <mergeCell ref="D5:I5"/>
    <mergeCell ref="A6:B6"/>
    <mergeCell ref="D6:I6"/>
    <mergeCell ref="A27:I27"/>
    <mergeCell ref="A31:I31"/>
    <mergeCell ref="A33:I33"/>
    <mergeCell ref="A34:I34"/>
    <mergeCell ref="A29:I29"/>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141" customFormat="1" ht="15.75" x14ac:dyDescent="0.25">
      <c r="A1" s="529" t="s">
        <v>80</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47930890</v>
      </c>
      <c r="F6" s="29">
        <f>SUM(F7:F9)</f>
        <v>48136827</v>
      </c>
      <c r="G6" s="29">
        <f>SUM(G7:G9)</f>
        <v>25249266.390000001</v>
      </c>
      <c r="H6" s="24">
        <f t="shared" ref="H6:H36" si="0">G6/F6*100</f>
        <v>52.453117422966002</v>
      </c>
      <c r="I6" s="29">
        <f>SUM(I7:I9)</f>
        <v>24251172</v>
      </c>
      <c r="J6" s="29">
        <f>SUM(J7:J9)</f>
        <v>13327090</v>
      </c>
      <c r="K6" s="29">
        <f t="shared" ref="K6:X6" si="1">SUM(K7:K9)</f>
        <v>13533027</v>
      </c>
      <c r="L6" s="29">
        <f t="shared" si="1"/>
        <v>8282170.3900000006</v>
      </c>
      <c r="M6" s="24">
        <f t="shared" ref="M6:M33" si="2">L6/K6*100</f>
        <v>61.199688657977255</v>
      </c>
      <c r="N6" s="30">
        <f t="shared" si="1"/>
        <v>7649044</v>
      </c>
      <c r="O6" s="29">
        <f t="shared" si="1"/>
        <v>34603800</v>
      </c>
      <c r="P6" s="29">
        <f t="shared" si="1"/>
        <v>34603800</v>
      </c>
      <c r="Q6" s="29">
        <f t="shared" si="1"/>
        <v>16967096</v>
      </c>
      <c r="R6" s="24">
        <f t="shared" ref="R6:R33" si="3">Q6/P6*100</f>
        <v>49.032464642611508</v>
      </c>
      <c r="S6" s="29">
        <f t="shared" si="1"/>
        <v>16602128</v>
      </c>
      <c r="T6" s="29">
        <f t="shared" si="1"/>
        <v>232000</v>
      </c>
      <c r="U6" s="29">
        <f t="shared" si="1"/>
        <v>232000</v>
      </c>
      <c r="V6" s="29">
        <f t="shared" si="1"/>
        <v>155999</v>
      </c>
      <c r="W6" s="24">
        <f t="shared" ref="W6:W33" si="4">V6/U6*100</f>
        <v>67.240948275862067</v>
      </c>
      <c r="X6" s="29">
        <f t="shared" si="1"/>
        <v>172995</v>
      </c>
    </row>
    <row r="7" spans="1:24" s="6" customFormat="1" ht="10.15" customHeight="1" x14ac:dyDescent="0.2">
      <c r="A7" s="130" t="s">
        <v>2</v>
      </c>
      <c r="B7" s="522" t="s">
        <v>45</v>
      </c>
      <c r="C7" s="523"/>
      <c r="D7" s="131" t="s">
        <v>25</v>
      </c>
      <c r="E7" s="32">
        <f t="shared" ref="E7:G10" si="5">SUM(J7,O7)</f>
        <v>5645000</v>
      </c>
      <c r="F7" s="33">
        <f t="shared" si="5"/>
        <v>5842937</v>
      </c>
      <c r="G7" s="33">
        <f t="shared" si="5"/>
        <v>4240770</v>
      </c>
      <c r="H7" s="9">
        <f t="shared" si="0"/>
        <v>72.579423669979676</v>
      </c>
      <c r="I7" s="34">
        <f>SUM(N7,S7)</f>
        <v>3974093</v>
      </c>
      <c r="J7" s="262">
        <v>5645000</v>
      </c>
      <c r="K7" s="35">
        <v>5842937</v>
      </c>
      <c r="L7" s="35">
        <v>4240770</v>
      </c>
      <c r="M7" s="9">
        <f t="shared" si="2"/>
        <v>72.579423669979676</v>
      </c>
      <c r="N7" s="302">
        <v>3974093</v>
      </c>
      <c r="O7" s="263"/>
      <c r="P7" s="35"/>
      <c r="Q7" s="35"/>
      <c r="R7" s="9" t="e">
        <f t="shared" si="3"/>
        <v>#DIV/0!</v>
      </c>
      <c r="S7" s="302"/>
      <c r="T7" s="263">
        <v>232000</v>
      </c>
      <c r="U7" s="35">
        <v>232000</v>
      </c>
      <c r="V7" s="35">
        <v>155999</v>
      </c>
      <c r="W7" s="9">
        <f t="shared" si="4"/>
        <v>67.240948275862067</v>
      </c>
      <c r="X7" s="65">
        <v>172995</v>
      </c>
    </row>
    <row r="8" spans="1:24" s="6" customFormat="1" ht="10.15" customHeight="1" x14ac:dyDescent="0.2">
      <c r="A8" s="132" t="s">
        <v>3</v>
      </c>
      <c r="B8" s="524" t="s">
        <v>46</v>
      </c>
      <c r="C8" s="525"/>
      <c r="D8" s="133" t="s">
        <v>25</v>
      </c>
      <c r="E8" s="38">
        <f t="shared" si="5"/>
        <v>3000</v>
      </c>
      <c r="F8" s="39">
        <f t="shared" si="5"/>
        <v>3000</v>
      </c>
      <c r="G8" s="39">
        <f t="shared" si="5"/>
        <v>1162.79</v>
      </c>
      <c r="H8" s="10">
        <f t="shared" si="0"/>
        <v>38.759666666666668</v>
      </c>
      <c r="I8" s="40">
        <f>SUM(N8,S8)</f>
        <v>2170</v>
      </c>
      <c r="J8" s="243">
        <v>3000</v>
      </c>
      <c r="K8" s="218">
        <v>3000</v>
      </c>
      <c r="L8" s="218">
        <v>1162.79</v>
      </c>
      <c r="M8" s="219">
        <f t="shared" si="2"/>
        <v>38.759666666666668</v>
      </c>
      <c r="N8" s="229">
        <v>2170</v>
      </c>
      <c r="O8" s="217"/>
      <c r="P8" s="218"/>
      <c r="Q8" s="218"/>
      <c r="R8" s="219" t="e">
        <f t="shared" si="3"/>
        <v>#DIV/0!</v>
      </c>
      <c r="S8" s="229"/>
      <c r="T8" s="217"/>
      <c r="U8" s="218"/>
      <c r="V8" s="218"/>
      <c r="W8" s="219" t="e">
        <f t="shared" si="4"/>
        <v>#DIV/0!</v>
      </c>
      <c r="X8" s="220"/>
    </row>
    <row r="9" spans="1:24" s="6" customFormat="1" ht="10.15" customHeight="1" x14ac:dyDescent="0.2">
      <c r="A9" s="232" t="s">
        <v>4</v>
      </c>
      <c r="B9" s="233" t="s">
        <v>60</v>
      </c>
      <c r="C9" s="234"/>
      <c r="D9" s="235" t="s">
        <v>25</v>
      </c>
      <c r="E9" s="42">
        <f t="shared" si="5"/>
        <v>42282890</v>
      </c>
      <c r="F9" s="43">
        <f t="shared" si="5"/>
        <v>42290890</v>
      </c>
      <c r="G9" s="43">
        <f t="shared" si="5"/>
        <v>21007333.600000001</v>
      </c>
      <c r="H9" s="26">
        <f t="shared" si="0"/>
        <v>49.673425175019965</v>
      </c>
      <c r="I9" s="44">
        <f>SUM(N9,S9)</f>
        <v>20274909</v>
      </c>
      <c r="J9" s="244">
        <v>7679090</v>
      </c>
      <c r="K9" s="264">
        <v>7687090</v>
      </c>
      <c r="L9" s="264">
        <v>4040237.6</v>
      </c>
      <c r="M9" s="265">
        <f t="shared" si="2"/>
        <v>52.558739392930221</v>
      </c>
      <c r="N9" s="230">
        <v>3672781</v>
      </c>
      <c r="O9" s="221">
        <v>34603800</v>
      </c>
      <c r="P9" s="264">
        <v>34603800</v>
      </c>
      <c r="Q9" s="264">
        <v>16967096</v>
      </c>
      <c r="R9" s="265">
        <f t="shared" si="3"/>
        <v>49.032464642611508</v>
      </c>
      <c r="S9" s="230">
        <v>16602128</v>
      </c>
      <c r="T9" s="221"/>
      <c r="U9" s="264"/>
      <c r="V9" s="264"/>
      <c r="W9" s="265" t="e">
        <f t="shared" si="4"/>
        <v>#DIV/0!</v>
      </c>
      <c r="X9" s="222"/>
    </row>
    <row r="10" spans="1:24" s="6" customFormat="1" ht="10.15"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10.15" customHeight="1" x14ac:dyDescent="0.2">
      <c r="A11" s="134" t="s">
        <v>6</v>
      </c>
      <c r="B11" s="526" t="s">
        <v>9</v>
      </c>
      <c r="C11" s="527"/>
      <c r="D11" s="20" t="s">
        <v>25</v>
      </c>
      <c r="E11" s="29">
        <f>SUM(E12:E31)</f>
        <v>47930890</v>
      </c>
      <c r="F11" s="29">
        <f>SUM(F12:F31)</f>
        <v>48136827</v>
      </c>
      <c r="G11" s="29">
        <f>SUM(G12:G31)</f>
        <v>25077533.050000004</v>
      </c>
      <c r="H11" s="24">
        <f t="shared" si="0"/>
        <v>52.096356600321833</v>
      </c>
      <c r="I11" s="30">
        <f>SUM(I12:I31)</f>
        <v>23419153</v>
      </c>
      <c r="J11" s="29">
        <f>SUM(J12:J31)</f>
        <v>13327090</v>
      </c>
      <c r="K11" s="29">
        <f>SUM(K12:K31)</f>
        <v>13533027</v>
      </c>
      <c r="L11" s="29">
        <f>SUM(L12:L31)</f>
        <v>8110437.0499999998</v>
      </c>
      <c r="M11" s="24">
        <f t="shared" si="2"/>
        <v>59.930694367195159</v>
      </c>
      <c r="N11" s="30">
        <f>SUM(N12:N31)</f>
        <v>6817025</v>
      </c>
      <c r="O11" s="29">
        <f>SUM(O12:O31)</f>
        <v>34603800</v>
      </c>
      <c r="P11" s="29">
        <f>SUM(P12:P31)</f>
        <v>34603800</v>
      </c>
      <c r="Q11" s="29">
        <f>SUM(Q12:Q31)</f>
        <v>16967096</v>
      </c>
      <c r="R11" s="24">
        <f t="shared" si="3"/>
        <v>49.032464642611508</v>
      </c>
      <c r="S11" s="30">
        <f>SUM(S12:S31)</f>
        <v>16602128</v>
      </c>
      <c r="T11" s="29">
        <f>SUM(T12:T31)</f>
        <v>143600</v>
      </c>
      <c r="U11" s="29">
        <f>SUM(U12:U31)</f>
        <v>143600</v>
      </c>
      <c r="V11" s="29">
        <f>SUM(V12:V31)</f>
        <v>117078</v>
      </c>
      <c r="W11" s="24">
        <f t="shared" si="4"/>
        <v>81.530640668523674</v>
      </c>
      <c r="X11" s="29">
        <f>SUM(X12:X31)</f>
        <v>117663</v>
      </c>
    </row>
    <row r="12" spans="1:24" s="6" customFormat="1" ht="10.15" customHeight="1" x14ac:dyDescent="0.2">
      <c r="A12" s="130" t="s">
        <v>8</v>
      </c>
      <c r="B12" s="528" t="s">
        <v>28</v>
      </c>
      <c r="C12" s="528"/>
      <c r="D12" s="131" t="s">
        <v>25</v>
      </c>
      <c r="E12" s="32">
        <f t="shared" ref="E12:I29" si="6">SUM(J12,O12)</f>
        <v>6155656</v>
      </c>
      <c r="F12" s="33">
        <f t="shared" si="6"/>
        <v>6165156</v>
      </c>
      <c r="G12" s="33">
        <f t="shared" si="6"/>
        <v>4256231.8100000005</v>
      </c>
      <c r="H12" s="9">
        <f t="shared" si="0"/>
        <v>69.036887468865345</v>
      </c>
      <c r="I12" s="34">
        <f t="shared" si="6"/>
        <v>4131317</v>
      </c>
      <c r="J12" s="266">
        <v>5896656</v>
      </c>
      <c r="K12" s="48">
        <v>5906156</v>
      </c>
      <c r="L12" s="48">
        <v>4054146.81</v>
      </c>
      <c r="M12" s="9">
        <f t="shared" si="2"/>
        <v>68.642731583791559</v>
      </c>
      <c r="N12" s="303">
        <v>3924942</v>
      </c>
      <c r="O12" s="267">
        <v>259000</v>
      </c>
      <c r="P12" s="48">
        <v>259000</v>
      </c>
      <c r="Q12" s="48">
        <v>202085</v>
      </c>
      <c r="R12" s="9">
        <f t="shared" si="3"/>
        <v>78.025096525096529</v>
      </c>
      <c r="S12" s="304">
        <v>206375</v>
      </c>
      <c r="T12" s="267">
        <v>69400</v>
      </c>
      <c r="U12" s="48">
        <v>69400</v>
      </c>
      <c r="V12" s="48">
        <v>47874</v>
      </c>
      <c r="W12" s="9">
        <f t="shared" si="4"/>
        <v>68.982708933717589</v>
      </c>
      <c r="X12" s="52">
        <v>46721</v>
      </c>
    </row>
    <row r="13" spans="1:24" s="6" customFormat="1" ht="10.15" customHeight="1" x14ac:dyDescent="0.2">
      <c r="A13" s="135" t="s">
        <v>10</v>
      </c>
      <c r="B13" s="508" t="s">
        <v>29</v>
      </c>
      <c r="C13" s="508"/>
      <c r="D13" s="133" t="s">
        <v>25</v>
      </c>
      <c r="E13" s="38">
        <f t="shared" si="6"/>
        <v>3190000</v>
      </c>
      <c r="F13" s="39">
        <f t="shared" si="6"/>
        <v>3110000</v>
      </c>
      <c r="G13" s="39">
        <f t="shared" si="6"/>
        <v>1479895.52</v>
      </c>
      <c r="H13" s="10">
        <f t="shared" si="0"/>
        <v>47.585064951768494</v>
      </c>
      <c r="I13" s="40">
        <f t="shared" si="6"/>
        <v>1281265</v>
      </c>
      <c r="J13" s="240">
        <v>3190000</v>
      </c>
      <c r="K13" s="218">
        <v>3110000</v>
      </c>
      <c r="L13" s="218">
        <v>1479895.52</v>
      </c>
      <c r="M13" s="219">
        <f t="shared" si="2"/>
        <v>47.585064951768494</v>
      </c>
      <c r="N13" s="229">
        <v>1281265</v>
      </c>
      <c r="O13" s="217"/>
      <c r="P13" s="218"/>
      <c r="Q13" s="218"/>
      <c r="R13" s="219" t="e">
        <f t="shared" si="3"/>
        <v>#DIV/0!</v>
      </c>
      <c r="S13" s="229"/>
      <c r="T13" s="217">
        <v>21000</v>
      </c>
      <c r="U13" s="218">
        <v>21000</v>
      </c>
      <c r="V13" s="218">
        <v>24176</v>
      </c>
      <c r="W13" s="219">
        <f t="shared" si="4"/>
        <v>115.12380952380951</v>
      </c>
      <c r="X13" s="220">
        <v>24482</v>
      </c>
    </row>
    <row r="14" spans="1:24" s="6" customFormat="1" ht="10.15" customHeight="1" x14ac:dyDescent="0.2">
      <c r="A14" s="135" t="s">
        <v>11</v>
      </c>
      <c r="B14" s="236" t="s">
        <v>61</v>
      </c>
      <c r="C14" s="237"/>
      <c r="D14" s="133" t="s">
        <v>25</v>
      </c>
      <c r="E14" s="38">
        <f t="shared" si="6"/>
        <v>0</v>
      </c>
      <c r="F14" s="39">
        <f t="shared" si="6"/>
        <v>0</v>
      </c>
      <c r="G14" s="39">
        <f t="shared" si="6"/>
        <v>0</v>
      </c>
      <c r="H14" s="10" t="e">
        <f t="shared" si="0"/>
        <v>#DIV/0!</v>
      </c>
      <c r="I14" s="40">
        <f t="shared" si="6"/>
        <v>0</v>
      </c>
      <c r="J14" s="240"/>
      <c r="K14" s="218"/>
      <c r="L14" s="218"/>
      <c r="M14" s="219" t="e">
        <f t="shared" si="2"/>
        <v>#DIV/0!</v>
      </c>
      <c r="N14" s="229"/>
      <c r="O14" s="217"/>
      <c r="P14" s="218"/>
      <c r="Q14" s="218"/>
      <c r="R14" s="219" t="e">
        <f t="shared" si="3"/>
        <v>#DIV/0!</v>
      </c>
      <c r="S14" s="229"/>
      <c r="T14" s="217"/>
      <c r="U14" s="218"/>
      <c r="V14" s="218"/>
      <c r="W14" s="219" t="e">
        <f t="shared" si="4"/>
        <v>#DIV/0!</v>
      </c>
      <c r="X14" s="220"/>
    </row>
    <row r="15" spans="1:24" s="6" customFormat="1" ht="10.15" customHeight="1" x14ac:dyDescent="0.2">
      <c r="A15" s="135" t="s">
        <v>12</v>
      </c>
      <c r="B15" s="511" t="s">
        <v>109</v>
      </c>
      <c r="C15" s="512"/>
      <c r="D15" s="133" t="s">
        <v>25</v>
      </c>
      <c r="E15" s="38">
        <f t="shared" si="6"/>
        <v>935000</v>
      </c>
      <c r="F15" s="39">
        <f t="shared" si="6"/>
        <v>1122707</v>
      </c>
      <c r="G15" s="39">
        <f t="shared" si="6"/>
        <v>655351.06000000006</v>
      </c>
      <c r="H15" s="10">
        <f t="shared" si="0"/>
        <v>58.372403485504229</v>
      </c>
      <c r="I15" s="40">
        <f t="shared" si="6"/>
        <v>271792</v>
      </c>
      <c r="J15" s="240">
        <v>935000</v>
      </c>
      <c r="K15" s="218">
        <v>1122707</v>
      </c>
      <c r="L15" s="218">
        <v>655351.06000000006</v>
      </c>
      <c r="M15" s="219">
        <f t="shared" si="2"/>
        <v>58.372403485504229</v>
      </c>
      <c r="N15" s="229">
        <v>271792</v>
      </c>
      <c r="O15" s="217"/>
      <c r="P15" s="218"/>
      <c r="Q15" s="218"/>
      <c r="R15" s="219" t="e">
        <f t="shared" si="3"/>
        <v>#DIV/0!</v>
      </c>
      <c r="S15" s="229"/>
      <c r="T15" s="217">
        <v>1600</v>
      </c>
      <c r="U15" s="218">
        <v>1600</v>
      </c>
      <c r="V15" s="218">
        <v>499</v>
      </c>
      <c r="W15" s="219">
        <f t="shared" si="4"/>
        <v>31.1875</v>
      </c>
      <c r="X15" s="220">
        <v>662</v>
      </c>
    </row>
    <row r="16" spans="1:24" s="6" customFormat="1" ht="10.15" customHeight="1" x14ac:dyDescent="0.2">
      <c r="A16" s="135" t="s">
        <v>13</v>
      </c>
      <c r="B16" s="511" t="s">
        <v>30</v>
      </c>
      <c r="C16" s="512"/>
      <c r="D16" s="133" t="s">
        <v>25</v>
      </c>
      <c r="E16" s="38">
        <f t="shared" si="6"/>
        <v>44500</v>
      </c>
      <c r="F16" s="39">
        <f t="shared" si="6"/>
        <v>44500</v>
      </c>
      <c r="G16" s="39">
        <f t="shared" si="6"/>
        <v>42402</v>
      </c>
      <c r="H16" s="10">
        <f t="shared" si="0"/>
        <v>95.285393258426964</v>
      </c>
      <c r="I16" s="40">
        <f t="shared" si="6"/>
        <v>36500</v>
      </c>
      <c r="J16" s="240">
        <v>6000</v>
      </c>
      <c r="K16" s="218">
        <v>6000</v>
      </c>
      <c r="L16" s="218">
        <v>1224</v>
      </c>
      <c r="M16" s="219">
        <f t="shared" si="2"/>
        <v>20.399999999999999</v>
      </c>
      <c r="N16" s="229">
        <v>165</v>
      </c>
      <c r="O16" s="217">
        <v>38500</v>
      </c>
      <c r="P16" s="218">
        <v>38500</v>
      </c>
      <c r="Q16" s="218">
        <v>41178</v>
      </c>
      <c r="R16" s="219">
        <f t="shared" si="3"/>
        <v>106.95584415584416</v>
      </c>
      <c r="S16" s="229">
        <v>36335</v>
      </c>
      <c r="T16" s="217"/>
      <c r="U16" s="218"/>
      <c r="V16" s="218"/>
      <c r="W16" s="219" t="e">
        <f t="shared" si="4"/>
        <v>#DIV/0!</v>
      </c>
      <c r="X16" s="220"/>
    </row>
    <row r="17" spans="1:24" s="6" customFormat="1" ht="10.15" customHeight="1" x14ac:dyDescent="0.2">
      <c r="A17" s="135" t="s">
        <v>14</v>
      </c>
      <c r="B17" s="236" t="s">
        <v>47</v>
      </c>
      <c r="C17" s="237"/>
      <c r="D17" s="133" t="s">
        <v>25</v>
      </c>
      <c r="E17" s="38">
        <f t="shared" si="6"/>
        <v>5000</v>
      </c>
      <c r="F17" s="39">
        <f t="shared" si="6"/>
        <v>5000</v>
      </c>
      <c r="G17" s="39">
        <f t="shared" si="6"/>
        <v>2191</v>
      </c>
      <c r="H17" s="10">
        <f t="shared" si="0"/>
        <v>43.82</v>
      </c>
      <c r="I17" s="40">
        <f t="shared" si="6"/>
        <v>2539</v>
      </c>
      <c r="J17" s="240">
        <v>5000</v>
      </c>
      <c r="K17" s="218">
        <v>5000</v>
      </c>
      <c r="L17" s="218">
        <v>2191</v>
      </c>
      <c r="M17" s="219">
        <f t="shared" si="2"/>
        <v>43.82</v>
      </c>
      <c r="N17" s="229">
        <v>2539</v>
      </c>
      <c r="O17" s="217"/>
      <c r="P17" s="218"/>
      <c r="Q17" s="218"/>
      <c r="R17" s="219" t="e">
        <f t="shared" si="3"/>
        <v>#DIV/0!</v>
      </c>
      <c r="S17" s="229"/>
      <c r="T17" s="217"/>
      <c r="U17" s="218"/>
      <c r="V17" s="218"/>
      <c r="W17" s="219" t="e">
        <f t="shared" si="4"/>
        <v>#DIV/0!</v>
      </c>
      <c r="X17" s="220"/>
    </row>
    <row r="18" spans="1:24" s="6" customFormat="1" ht="10.15" customHeight="1" x14ac:dyDescent="0.2">
      <c r="A18" s="135" t="s">
        <v>15</v>
      </c>
      <c r="B18" s="511" t="s">
        <v>31</v>
      </c>
      <c r="C18" s="512"/>
      <c r="D18" s="133" t="s">
        <v>25</v>
      </c>
      <c r="E18" s="38">
        <f t="shared" si="6"/>
        <v>740700</v>
      </c>
      <c r="F18" s="39">
        <f t="shared" si="6"/>
        <v>733055</v>
      </c>
      <c r="G18" s="39">
        <f t="shared" si="6"/>
        <v>396600.49</v>
      </c>
      <c r="H18" s="10">
        <f t="shared" si="0"/>
        <v>54.102419327335603</v>
      </c>
      <c r="I18" s="40">
        <f t="shared" si="6"/>
        <v>376479</v>
      </c>
      <c r="J18" s="240">
        <v>547700</v>
      </c>
      <c r="K18" s="218">
        <v>540055</v>
      </c>
      <c r="L18" s="218">
        <v>284338.49</v>
      </c>
      <c r="M18" s="219">
        <f t="shared" si="2"/>
        <v>52.649913434742757</v>
      </c>
      <c r="N18" s="229">
        <v>241056</v>
      </c>
      <c r="O18" s="217">
        <v>193000</v>
      </c>
      <c r="P18" s="218">
        <v>193000</v>
      </c>
      <c r="Q18" s="218">
        <v>112262</v>
      </c>
      <c r="R18" s="219">
        <f t="shared" si="3"/>
        <v>58.166839378238343</v>
      </c>
      <c r="S18" s="229">
        <v>135423</v>
      </c>
      <c r="T18" s="217">
        <v>5100</v>
      </c>
      <c r="U18" s="218">
        <v>5100</v>
      </c>
      <c r="V18" s="218">
        <v>6668</v>
      </c>
      <c r="W18" s="219">
        <f t="shared" si="4"/>
        <v>130.74509803921569</v>
      </c>
      <c r="X18" s="220">
        <v>6910</v>
      </c>
    </row>
    <row r="19" spans="1:24" s="11" customFormat="1" ht="10.15" customHeight="1" x14ac:dyDescent="0.2">
      <c r="A19" s="135" t="s">
        <v>16</v>
      </c>
      <c r="B19" s="508" t="s">
        <v>32</v>
      </c>
      <c r="C19" s="508"/>
      <c r="D19" s="133" t="s">
        <v>25</v>
      </c>
      <c r="E19" s="38">
        <f t="shared" si="6"/>
        <v>25448900</v>
      </c>
      <c r="F19" s="39">
        <f t="shared" si="6"/>
        <v>25456130</v>
      </c>
      <c r="G19" s="39">
        <f t="shared" si="6"/>
        <v>12484872</v>
      </c>
      <c r="H19" s="10">
        <f t="shared" si="0"/>
        <v>49.044658398586115</v>
      </c>
      <c r="I19" s="40">
        <f t="shared" si="6"/>
        <v>12153107</v>
      </c>
      <c r="J19" s="241">
        <v>451900</v>
      </c>
      <c r="K19" s="218">
        <v>459130</v>
      </c>
      <c r="L19" s="218">
        <v>250378</v>
      </c>
      <c r="M19" s="219">
        <f t="shared" si="2"/>
        <v>54.533138762442015</v>
      </c>
      <c r="N19" s="229">
        <v>169081</v>
      </c>
      <c r="O19" s="217">
        <v>24997000</v>
      </c>
      <c r="P19" s="218">
        <v>24997000</v>
      </c>
      <c r="Q19" s="218">
        <v>12234494</v>
      </c>
      <c r="R19" s="219">
        <f t="shared" si="3"/>
        <v>48.943849261911431</v>
      </c>
      <c r="S19" s="229">
        <v>11984026</v>
      </c>
      <c r="T19" s="268">
        <v>32200</v>
      </c>
      <c r="U19" s="269">
        <v>32200</v>
      </c>
      <c r="V19" s="269">
        <v>20858</v>
      </c>
      <c r="W19" s="219">
        <f t="shared" si="4"/>
        <v>64.776397515527947</v>
      </c>
      <c r="X19" s="270">
        <v>22340</v>
      </c>
    </row>
    <row r="20" spans="1:24" s="6" customFormat="1" ht="10.15" customHeight="1" x14ac:dyDescent="0.2">
      <c r="A20" s="135" t="s">
        <v>17</v>
      </c>
      <c r="B20" s="508" t="s">
        <v>48</v>
      </c>
      <c r="C20" s="508"/>
      <c r="D20" s="133" t="s">
        <v>25</v>
      </c>
      <c r="E20" s="38">
        <f t="shared" si="6"/>
        <v>8683545</v>
      </c>
      <c r="F20" s="39">
        <f t="shared" si="6"/>
        <v>8683545</v>
      </c>
      <c r="G20" s="39">
        <f t="shared" si="6"/>
        <v>4233413</v>
      </c>
      <c r="H20" s="10">
        <f t="shared" si="0"/>
        <v>48.752128307045105</v>
      </c>
      <c r="I20" s="40">
        <f t="shared" si="6"/>
        <v>4144025</v>
      </c>
      <c r="J20" s="240">
        <v>108300</v>
      </c>
      <c r="K20" s="218">
        <v>108300</v>
      </c>
      <c r="L20" s="218">
        <v>49044</v>
      </c>
      <c r="M20" s="219">
        <f t="shared" si="2"/>
        <v>45.285318559556785</v>
      </c>
      <c r="N20" s="229">
        <v>42121</v>
      </c>
      <c r="O20" s="217">
        <v>8575245</v>
      </c>
      <c r="P20" s="218">
        <v>8575245</v>
      </c>
      <c r="Q20" s="218">
        <v>4184369</v>
      </c>
      <c r="R20" s="219">
        <f t="shared" si="3"/>
        <v>48.79591195353602</v>
      </c>
      <c r="S20" s="229">
        <v>4101904</v>
      </c>
      <c r="T20" s="217">
        <v>11500</v>
      </c>
      <c r="U20" s="218">
        <v>11500</v>
      </c>
      <c r="V20" s="218">
        <v>6757</v>
      </c>
      <c r="W20" s="219">
        <f t="shared" si="4"/>
        <v>58.756521739130427</v>
      </c>
      <c r="X20" s="220">
        <v>7377</v>
      </c>
    </row>
    <row r="21" spans="1:24" s="6" customFormat="1" ht="10.15" customHeight="1" x14ac:dyDescent="0.2">
      <c r="A21" s="135" t="s">
        <v>18</v>
      </c>
      <c r="B21" s="508" t="s">
        <v>49</v>
      </c>
      <c r="C21" s="508"/>
      <c r="D21" s="133" t="s">
        <v>25</v>
      </c>
      <c r="E21" s="38">
        <f t="shared" si="6"/>
        <v>422505</v>
      </c>
      <c r="F21" s="39">
        <f t="shared" si="6"/>
        <v>422505</v>
      </c>
      <c r="G21" s="39">
        <f t="shared" si="6"/>
        <v>187544.6</v>
      </c>
      <c r="H21" s="10">
        <f t="shared" si="0"/>
        <v>44.38872912746595</v>
      </c>
      <c r="I21" s="40">
        <f t="shared" si="6"/>
        <v>132271</v>
      </c>
      <c r="J21" s="240">
        <v>5450</v>
      </c>
      <c r="K21" s="218">
        <v>5450</v>
      </c>
      <c r="L21" s="218">
        <v>2336.6</v>
      </c>
      <c r="M21" s="219">
        <f t="shared" si="2"/>
        <v>42.873394495412839</v>
      </c>
      <c r="N21" s="229">
        <v>1265</v>
      </c>
      <c r="O21" s="217">
        <v>417055</v>
      </c>
      <c r="P21" s="218">
        <v>417055</v>
      </c>
      <c r="Q21" s="218">
        <v>185208</v>
      </c>
      <c r="R21" s="219">
        <f t="shared" si="3"/>
        <v>44.408531248876045</v>
      </c>
      <c r="S21" s="229">
        <v>131006</v>
      </c>
      <c r="T21" s="217">
        <v>300</v>
      </c>
      <c r="U21" s="218">
        <v>300</v>
      </c>
      <c r="V21" s="218">
        <v>360</v>
      </c>
      <c r="W21" s="219">
        <f t="shared" si="4"/>
        <v>120</v>
      </c>
      <c r="X21" s="220">
        <v>410</v>
      </c>
    </row>
    <row r="22" spans="1:24" s="6" customFormat="1" ht="10.15" customHeight="1" x14ac:dyDescent="0.2">
      <c r="A22" s="135" t="s">
        <v>19</v>
      </c>
      <c r="B22" s="508" t="s">
        <v>62</v>
      </c>
      <c r="C22" s="508"/>
      <c r="D22" s="133" t="s">
        <v>25</v>
      </c>
      <c r="E22" s="38">
        <f t="shared" si="6"/>
        <v>0</v>
      </c>
      <c r="F22" s="39">
        <f t="shared" si="6"/>
        <v>0</v>
      </c>
      <c r="G22" s="39">
        <f t="shared" si="6"/>
        <v>0</v>
      </c>
      <c r="H22" s="10" t="e">
        <f t="shared" si="0"/>
        <v>#DIV/0!</v>
      </c>
      <c r="I22" s="40">
        <f t="shared" si="6"/>
        <v>4800</v>
      </c>
      <c r="J22" s="240"/>
      <c r="K22" s="218"/>
      <c r="L22" s="218"/>
      <c r="M22" s="219" t="e">
        <f t="shared" si="2"/>
        <v>#DIV/0!</v>
      </c>
      <c r="N22" s="229">
        <v>4800</v>
      </c>
      <c r="O22" s="217"/>
      <c r="P22" s="218"/>
      <c r="Q22" s="218"/>
      <c r="R22" s="219" t="e">
        <f t="shared" si="3"/>
        <v>#DIV/0!</v>
      </c>
      <c r="S22" s="229"/>
      <c r="T22" s="217"/>
      <c r="U22" s="218"/>
      <c r="V22" s="218"/>
      <c r="W22" s="219" t="e">
        <f t="shared" si="4"/>
        <v>#DIV/0!</v>
      </c>
      <c r="X22" s="220"/>
    </row>
    <row r="23" spans="1:24" s="6" customFormat="1" ht="10.15" customHeight="1" x14ac:dyDescent="0.2">
      <c r="A23" s="135" t="s">
        <v>20</v>
      </c>
      <c r="B23" s="223" t="s">
        <v>101</v>
      </c>
      <c r="C23" s="223"/>
      <c r="D23" s="133" t="s">
        <v>25</v>
      </c>
      <c r="E23" s="38">
        <f t="shared" si="6"/>
        <v>0</v>
      </c>
      <c r="F23" s="39">
        <f t="shared" si="6"/>
        <v>0</v>
      </c>
      <c r="G23" s="39">
        <f t="shared" si="6"/>
        <v>0</v>
      </c>
      <c r="H23" s="10" t="e">
        <f t="shared" si="0"/>
        <v>#DIV/0!</v>
      </c>
      <c r="I23" s="40">
        <f t="shared" si="6"/>
        <v>0</v>
      </c>
      <c r="J23" s="240"/>
      <c r="K23" s="218"/>
      <c r="L23" s="218"/>
      <c r="M23" s="219" t="e">
        <f t="shared" si="2"/>
        <v>#DIV/0!</v>
      </c>
      <c r="N23" s="229"/>
      <c r="O23" s="217"/>
      <c r="P23" s="218"/>
      <c r="Q23" s="218"/>
      <c r="R23" s="219" t="e">
        <f t="shared" si="3"/>
        <v>#DIV/0!</v>
      </c>
      <c r="S23" s="229"/>
      <c r="T23" s="217"/>
      <c r="U23" s="218"/>
      <c r="V23" s="218"/>
      <c r="W23" s="219" t="e">
        <f t="shared" si="4"/>
        <v>#DIV/0!</v>
      </c>
      <c r="X23" s="220"/>
    </row>
    <row r="24" spans="1:24" s="6" customFormat="1" ht="10.15" customHeight="1" x14ac:dyDescent="0.2">
      <c r="A24" s="135" t="s">
        <v>21</v>
      </c>
      <c r="B24" s="223" t="s">
        <v>110</v>
      </c>
      <c r="C24" s="223"/>
      <c r="D24" s="133" t="s">
        <v>25</v>
      </c>
      <c r="E24" s="38">
        <f t="shared" si="6"/>
        <v>0</v>
      </c>
      <c r="F24" s="39">
        <f t="shared" si="6"/>
        <v>0</v>
      </c>
      <c r="G24" s="39">
        <f t="shared" si="6"/>
        <v>0</v>
      </c>
      <c r="H24" s="10" t="e">
        <f t="shared" si="0"/>
        <v>#DIV/0!</v>
      </c>
      <c r="I24" s="40">
        <f t="shared" si="6"/>
        <v>0</v>
      </c>
      <c r="J24" s="240"/>
      <c r="K24" s="218"/>
      <c r="L24" s="218"/>
      <c r="M24" s="219" t="e">
        <f t="shared" si="2"/>
        <v>#DIV/0!</v>
      </c>
      <c r="N24" s="229"/>
      <c r="O24" s="217"/>
      <c r="P24" s="218"/>
      <c r="Q24" s="218"/>
      <c r="R24" s="219" t="e">
        <f t="shared" si="3"/>
        <v>#DIV/0!</v>
      </c>
      <c r="S24" s="229"/>
      <c r="T24" s="217"/>
      <c r="U24" s="218"/>
      <c r="V24" s="218"/>
      <c r="W24" s="219" t="e">
        <f t="shared" si="4"/>
        <v>#DIV/0!</v>
      </c>
      <c r="X24" s="220"/>
    </row>
    <row r="25" spans="1:24" s="13" customFormat="1" ht="10.15" customHeight="1" x14ac:dyDescent="0.2">
      <c r="A25" s="135" t="s">
        <v>22</v>
      </c>
      <c r="B25" s="223" t="s">
        <v>63</v>
      </c>
      <c r="C25" s="223"/>
      <c r="D25" s="133" t="s">
        <v>25</v>
      </c>
      <c r="E25" s="38">
        <f t="shared" si="6"/>
        <v>0</v>
      </c>
      <c r="F25" s="39">
        <f t="shared" si="6"/>
        <v>0</v>
      </c>
      <c r="G25" s="39">
        <f t="shared" si="6"/>
        <v>0</v>
      </c>
      <c r="H25" s="14" t="e">
        <f>G25/F25*100</f>
        <v>#DIV/0!</v>
      </c>
      <c r="I25" s="40">
        <f>SUM(N25,S25)</f>
        <v>0</v>
      </c>
      <c r="J25" s="240"/>
      <c r="K25" s="271"/>
      <c r="L25" s="271"/>
      <c r="M25" s="219" t="e">
        <f t="shared" si="2"/>
        <v>#DIV/0!</v>
      </c>
      <c r="N25" s="272"/>
      <c r="O25" s="273"/>
      <c r="P25" s="271"/>
      <c r="Q25" s="271"/>
      <c r="R25" s="219" t="e">
        <f t="shared" si="3"/>
        <v>#DIV/0!</v>
      </c>
      <c r="S25" s="274"/>
      <c r="T25" s="273"/>
      <c r="U25" s="271"/>
      <c r="V25" s="271"/>
      <c r="W25" s="219" t="e">
        <f t="shared" si="4"/>
        <v>#DIV/0!</v>
      </c>
      <c r="X25" s="275"/>
    </row>
    <row r="26" spans="1:24" s="6" customFormat="1" ht="10.15" customHeight="1" x14ac:dyDescent="0.2">
      <c r="A26" s="135" t="s">
        <v>23</v>
      </c>
      <c r="B26" s="511" t="s">
        <v>64</v>
      </c>
      <c r="C26" s="512"/>
      <c r="D26" s="133" t="s">
        <v>25</v>
      </c>
      <c r="E26" s="38">
        <f t="shared" si="6"/>
        <v>1407664</v>
      </c>
      <c r="F26" s="39">
        <f t="shared" si="6"/>
        <v>1487664</v>
      </c>
      <c r="G26" s="39">
        <f t="shared" si="6"/>
        <v>754988.94</v>
      </c>
      <c r="H26" s="10">
        <f t="shared" si="0"/>
        <v>50.749963701480972</v>
      </c>
      <c r="I26" s="40">
        <f t="shared" si="6"/>
        <v>664293</v>
      </c>
      <c r="J26" s="240">
        <v>1407664</v>
      </c>
      <c r="K26" s="276">
        <v>1487664</v>
      </c>
      <c r="L26" s="276">
        <v>754988.94</v>
      </c>
      <c r="M26" s="219">
        <f>L26/K26*100</f>
        <v>50.749963701480972</v>
      </c>
      <c r="N26" s="272">
        <v>664293</v>
      </c>
      <c r="O26" s="277"/>
      <c r="P26" s="276"/>
      <c r="Q26" s="276"/>
      <c r="R26" s="219" t="e">
        <f>Q26/P26*100</f>
        <v>#DIV/0!</v>
      </c>
      <c r="S26" s="272"/>
      <c r="T26" s="277">
        <v>2500</v>
      </c>
      <c r="U26" s="276">
        <v>2500</v>
      </c>
      <c r="V26" s="276">
        <v>9208</v>
      </c>
      <c r="W26" s="219">
        <f>V26/U26*100</f>
        <v>368.32</v>
      </c>
      <c r="X26" s="307">
        <v>8399</v>
      </c>
    </row>
    <row r="27" spans="1:24" s="13" customFormat="1" ht="10.15" customHeight="1" x14ac:dyDescent="0.2">
      <c r="A27" s="135" t="s">
        <v>44</v>
      </c>
      <c r="B27" s="236" t="s">
        <v>65</v>
      </c>
      <c r="C27" s="237"/>
      <c r="D27" s="133" t="s">
        <v>25</v>
      </c>
      <c r="E27" s="38">
        <f t="shared" si="6"/>
        <v>0</v>
      </c>
      <c r="F27" s="39">
        <f t="shared" si="6"/>
        <v>0</v>
      </c>
      <c r="G27" s="39">
        <f t="shared" si="6"/>
        <v>0</v>
      </c>
      <c r="H27" s="14" t="e">
        <f t="shared" si="0"/>
        <v>#DIV/0!</v>
      </c>
      <c r="I27" s="40">
        <f t="shared" si="6"/>
        <v>0</v>
      </c>
      <c r="J27" s="240"/>
      <c r="K27" s="276"/>
      <c r="L27" s="276"/>
      <c r="M27" s="219" t="e">
        <f t="shared" si="2"/>
        <v>#DIV/0!</v>
      </c>
      <c r="N27" s="229"/>
      <c r="O27" s="277"/>
      <c r="P27" s="276"/>
      <c r="Q27" s="276"/>
      <c r="R27" s="219" t="e">
        <f t="shared" si="3"/>
        <v>#DIV/0!</v>
      </c>
      <c r="S27" s="272"/>
      <c r="T27" s="277"/>
      <c r="U27" s="276"/>
      <c r="V27" s="300"/>
      <c r="W27" s="219" t="e">
        <f t="shared" si="4"/>
        <v>#DIV/0!</v>
      </c>
      <c r="X27" s="307">
        <v>362</v>
      </c>
    </row>
    <row r="28" spans="1:24" s="13" customFormat="1" ht="10.15" customHeight="1" x14ac:dyDescent="0.2">
      <c r="A28" s="135" t="s">
        <v>50</v>
      </c>
      <c r="B28" s="236" t="s">
        <v>91</v>
      </c>
      <c r="C28" s="237"/>
      <c r="D28" s="133" t="s">
        <v>25</v>
      </c>
      <c r="E28" s="38">
        <f>SUM(J28,O28)</f>
        <v>890920</v>
      </c>
      <c r="F28" s="39">
        <f>SUM(K28,P28)</f>
        <v>890920</v>
      </c>
      <c r="G28" s="39">
        <f>SUM(L28,Q28)</f>
        <v>568397.63</v>
      </c>
      <c r="H28" s="14">
        <f>G28/F28*100</f>
        <v>63.798952767925286</v>
      </c>
      <c r="I28" s="40">
        <f>SUM(N28,S28)</f>
        <v>214369</v>
      </c>
      <c r="J28" s="240">
        <v>766920</v>
      </c>
      <c r="K28" s="276">
        <v>766920</v>
      </c>
      <c r="L28" s="276">
        <v>560897.63</v>
      </c>
      <c r="M28" s="219">
        <f>L28/K28*100</f>
        <v>73.136393626453867</v>
      </c>
      <c r="N28" s="229">
        <v>207310</v>
      </c>
      <c r="O28" s="277">
        <v>124000</v>
      </c>
      <c r="P28" s="276">
        <v>124000</v>
      </c>
      <c r="Q28" s="276">
        <v>7500</v>
      </c>
      <c r="R28" s="219">
        <f>Q28/P28*100</f>
        <v>6.0483870967741939</v>
      </c>
      <c r="S28" s="272">
        <v>7059</v>
      </c>
      <c r="T28" s="277"/>
      <c r="U28" s="276"/>
      <c r="V28" s="276">
        <v>678</v>
      </c>
      <c r="W28" s="219" t="e">
        <f>V28/U28*100</f>
        <v>#DIV/0!</v>
      </c>
      <c r="X28" s="308"/>
    </row>
    <row r="29" spans="1:24" s="15" customFormat="1" ht="10.15" customHeight="1" x14ac:dyDescent="0.2">
      <c r="A29" s="135" t="s">
        <v>51</v>
      </c>
      <c r="B29" s="236" t="s">
        <v>66</v>
      </c>
      <c r="C29" s="237"/>
      <c r="D29" s="133" t="s">
        <v>25</v>
      </c>
      <c r="E29" s="38">
        <f t="shared" si="6"/>
        <v>6500</v>
      </c>
      <c r="F29" s="39">
        <f t="shared" si="6"/>
        <v>15645</v>
      </c>
      <c r="G29" s="39">
        <f t="shared" si="6"/>
        <v>15645</v>
      </c>
      <c r="H29" s="14">
        <f t="shared" si="0"/>
        <v>100</v>
      </c>
      <c r="I29" s="40">
        <f t="shared" si="6"/>
        <v>6396</v>
      </c>
      <c r="J29" s="240">
        <v>6500</v>
      </c>
      <c r="K29" s="276">
        <v>15645</v>
      </c>
      <c r="L29" s="276">
        <v>15645</v>
      </c>
      <c r="M29" s="219">
        <f t="shared" si="2"/>
        <v>100</v>
      </c>
      <c r="N29" s="272">
        <v>6396</v>
      </c>
      <c r="O29" s="277"/>
      <c r="P29" s="276"/>
      <c r="Q29" s="276"/>
      <c r="R29" s="219" t="e">
        <f t="shared" si="3"/>
        <v>#DIV/0!</v>
      </c>
      <c r="S29" s="272"/>
      <c r="T29" s="277"/>
      <c r="U29" s="276"/>
      <c r="V29" s="300"/>
      <c r="W29" s="219" t="e">
        <f t="shared" si="4"/>
        <v>#DIV/0!</v>
      </c>
      <c r="X29" s="308"/>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40">
        <f>SUM(N30,S30)</f>
        <v>0</v>
      </c>
      <c r="J30" s="240"/>
      <c r="K30" s="276"/>
      <c r="L30" s="276"/>
      <c r="M30" s="219" t="e">
        <f t="shared" si="2"/>
        <v>#DIV/0!</v>
      </c>
      <c r="N30" s="272"/>
      <c r="O30" s="277"/>
      <c r="P30" s="276"/>
      <c r="Q30" s="276"/>
      <c r="R30" s="219" t="e">
        <f t="shared" si="3"/>
        <v>#DIV/0!</v>
      </c>
      <c r="S30" s="272"/>
      <c r="T30" s="277"/>
      <c r="U30" s="276"/>
      <c r="V30" s="300"/>
      <c r="W30" s="219" t="e">
        <f t="shared" si="4"/>
        <v>#DIV/0!</v>
      </c>
      <c r="X30" s="308"/>
    </row>
    <row r="31" spans="1:24" s="23" customFormat="1" ht="9.75" x14ac:dyDescent="0.2">
      <c r="A31" s="135" t="s">
        <v>54</v>
      </c>
      <c r="B31" s="236" t="s">
        <v>67</v>
      </c>
      <c r="C31" s="237"/>
      <c r="D31" s="133" t="s">
        <v>25</v>
      </c>
      <c r="E31" s="38">
        <f t="shared" si="7"/>
        <v>0</v>
      </c>
      <c r="F31" s="39">
        <f t="shared" si="7"/>
        <v>0</v>
      </c>
      <c r="G31" s="39">
        <f t="shared" si="7"/>
        <v>0</v>
      </c>
      <c r="H31" s="14" t="e">
        <f t="shared" si="0"/>
        <v>#DIV/0!</v>
      </c>
      <c r="I31" s="40">
        <f>SUM(N31,S31)</f>
        <v>0</v>
      </c>
      <c r="J31" s="240"/>
      <c r="K31" s="281"/>
      <c r="L31" s="281"/>
      <c r="M31" s="219" t="e">
        <f t="shared" si="2"/>
        <v>#DIV/0!</v>
      </c>
      <c r="N31" s="282"/>
      <c r="O31" s="283"/>
      <c r="P31" s="281"/>
      <c r="Q31" s="281"/>
      <c r="R31" s="219" t="e">
        <f t="shared" si="3"/>
        <v>#DIV/0!</v>
      </c>
      <c r="S31" s="282"/>
      <c r="T31" s="283"/>
      <c r="U31" s="281"/>
      <c r="V31" s="285"/>
      <c r="W31" s="219" t="e">
        <f t="shared" si="4"/>
        <v>#DIV/0!</v>
      </c>
      <c r="X31" s="286"/>
    </row>
    <row r="32" spans="1:24" s="23" customFormat="1" ht="9.75" x14ac:dyDescent="0.2">
      <c r="A32" s="238" t="s">
        <v>55</v>
      </c>
      <c r="B32" s="233" t="s">
        <v>68</v>
      </c>
      <c r="C32" s="239"/>
      <c r="D32" s="235" t="s">
        <v>25</v>
      </c>
      <c r="E32" s="42">
        <f>SUM(J32,O32)</f>
        <v>0</v>
      </c>
      <c r="F32" s="43">
        <f>SUM(K32,P32)</f>
        <v>0</v>
      </c>
      <c r="G32" s="43">
        <f>SUM(L32,Q32)</f>
        <v>0</v>
      </c>
      <c r="H32" s="16" t="e">
        <f t="shared" si="0"/>
        <v>#DIV/0!</v>
      </c>
      <c r="I32" s="44">
        <f>SUM(N32,S32)</f>
        <v>0</v>
      </c>
      <c r="J32" s="287"/>
      <c r="K32" s="288"/>
      <c r="L32" s="288"/>
      <c r="M32" s="265" t="e">
        <f t="shared" si="2"/>
        <v>#DIV/0!</v>
      </c>
      <c r="N32" s="289"/>
      <c r="O32" s="290"/>
      <c r="P32" s="288"/>
      <c r="Q32" s="288"/>
      <c r="R32" s="265" t="e">
        <f t="shared" si="3"/>
        <v>#DIV/0!</v>
      </c>
      <c r="S32" s="289"/>
      <c r="T32" s="309"/>
      <c r="U32" s="310"/>
      <c r="V32" s="288"/>
      <c r="W32" s="265" t="e">
        <f t="shared" si="4"/>
        <v>#DIV/0!</v>
      </c>
      <c r="X32" s="291"/>
    </row>
    <row r="33" spans="1:24" s="23" customFormat="1" ht="9.75" x14ac:dyDescent="0.2">
      <c r="A33" s="134" t="s">
        <v>56</v>
      </c>
      <c r="B33" s="21" t="s">
        <v>102</v>
      </c>
      <c r="C33" s="22"/>
      <c r="D33" s="20" t="s">
        <v>25</v>
      </c>
      <c r="E33" s="29">
        <f>E6-E11</f>
        <v>0</v>
      </c>
      <c r="F33" s="29">
        <f>F6-F11</f>
        <v>0</v>
      </c>
      <c r="G33" s="29">
        <f>G6-G11</f>
        <v>171733.33999999613</v>
      </c>
      <c r="H33" s="25" t="e">
        <f t="shared" si="0"/>
        <v>#DIV/0!</v>
      </c>
      <c r="I33" s="29">
        <f>I6-I11</f>
        <v>832019</v>
      </c>
      <c r="J33" s="29">
        <f>J6-J11</f>
        <v>0</v>
      </c>
      <c r="K33" s="29">
        <f>K6-K11</f>
        <v>0</v>
      </c>
      <c r="L33" s="29">
        <f>L6-L11</f>
        <v>171733.34000000078</v>
      </c>
      <c r="M33" s="19" t="e">
        <f t="shared" si="2"/>
        <v>#DIV/0!</v>
      </c>
      <c r="N33" s="29">
        <f>N6-N11</f>
        <v>832019</v>
      </c>
      <c r="O33" s="29">
        <f>O6-O11</f>
        <v>0</v>
      </c>
      <c r="P33" s="29">
        <f>P6-P11</f>
        <v>0</v>
      </c>
      <c r="Q33" s="29">
        <f>Q6-Q11</f>
        <v>0</v>
      </c>
      <c r="R33" s="19" t="e">
        <f t="shared" si="3"/>
        <v>#DIV/0!</v>
      </c>
      <c r="S33" s="29">
        <f>S6-S11</f>
        <v>0</v>
      </c>
      <c r="T33" s="29">
        <f>T6-T11</f>
        <v>88400</v>
      </c>
      <c r="U33" s="29">
        <f>U6-U11</f>
        <v>88400</v>
      </c>
      <c r="V33" s="29">
        <f>V6-V11</f>
        <v>38921</v>
      </c>
      <c r="W33" s="19">
        <f t="shared" si="4"/>
        <v>44.028280542986423</v>
      </c>
      <c r="X33" s="29">
        <f>X6-X11</f>
        <v>55332</v>
      </c>
    </row>
    <row r="34" spans="1:24" s="4" customFormat="1" ht="9" x14ac:dyDescent="0.2">
      <c r="A34" s="224" t="s">
        <v>57</v>
      </c>
      <c r="B34" s="509" t="s">
        <v>24</v>
      </c>
      <c r="C34" s="510"/>
      <c r="D34" s="136" t="s">
        <v>25</v>
      </c>
      <c r="E34" s="196">
        <v>22300</v>
      </c>
      <c r="F34" s="197">
        <v>22300</v>
      </c>
      <c r="G34" s="197">
        <v>22712</v>
      </c>
      <c r="H34" s="12">
        <f t="shared" si="0"/>
        <v>101.847533632287</v>
      </c>
      <c r="I34" s="256">
        <v>22020</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198">
        <v>92</v>
      </c>
      <c r="F35" s="199">
        <v>92</v>
      </c>
      <c r="G35" s="199">
        <v>91.62</v>
      </c>
      <c r="H35" s="261">
        <f t="shared" si="0"/>
        <v>99.58695652173914</v>
      </c>
      <c r="I35" s="301">
        <v>91</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108</v>
      </c>
      <c r="F36" s="201">
        <v>108</v>
      </c>
      <c r="G36" s="201">
        <v>108</v>
      </c>
      <c r="H36" s="259">
        <f t="shared" si="0"/>
        <v>100</v>
      </c>
      <c r="I36" s="260">
        <v>104</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0"/>
  <sheetViews>
    <sheetView tabSelected="1" zoomScaleNormal="100" workbookViewId="0">
      <selection activeCell="A29" sqref="A29:I29"/>
    </sheetView>
  </sheetViews>
  <sheetFormatPr defaultRowHeight="12.75" x14ac:dyDescent="0.2"/>
  <cols>
    <col min="1" max="1" width="74.75" style="28" customWidth="1"/>
    <col min="2" max="9" width="23.75" style="28" customWidth="1"/>
    <col min="17" max="17" width="17.75" bestFit="1" customWidth="1"/>
  </cols>
  <sheetData>
    <row r="1" spans="1:14" ht="18.75" x14ac:dyDescent="0.3">
      <c r="A1" s="27" t="s">
        <v>81</v>
      </c>
      <c r="B1" s="27"/>
      <c r="C1" s="27"/>
      <c r="D1" s="27"/>
      <c r="E1" s="27"/>
      <c r="F1" s="27"/>
      <c r="G1" s="27"/>
      <c r="H1" s="27"/>
      <c r="I1" s="27"/>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06" t="s">
        <v>25</v>
      </c>
      <c r="D5" s="472" t="s">
        <v>113</v>
      </c>
      <c r="E5" s="472"/>
      <c r="F5" s="472"/>
      <c r="G5" s="472"/>
      <c r="H5" s="472"/>
      <c r="I5" s="472"/>
    </row>
    <row r="6" spans="1:14" s="102" customFormat="1" ht="34.5" customHeight="1" x14ac:dyDescent="0.2">
      <c r="A6" s="467" t="s">
        <v>70</v>
      </c>
      <c r="B6" s="468"/>
      <c r="C6" s="180">
        <v>241173.02</v>
      </c>
      <c r="D6" s="473" t="s">
        <v>108</v>
      </c>
      <c r="E6" s="473"/>
      <c r="F6" s="473"/>
      <c r="G6" s="473"/>
      <c r="H6" s="473"/>
      <c r="I6" s="473"/>
    </row>
    <row r="7" spans="1:14" s="104" customFormat="1" ht="22.5" customHeight="1" x14ac:dyDescent="0.15">
      <c r="A7" s="467" t="s">
        <v>38</v>
      </c>
      <c r="B7" s="468"/>
      <c r="C7" s="180">
        <v>81175.899999999994</v>
      </c>
      <c r="D7" s="473" t="s">
        <v>187</v>
      </c>
      <c r="E7" s="473"/>
      <c r="F7" s="473"/>
      <c r="G7" s="473"/>
      <c r="H7" s="473"/>
      <c r="I7" s="473"/>
    </row>
    <row r="8" spans="1:14" s="104" customFormat="1" ht="10.5" x14ac:dyDescent="0.15">
      <c r="A8" s="467" t="s">
        <v>71</v>
      </c>
      <c r="B8" s="468"/>
      <c r="C8" s="180">
        <v>0</v>
      </c>
      <c r="D8" s="591"/>
      <c r="E8" s="592"/>
      <c r="F8" s="592"/>
      <c r="G8" s="592"/>
      <c r="H8" s="592"/>
      <c r="I8" s="593"/>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45.75" customHeight="1" x14ac:dyDescent="0.2">
      <c r="A13" s="205" t="s">
        <v>72</v>
      </c>
      <c r="B13" s="185">
        <v>148011.04</v>
      </c>
      <c r="C13" s="185">
        <v>184316.5</v>
      </c>
      <c r="D13" s="185">
        <v>73000</v>
      </c>
      <c r="E13" s="185">
        <f>B13+C13-D13</f>
        <v>259327.54000000004</v>
      </c>
      <c r="F13" s="206">
        <v>259327.54</v>
      </c>
      <c r="G13" s="476" t="s">
        <v>262</v>
      </c>
      <c r="H13" s="549"/>
      <c r="I13" s="550"/>
    </row>
    <row r="14" spans="1:14" s="102" customFormat="1" ht="68.25" customHeight="1" x14ac:dyDescent="0.2">
      <c r="A14" s="207" t="s">
        <v>117</v>
      </c>
      <c r="B14" s="181">
        <v>679445.34</v>
      </c>
      <c r="C14" s="181">
        <v>897007</v>
      </c>
      <c r="D14" s="181">
        <v>1436341</v>
      </c>
      <c r="E14" s="185">
        <f t="shared" ref="E14:E16" si="0">B14+C14-D14</f>
        <v>140111.33999999985</v>
      </c>
      <c r="F14" s="208">
        <v>140111.34</v>
      </c>
      <c r="G14" s="482" t="s">
        <v>189</v>
      </c>
      <c r="H14" s="551"/>
      <c r="I14" s="552"/>
      <c r="N14" s="109"/>
    </row>
    <row r="15" spans="1:14" s="77" customFormat="1" ht="24" customHeight="1" x14ac:dyDescent="0.2">
      <c r="A15" s="214" t="s">
        <v>73</v>
      </c>
      <c r="B15" s="215">
        <v>87273.72</v>
      </c>
      <c r="C15" s="215">
        <v>20000</v>
      </c>
      <c r="D15" s="215">
        <v>15810</v>
      </c>
      <c r="E15" s="213">
        <f t="shared" si="0"/>
        <v>91463.72</v>
      </c>
      <c r="F15" s="437">
        <v>91463.72</v>
      </c>
      <c r="G15" s="482" t="s">
        <v>188</v>
      </c>
      <c r="H15" s="551"/>
      <c r="I15" s="552"/>
    </row>
    <row r="16" spans="1:14" s="102" customFormat="1" ht="45.75" customHeight="1" x14ac:dyDescent="0.2">
      <c r="A16" s="209" t="s">
        <v>97</v>
      </c>
      <c r="B16" s="187">
        <v>118654.24</v>
      </c>
      <c r="C16" s="187">
        <v>118882.5</v>
      </c>
      <c r="D16" s="187">
        <v>77335</v>
      </c>
      <c r="E16" s="185">
        <f t="shared" si="0"/>
        <v>160201.74</v>
      </c>
      <c r="F16" s="210">
        <v>157944.35</v>
      </c>
      <c r="G16" s="483" t="s">
        <v>190</v>
      </c>
      <c r="H16" s="553"/>
      <c r="I16" s="554"/>
    </row>
    <row r="17" spans="1:9" s="102" customFormat="1" ht="11.25" x14ac:dyDescent="0.2">
      <c r="A17" s="371" t="s">
        <v>34</v>
      </c>
      <c r="B17" s="184">
        <f>SUM(B13:B16)</f>
        <v>1033384.34</v>
      </c>
      <c r="C17" s="184">
        <f t="shared" ref="C17:F17" si="1">SUM(C13:C16)</f>
        <v>1220206</v>
      </c>
      <c r="D17" s="184">
        <f t="shared" si="1"/>
        <v>1602486</v>
      </c>
      <c r="E17" s="184">
        <f t="shared" si="1"/>
        <v>651104.33999999985</v>
      </c>
      <c r="F17" s="184">
        <f t="shared" si="1"/>
        <v>648846.94999999995</v>
      </c>
      <c r="G17" s="466"/>
      <c r="H17" s="466"/>
      <c r="I17" s="466"/>
    </row>
    <row r="18" spans="1:9" s="123" customFormat="1" ht="11.25" x14ac:dyDescent="0.2">
      <c r="A18" s="112"/>
      <c r="B18" s="112"/>
      <c r="C18" s="113"/>
      <c r="D18" s="112"/>
      <c r="E18" s="112"/>
      <c r="F18" s="112"/>
      <c r="G18" s="112"/>
      <c r="H18" s="112"/>
      <c r="I18" s="112"/>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34.5" customHeight="1" x14ac:dyDescent="0.15">
      <c r="A33" s="585" t="s">
        <v>191</v>
      </c>
      <c r="B33" s="586"/>
      <c r="C33" s="586"/>
      <c r="D33" s="586"/>
      <c r="E33" s="586"/>
      <c r="F33" s="586"/>
      <c r="G33" s="586"/>
      <c r="H33" s="586"/>
      <c r="I33" s="587"/>
    </row>
    <row r="34" spans="1:9" ht="11.25" x14ac:dyDescent="0.15">
      <c r="A34" s="482" t="s">
        <v>250</v>
      </c>
      <c r="B34" s="551"/>
      <c r="C34" s="551"/>
      <c r="D34" s="551"/>
      <c r="E34" s="551"/>
      <c r="F34" s="551"/>
      <c r="G34" s="551"/>
      <c r="H34" s="551"/>
      <c r="I34" s="552"/>
    </row>
    <row r="35" spans="1:9" ht="11.25" x14ac:dyDescent="0.15">
      <c r="A35" s="482" t="s">
        <v>194</v>
      </c>
      <c r="B35" s="551"/>
      <c r="C35" s="551"/>
      <c r="D35" s="551"/>
      <c r="E35" s="551"/>
      <c r="F35" s="551"/>
      <c r="G35" s="551"/>
      <c r="H35" s="551"/>
      <c r="I35" s="552"/>
    </row>
    <row r="36" spans="1:9" ht="23.25" customHeight="1" x14ac:dyDescent="0.15">
      <c r="A36" s="482" t="s">
        <v>195</v>
      </c>
      <c r="B36" s="551"/>
      <c r="C36" s="551"/>
      <c r="D36" s="551"/>
      <c r="E36" s="551"/>
      <c r="F36" s="551"/>
      <c r="G36" s="551"/>
      <c r="H36" s="551"/>
      <c r="I36" s="552"/>
    </row>
    <row r="37" spans="1:9" ht="11.25" x14ac:dyDescent="0.15">
      <c r="A37" s="482" t="s">
        <v>192</v>
      </c>
      <c r="B37" s="551"/>
      <c r="C37" s="551"/>
      <c r="D37" s="551"/>
      <c r="E37" s="551"/>
      <c r="F37" s="551"/>
      <c r="G37" s="551"/>
      <c r="H37" s="551"/>
      <c r="I37" s="552"/>
    </row>
    <row r="38" spans="1:9" ht="11.25" x14ac:dyDescent="0.15">
      <c r="A38" s="482" t="s">
        <v>193</v>
      </c>
      <c r="B38" s="551"/>
      <c r="C38" s="551"/>
      <c r="D38" s="551"/>
      <c r="E38" s="551"/>
      <c r="F38" s="551"/>
      <c r="G38" s="551"/>
      <c r="H38" s="551"/>
      <c r="I38" s="552"/>
    </row>
    <row r="39" spans="1:9" ht="11.25" x14ac:dyDescent="0.15">
      <c r="A39" s="482" t="s">
        <v>263</v>
      </c>
      <c r="B39" s="551"/>
      <c r="C39" s="551"/>
      <c r="D39" s="551"/>
      <c r="E39" s="551"/>
      <c r="F39" s="551"/>
      <c r="G39" s="551"/>
      <c r="H39" s="551"/>
      <c r="I39" s="552"/>
    </row>
    <row r="40" spans="1:9" x14ac:dyDescent="0.2">
      <c r="A40" s="630"/>
      <c r="B40" s="631"/>
      <c r="C40" s="631"/>
      <c r="D40" s="631"/>
      <c r="E40" s="631"/>
      <c r="F40" s="631"/>
      <c r="G40" s="631"/>
      <c r="H40" s="631"/>
      <c r="I40" s="632"/>
    </row>
  </sheetData>
  <mergeCells count="31">
    <mergeCell ref="A33:I33"/>
    <mergeCell ref="A34:I34"/>
    <mergeCell ref="A40:I40"/>
    <mergeCell ref="A36:I36"/>
    <mergeCell ref="A37:I37"/>
    <mergeCell ref="A38:I38"/>
    <mergeCell ref="A39:I39"/>
    <mergeCell ref="A35:I35"/>
    <mergeCell ref="A19:I19"/>
    <mergeCell ref="A25:I25"/>
    <mergeCell ref="A31:I31"/>
    <mergeCell ref="A21:I21"/>
    <mergeCell ref="A23:I23"/>
    <mergeCell ref="A27:I27"/>
    <mergeCell ref="A29:I29"/>
    <mergeCell ref="A3:I3"/>
    <mergeCell ref="A5:B5"/>
    <mergeCell ref="D5:I5"/>
    <mergeCell ref="A6:B6"/>
    <mergeCell ref="D6:I6"/>
    <mergeCell ref="A7:B7"/>
    <mergeCell ref="D7:I7"/>
    <mergeCell ref="A8:B8"/>
    <mergeCell ref="G16:I16"/>
    <mergeCell ref="G17:I17"/>
    <mergeCell ref="D8:I8"/>
    <mergeCell ref="A10:I10"/>
    <mergeCell ref="G12:I12"/>
    <mergeCell ref="G13:I13"/>
    <mergeCell ref="G14:I14"/>
    <mergeCell ref="G15:I15"/>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 enableFormatConditionsCalculation="0">
    <tabColor rgb="FF92D050"/>
  </sheetPr>
  <dimension ref="A1:X68"/>
  <sheetViews>
    <sheetView tabSelected="1" zoomScale="120" zoomScaleNormal="12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529" t="s">
        <v>81</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28270020</v>
      </c>
      <c r="F6" s="29">
        <f>SUM(F7:F9)</f>
        <v>28621983</v>
      </c>
      <c r="G6" s="29">
        <f>SUM(G7:G9)</f>
        <v>14675185.859999999</v>
      </c>
      <c r="H6" s="24">
        <f t="shared" ref="H6:H36" si="0">G6/F6*100</f>
        <v>51.272428818087135</v>
      </c>
      <c r="I6" s="29">
        <f>SUM(I7:I9)</f>
        <v>25542747</v>
      </c>
      <c r="J6" s="29">
        <f>SUM(J7:J9)</f>
        <v>6695320</v>
      </c>
      <c r="K6" s="29">
        <f t="shared" ref="K6:X6" si="1">SUM(K7:K9)</f>
        <v>7047283</v>
      </c>
      <c r="L6" s="29">
        <f t="shared" si="1"/>
        <v>3824098</v>
      </c>
      <c r="M6" s="24">
        <f t="shared" ref="M6:M32" si="2">L6/K6*100</f>
        <v>54.263437412687985</v>
      </c>
      <c r="N6" s="30">
        <f t="shared" si="1"/>
        <v>3532955</v>
      </c>
      <c r="O6" s="29">
        <f t="shared" si="1"/>
        <v>21574700</v>
      </c>
      <c r="P6" s="29">
        <f t="shared" si="1"/>
        <v>21574700</v>
      </c>
      <c r="Q6" s="29">
        <f t="shared" si="1"/>
        <v>10851087.859999999</v>
      </c>
      <c r="R6" s="24">
        <f t="shared" ref="R6:R32" si="3">Q6/P6*100</f>
        <v>50.295428719750447</v>
      </c>
      <c r="S6" s="29">
        <f t="shared" si="1"/>
        <v>22009792</v>
      </c>
      <c r="T6" s="29">
        <f t="shared" si="1"/>
        <v>480000</v>
      </c>
      <c r="U6" s="29">
        <f t="shared" si="1"/>
        <v>899080</v>
      </c>
      <c r="V6" s="29">
        <f t="shared" si="1"/>
        <v>429644</v>
      </c>
      <c r="W6" s="24">
        <f t="shared" ref="W6:W32" si="4">V6/U6*100</f>
        <v>47.78707122836677</v>
      </c>
      <c r="X6" s="29">
        <f t="shared" si="1"/>
        <v>337769</v>
      </c>
    </row>
    <row r="7" spans="1:24" s="6" customFormat="1" ht="9.9499999999999993" customHeight="1" x14ac:dyDescent="0.2">
      <c r="A7" s="130" t="s">
        <v>2</v>
      </c>
      <c r="B7" s="522" t="s">
        <v>45</v>
      </c>
      <c r="C7" s="523"/>
      <c r="D7" s="131" t="s">
        <v>25</v>
      </c>
      <c r="E7" s="32">
        <f t="shared" ref="E7:G10" si="5">SUM(J7,O7)</f>
        <v>2072000</v>
      </c>
      <c r="F7" s="33">
        <f t="shared" si="5"/>
        <v>2099200</v>
      </c>
      <c r="G7" s="33">
        <f t="shared" si="5"/>
        <v>1364701</v>
      </c>
      <c r="H7" s="9">
        <f t="shared" si="0"/>
        <v>65.010527820121951</v>
      </c>
      <c r="I7" s="34">
        <f>SUM(N7,S7)</f>
        <v>1262644</v>
      </c>
      <c r="J7" s="262">
        <v>2072000</v>
      </c>
      <c r="K7" s="35">
        <v>2099200</v>
      </c>
      <c r="L7" s="35">
        <v>1364701</v>
      </c>
      <c r="M7" s="219">
        <f t="shared" si="2"/>
        <v>65.010527820121951</v>
      </c>
      <c r="N7" s="35">
        <v>1262644</v>
      </c>
      <c r="O7" s="263"/>
      <c r="P7" s="35"/>
      <c r="Q7" s="35"/>
      <c r="R7" s="219" t="e">
        <f t="shared" si="3"/>
        <v>#DIV/0!</v>
      </c>
      <c r="S7" s="302"/>
      <c r="T7" s="263">
        <v>480000</v>
      </c>
      <c r="U7" s="35">
        <v>481000</v>
      </c>
      <c r="V7" s="35">
        <f>295556+869</f>
        <v>296425</v>
      </c>
      <c r="W7" s="219">
        <f t="shared" si="4"/>
        <v>61.626819126819129</v>
      </c>
      <c r="X7" s="65">
        <v>337769</v>
      </c>
    </row>
    <row r="8" spans="1:24" s="6" customFormat="1" ht="9.9499999999999993" customHeight="1" x14ac:dyDescent="0.2">
      <c r="A8" s="132" t="s">
        <v>3</v>
      </c>
      <c r="B8" s="524" t="s">
        <v>46</v>
      </c>
      <c r="C8" s="525"/>
      <c r="D8" s="133" t="s">
        <v>25</v>
      </c>
      <c r="E8" s="38">
        <f t="shared" si="5"/>
        <v>3000</v>
      </c>
      <c r="F8" s="39">
        <f t="shared" si="5"/>
        <v>1000</v>
      </c>
      <c r="G8" s="39">
        <f t="shared" si="5"/>
        <v>705</v>
      </c>
      <c r="H8" s="10">
        <f t="shared" si="0"/>
        <v>70.5</v>
      </c>
      <c r="I8" s="40">
        <f>SUM(N8,S8)</f>
        <v>1604</v>
      </c>
      <c r="J8" s="243">
        <v>3000</v>
      </c>
      <c r="K8" s="218">
        <v>1000</v>
      </c>
      <c r="L8" s="218">
        <v>705</v>
      </c>
      <c r="M8" s="219">
        <f t="shared" si="2"/>
        <v>70.5</v>
      </c>
      <c r="N8" s="218">
        <v>1604</v>
      </c>
      <c r="O8" s="217"/>
      <c r="P8" s="218"/>
      <c r="Q8" s="218"/>
      <c r="R8" s="219" t="e">
        <f t="shared" si="3"/>
        <v>#DIV/0!</v>
      </c>
      <c r="S8" s="229"/>
      <c r="T8" s="217"/>
      <c r="U8" s="218"/>
      <c r="V8" s="218"/>
      <c r="W8" s="219" t="e">
        <f t="shared" si="4"/>
        <v>#DIV/0!</v>
      </c>
      <c r="X8" s="220"/>
    </row>
    <row r="9" spans="1:24" s="6" customFormat="1" ht="9.9499999999999993" customHeight="1" x14ac:dyDescent="0.2">
      <c r="A9" s="232" t="s">
        <v>4</v>
      </c>
      <c r="B9" s="233" t="s">
        <v>60</v>
      </c>
      <c r="C9" s="234"/>
      <c r="D9" s="235" t="s">
        <v>25</v>
      </c>
      <c r="E9" s="42">
        <f t="shared" si="5"/>
        <v>26195020</v>
      </c>
      <c r="F9" s="43">
        <f t="shared" si="5"/>
        <v>26521783</v>
      </c>
      <c r="G9" s="43">
        <f t="shared" si="5"/>
        <v>13309779.859999999</v>
      </c>
      <c r="H9" s="26">
        <f t="shared" si="0"/>
        <v>50.184332855751059</v>
      </c>
      <c r="I9" s="44">
        <f>SUM(N9,S9)</f>
        <v>24278499</v>
      </c>
      <c r="J9" s="244">
        <v>4620320</v>
      </c>
      <c r="K9" s="264">
        <f>4620320+326763</f>
        <v>4947083</v>
      </c>
      <c r="L9" s="264">
        <f>13292953.86-10834261.86</f>
        <v>2458692</v>
      </c>
      <c r="M9" s="219">
        <f t="shared" si="2"/>
        <v>49.699833214846002</v>
      </c>
      <c r="N9" s="264">
        <v>2268707</v>
      </c>
      <c r="O9" s="221">
        <v>21574700</v>
      </c>
      <c r="P9" s="264">
        <v>21574700</v>
      </c>
      <c r="Q9" s="264">
        <f>10834261.86+16826</f>
        <v>10851087.859999999</v>
      </c>
      <c r="R9" s="219">
        <f t="shared" si="3"/>
        <v>50.295428719750447</v>
      </c>
      <c r="S9" s="230">
        <v>22009792</v>
      </c>
      <c r="T9" s="221"/>
      <c r="U9" s="264">
        <v>418080</v>
      </c>
      <c r="V9" s="264">
        <v>133219</v>
      </c>
      <c r="W9" s="219">
        <f t="shared" si="4"/>
        <v>31.864475698430923</v>
      </c>
      <c r="X9" s="222"/>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9.9499999999999993" customHeight="1" x14ac:dyDescent="0.2">
      <c r="A11" s="134" t="s">
        <v>6</v>
      </c>
      <c r="B11" s="526" t="s">
        <v>9</v>
      </c>
      <c r="C11" s="527"/>
      <c r="D11" s="20" t="s">
        <v>25</v>
      </c>
      <c r="E11" s="29">
        <f>SUM(E12:E31)</f>
        <v>28270020</v>
      </c>
      <c r="F11" s="29">
        <f>SUM(F12:F31)</f>
        <v>28596783</v>
      </c>
      <c r="G11" s="29">
        <f>SUM(G12:G31)</f>
        <v>14434012.430000002</v>
      </c>
      <c r="H11" s="24">
        <f t="shared" si="0"/>
        <v>50.474252401048062</v>
      </c>
      <c r="I11" s="30">
        <f>SUM(I12:I31)</f>
        <v>25384067.199999999</v>
      </c>
      <c r="J11" s="29">
        <f>SUM(J12:J31)</f>
        <v>6695320</v>
      </c>
      <c r="K11" s="29">
        <f>SUM(K12:K31)</f>
        <v>7022083</v>
      </c>
      <c r="L11" s="29">
        <f>SUM(L12:L31)</f>
        <v>3582924.5200000005</v>
      </c>
      <c r="M11" s="24">
        <f t="shared" si="2"/>
        <v>51.023670896513195</v>
      </c>
      <c r="N11" s="30">
        <f>SUM(N12:N31)</f>
        <v>3374275</v>
      </c>
      <c r="O11" s="29">
        <f>SUM(O12:O31)</f>
        <v>21574700</v>
      </c>
      <c r="P11" s="29">
        <f>SUM(P12:P31)</f>
        <v>21574700</v>
      </c>
      <c r="Q11" s="29">
        <f>SUM(Q12:Q31)</f>
        <v>10851087.91</v>
      </c>
      <c r="R11" s="24">
        <f t="shared" si="3"/>
        <v>50.295428951503382</v>
      </c>
      <c r="S11" s="30">
        <f>SUM(S12:S31)</f>
        <v>22009792.199999999</v>
      </c>
      <c r="T11" s="29">
        <f>SUM(T12:T31)</f>
        <v>441835</v>
      </c>
      <c r="U11" s="29">
        <f>SUM(U12:U31)</f>
        <v>715835</v>
      </c>
      <c r="V11" s="29">
        <f>SUM(V12:V31)</f>
        <v>348468.10000000003</v>
      </c>
      <c r="W11" s="24">
        <f t="shared" si="4"/>
        <v>48.679947194535053</v>
      </c>
      <c r="X11" s="29">
        <f>SUM(X12:X31)</f>
        <v>0</v>
      </c>
    </row>
    <row r="12" spans="1:24" s="6" customFormat="1" ht="9.9499999999999993" customHeight="1" x14ac:dyDescent="0.2">
      <c r="A12" s="130" t="s">
        <v>8</v>
      </c>
      <c r="B12" s="528" t="s">
        <v>28</v>
      </c>
      <c r="C12" s="528"/>
      <c r="D12" s="131" t="s">
        <v>25</v>
      </c>
      <c r="E12" s="32">
        <f t="shared" ref="E12:I29" si="6">SUM(J12,O12)</f>
        <v>2176096</v>
      </c>
      <c r="F12" s="33">
        <f t="shared" si="6"/>
        <v>2230796</v>
      </c>
      <c r="G12" s="33">
        <f t="shared" si="6"/>
        <v>1371139.28</v>
      </c>
      <c r="H12" s="9">
        <f t="shared" si="0"/>
        <v>61.464126706341595</v>
      </c>
      <c r="I12" s="34">
        <f t="shared" si="6"/>
        <v>1550031.6</v>
      </c>
      <c r="J12" s="266">
        <v>2096096</v>
      </c>
      <c r="K12" s="48">
        <f>2096096+15000</f>
        <v>2111096</v>
      </c>
      <c r="L12" s="48">
        <f>1371139.28-42369</f>
        <v>1328770.28</v>
      </c>
      <c r="M12" s="219">
        <f t="shared" si="2"/>
        <v>62.942200638909839</v>
      </c>
      <c r="N12" s="303">
        <v>1189744</v>
      </c>
      <c r="O12" s="267">
        <v>80000</v>
      </c>
      <c r="P12" s="48">
        <v>119700</v>
      </c>
      <c r="Q12" s="48">
        <v>42369</v>
      </c>
      <c r="R12" s="219">
        <f t="shared" si="3"/>
        <v>35.395989974937343</v>
      </c>
      <c r="S12" s="304">
        <v>360287.6</v>
      </c>
      <c r="T12" s="267">
        <v>3100</v>
      </c>
      <c r="U12" s="48">
        <v>3100</v>
      </c>
      <c r="V12" s="48">
        <v>2716</v>
      </c>
      <c r="W12" s="219">
        <f t="shared" si="4"/>
        <v>87.612903225806448</v>
      </c>
      <c r="X12" s="52"/>
    </row>
    <row r="13" spans="1:24" s="6" customFormat="1" ht="9.9499999999999993" customHeight="1" x14ac:dyDescent="0.2">
      <c r="A13" s="135" t="s">
        <v>10</v>
      </c>
      <c r="B13" s="508" t="s">
        <v>29</v>
      </c>
      <c r="C13" s="508"/>
      <c r="D13" s="133" t="s">
        <v>25</v>
      </c>
      <c r="E13" s="38">
        <f t="shared" si="6"/>
        <v>1943000</v>
      </c>
      <c r="F13" s="39">
        <f t="shared" si="6"/>
        <v>1943000</v>
      </c>
      <c r="G13" s="39">
        <f t="shared" si="6"/>
        <v>878815.79</v>
      </c>
      <c r="H13" s="10">
        <f t="shared" si="0"/>
        <v>45.229839938239834</v>
      </c>
      <c r="I13" s="40">
        <f t="shared" si="6"/>
        <v>1132280</v>
      </c>
      <c r="J13" s="240">
        <v>1943000</v>
      </c>
      <c r="K13" s="218">
        <v>1943000</v>
      </c>
      <c r="L13" s="218">
        <f>878815.79</f>
        <v>878815.79</v>
      </c>
      <c r="M13" s="219">
        <f t="shared" si="2"/>
        <v>45.229839938239834</v>
      </c>
      <c r="N13" s="229">
        <v>1132280</v>
      </c>
      <c r="O13" s="217"/>
      <c r="P13" s="218"/>
      <c r="Q13" s="218"/>
      <c r="R13" s="219" t="e">
        <f t="shared" si="3"/>
        <v>#DIV/0!</v>
      </c>
      <c r="S13" s="229"/>
      <c r="T13" s="217">
        <v>427000</v>
      </c>
      <c r="U13" s="218">
        <v>427000</v>
      </c>
      <c r="V13" s="218">
        <v>206122</v>
      </c>
      <c r="W13" s="219">
        <f t="shared" si="4"/>
        <v>48.272131147540982</v>
      </c>
      <c r="X13" s="220"/>
    </row>
    <row r="14" spans="1:24" s="6" customFormat="1" ht="9.9499999999999993" customHeight="1" x14ac:dyDescent="0.2">
      <c r="A14" s="135" t="s">
        <v>11</v>
      </c>
      <c r="B14" s="236" t="s">
        <v>61</v>
      </c>
      <c r="C14" s="237"/>
      <c r="D14" s="133" t="s">
        <v>25</v>
      </c>
      <c r="E14" s="38">
        <f t="shared" si="6"/>
        <v>0</v>
      </c>
      <c r="F14" s="39">
        <f t="shared" si="6"/>
        <v>0</v>
      </c>
      <c r="G14" s="39">
        <f t="shared" si="6"/>
        <v>0</v>
      </c>
      <c r="H14" s="10" t="e">
        <f t="shared" si="0"/>
        <v>#DIV/0!</v>
      </c>
      <c r="I14" s="40">
        <f t="shared" si="6"/>
        <v>0</v>
      </c>
      <c r="J14" s="240"/>
      <c r="K14" s="218"/>
      <c r="L14" s="218"/>
      <c r="M14" s="219" t="e">
        <f t="shared" si="2"/>
        <v>#DIV/0!</v>
      </c>
      <c r="N14" s="229"/>
      <c r="O14" s="217"/>
      <c r="P14" s="218"/>
      <c r="Q14" s="218"/>
      <c r="R14" s="219" t="e">
        <f t="shared" si="3"/>
        <v>#DIV/0!</v>
      </c>
      <c r="S14" s="229"/>
      <c r="T14" s="217"/>
      <c r="U14" s="218"/>
      <c r="V14" s="218"/>
      <c r="W14" s="219" t="e">
        <f t="shared" si="4"/>
        <v>#DIV/0!</v>
      </c>
      <c r="X14" s="220"/>
    </row>
    <row r="15" spans="1:24" s="6" customFormat="1" ht="9.9499999999999993" customHeight="1" x14ac:dyDescent="0.2">
      <c r="A15" s="135" t="s">
        <v>12</v>
      </c>
      <c r="B15" s="511" t="s">
        <v>109</v>
      </c>
      <c r="C15" s="512"/>
      <c r="D15" s="133" t="s">
        <v>25</v>
      </c>
      <c r="E15" s="38">
        <f t="shared" si="6"/>
        <v>410000</v>
      </c>
      <c r="F15" s="39">
        <f t="shared" si="6"/>
        <v>410000</v>
      </c>
      <c r="G15" s="39">
        <f t="shared" si="6"/>
        <v>151384</v>
      </c>
      <c r="H15" s="10">
        <f t="shared" si="0"/>
        <v>36.922926829268292</v>
      </c>
      <c r="I15" s="40">
        <f t="shared" si="6"/>
        <v>115340</v>
      </c>
      <c r="J15" s="240">
        <v>410000</v>
      </c>
      <c r="K15" s="218">
        <v>410000</v>
      </c>
      <c r="L15" s="218">
        <v>151384</v>
      </c>
      <c r="M15" s="219">
        <f t="shared" si="2"/>
        <v>36.922926829268292</v>
      </c>
      <c r="N15" s="229">
        <v>115340</v>
      </c>
      <c r="O15" s="217"/>
      <c r="P15" s="218"/>
      <c r="Q15" s="218"/>
      <c r="R15" s="219" t="e">
        <f t="shared" si="3"/>
        <v>#DIV/0!</v>
      </c>
      <c r="S15" s="229"/>
      <c r="T15" s="217">
        <v>700</v>
      </c>
      <c r="U15" s="218">
        <v>700</v>
      </c>
      <c r="V15" s="218"/>
      <c r="W15" s="219">
        <f t="shared" si="4"/>
        <v>0</v>
      </c>
      <c r="X15" s="220"/>
    </row>
    <row r="16" spans="1:24" s="6" customFormat="1" ht="9.9499999999999993" customHeight="1" x14ac:dyDescent="0.2">
      <c r="A16" s="135" t="s">
        <v>13</v>
      </c>
      <c r="B16" s="511" t="s">
        <v>30</v>
      </c>
      <c r="C16" s="512"/>
      <c r="D16" s="133" t="s">
        <v>25</v>
      </c>
      <c r="E16" s="38">
        <f t="shared" si="6"/>
        <v>57000</v>
      </c>
      <c r="F16" s="39">
        <f t="shared" si="6"/>
        <v>57000</v>
      </c>
      <c r="G16" s="39">
        <f t="shared" si="6"/>
        <v>28403</v>
      </c>
      <c r="H16" s="10">
        <f t="shared" si="0"/>
        <v>49.829824561403505</v>
      </c>
      <c r="I16" s="40">
        <f t="shared" si="6"/>
        <v>43518.6</v>
      </c>
      <c r="J16" s="240">
        <v>7000</v>
      </c>
      <c r="K16" s="218">
        <v>7000</v>
      </c>
      <c r="L16" s="218">
        <f>28403-26580</f>
        <v>1823</v>
      </c>
      <c r="M16" s="219">
        <f t="shared" si="2"/>
        <v>26.042857142857144</v>
      </c>
      <c r="N16" s="229">
        <v>1545</v>
      </c>
      <c r="O16" s="217">
        <v>50000</v>
      </c>
      <c r="P16" s="218">
        <v>50000</v>
      </c>
      <c r="Q16" s="218">
        <v>26580</v>
      </c>
      <c r="R16" s="219">
        <f t="shared" si="3"/>
        <v>53.16</v>
      </c>
      <c r="S16" s="229">
        <v>41973.599999999999</v>
      </c>
      <c r="T16" s="217"/>
      <c r="U16" s="218"/>
      <c r="V16" s="218"/>
      <c r="W16" s="219" t="e">
        <f t="shared" si="4"/>
        <v>#DIV/0!</v>
      </c>
      <c r="X16" s="220"/>
    </row>
    <row r="17" spans="1:24" s="6" customFormat="1" ht="9.9499999999999993" customHeight="1" x14ac:dyDescent="0.2">
      <c r="A17" s="135" t="s">
        <v>14</v>
      </c>
      <c r="B17" s="236" t="s">
        <v>47</v>
      </c>
      <c r="C17" s="237"/>
      <c r="D17" s="133" t="s">
        <v>25</v>
      </c>
      <c r="E17" s="38">
        <f t="shared" si="6"/>
        <v>4000</v>
      </c>
      <c r="F17" s="39">
        <f t="shared" si="6"/>
        <v>3000</v>
      </c>
      <c r="G17" s="39">
        <f t="shared" si="6"/>
        <v>474</v>
      </c>
      <c r="H17" s="10">
        <f t="shared" si="0"/>
        <v>15.8</v>
      </c>
      <c r="I17" s="40">
        <f t="shared" si="6"/>
        <v>1270</v>
      </c>
      <c r="J17" s="240">
        <v>4000</v>
      </c>
      <c r="K17" s="218">
        <f>4000-1000</f>
        <v>3000</v>
      </c>
      <c r="L17" s="218">
        <v>474</v>
      </c>
      <c r="M17" s="219">
        <f t="shared" si="2"/>
        <v>15.8</v>
      </c>
      <c r="N17" s="229">
        <v>1270</v>
      </c>
      <c r="O17" s="217"/>
      <c r="P17" s="218"/>
      <c r="Q17" s="218"/>
      <c r="R17" s="219" t="e">
        <f t="shared" si="3"/>
        <v>#DIV/0!</v>
      </c>
      <c r="S17" s="229"/>
      <c r="T17" s="217"/>
      <c r="U17" s="218"/>
      <c r="V17" s="218"/>
      <c r="W17" s="219" t="e">
        <f t="shared" si="4"/>
        <v>#DIV/0!</v>
      </c>
      <c r="X17" s="220"/>
    </row>
    <row r="18" spans="1:24" s="6" customFormat="1" ht="9.9499999999999993" customHeight="1" x14ac:dyDescent="0.2">
      <c r="A18" s="135" t="s">
        <v>15</v>
      </c>
      <c r="B18" s="511" t="s">
        <v>31</v>
      </c>
      <c r="C18" s="512"/>
      <c r="D18" s="133" t="s">
        <v>25</v>
      </c>
      <c r="E18" s="38">
        <f t="shared" si="6"/>
        <v>753000</v>
      </c>
      <c r="F18" s="39">
        <f t="shared" si="6"/>
        <v>628530</v>
      </c>
      <c r="G18" s="39">
        <f t="shared" si="6"/>
        <v>354046.53</v>
      </c>
      <c r="H18" s="10">
        <f t="shared" si="0"/>
        <v>56.329296930934092</v>
      </c>
      <c r="I18" s="40">
        <f t="shared" si="6"/>
        <v>531897</v>
      </c>
      <c r="J18" s="240">
        <v>453000</v>
      </c>
      <c r="K18" s="218">
        <f>453000-34470</f>
        <v>418530</v>
      </c>
      <c r="L18" s="218">
        <f>354046.53-131423</f>
        <v>222623.53000000003</v>
      </c>
      <c r="M18" s="219">
        <f t="shared" si="2"/>
        <v>53.191773588512184</v>
      </c>
      <c r="N18" s="229">
        <v>205386</v>
      </c>
      <c r="O18" s="217">
        <v>300000</v>
      </c>
      <c r="P18" s="218">
        <v>210000</v>
      </c>
      <c r="Q18" s="218">
        <v>131423</v>
      </c>
      <c r="R18" s="219">
        <f t="shared" si="3"/>
        <v>62.582380952380959</v>
      </c>
      <c r="S18" s="229">
        <v>326511</v>
      </c>
      <c r="T18" s="217"/>
      <c r="U18" s="218"/>
      <c r="V18" s="218"/>
      <c r="W18" s="219" t="e">
        <f t="shared" si="4"/>
        <v>#DIV/0!</v>
      </c>
      <c r="X18" s="220"/>
    </row>
    <row r="19" spans="1:24" s="11" customFormat="1" ht="9.9499999999999993" customHeight="1" x14ac:dyDescent="0.2">
      <c r="A19" s="135" t="s">
        <v>16</v>
      </c>
      <c r="B19" s="508" t="s">
        <v>32</v>
      </c>
      <c r="C19" s="508"/>
      <c r="D19" s="133" t="s">
        <v>25</v>
      </c>
      <c r="E19" s="38">
        <f t="shared" si="6"/>
        <v>15692600</v>
      </c>
      <c r="F19" s="39">
        <f t="shared" si="6"/>
        <v>15692600</v>
      </c>
      <c r="G19" s="39">
        <f t="shared" si="6"/>
        <v>7905735</v>
      </c>
      <c r="H19" s="10">
        <f t="shared" si="0"/>
        <v>50.378745395919097</v>
      </c>
      <c r="I19" s="40">
        <f t="shared" si="6"/>
        <v>15688230</v>
      </c>
      <c r="J19" s="241">
        <v>160600</v>
      </c>
      <c r="K19" s="218">
        <v>160600</v>
      </c>
      <c r="L19" s="218">
        <f>7905735-7829515</f>
        <v>76220</v>
      </c>
      <c r="M19" s="219">
        <f t="shared" si="2"/>
        <v>47.459526774595268</v>
      </c>
      <c r="N19" s="229">
        <v>69710</v>
      </c>
      <c r="O19" s="217">
        <v>15532000</v>
      </c>
      <c r="P19" s="218">
        <v>15532000</v>
      </c>
      <c r="Q19" s="218">
        <v>7829515</v>
      </c>
      <c r="R19" s="219">
        <f t="shared" si="3"/>
        <v>50.408929951068757</v>
      </c>
      <c r="S19" s="229">
        <v>15618520</v>
      </c>
      <c r="T19" s="268"/>
      <c r="U19" s="269">
        <v>202000</v>
      </c>
      <c r="V19" s="269">
        <v>103180</v>
      </c>
      <c r="W19" s="219">
        <f t="shared" si="4"/>
        <v>51.079207920792079</v>
      </c>
      <c r="X19" s="270"/>
    </row>
    <row r="20" spans="1:24" s="6" customFormat="1" ht="9.9499999999999993" customHeight="1" x14ac:dyDescent="0.2">
      <c r="A20" s="135" t="s">
        <v>17</v>
      </c>
      <c r="B20" s="508" t="s">
        <v>48</v>
      </c>
      <c r="C20" s="508"/>
      <c r="D20" s="133" t="s">
        <v>25</v>
      </c>
      <c r="E20" s="38">
        <f t="shared" si="6"/>
        <v>5330720</v>
      </c>
      <c r="F20" s="39">
        <f t="shared" si="6"/>
        <v>5281020</v>
      </c>
      <c r="G20" s="39">
        <f t="shared" si="6"/>
        <v>2680483.12</v>
      </c>
      <c r="H20" s="10">
        <f t="shared" si="0"/>
        <v>50.756920443399189</v>
      </c>
      <c r="I20" s="40">
        <f t="shared" si="6"/>
        <v>5344475</v>
      </c>
      <c r="J20" s="240">
        <v>1000</v>
      </c>
      <c r="K20" s="218">
        <v>1000</v>
      </c>
      <c r="L20" s="218"/>
      <c r="M20" s="219">
        <f t="shared" si="2"/>
        <v>0</v>
      </c>
      <c r="N20" s="229"/>
      <c r="O20" s="217">
        <f>O19*34%-860+49700</f>
        <v>5329720</v>
      </c>
      <c r="P20" s="218">
        <v>5280020</v>
      </c>
      <c r="Q20" s="218">
        <v>2680483.12</v>
      </c>
      <c r="R20" s="219">
        <f t="shared" si="3"/>
        <v>50.766533460100526</v>
      </c>
      <c r="S20" s="229">
        <v>5344475</v>
      </c>
      <c r="T20" s="217"/>
      <c r="U20" s="218">
        <f>68000+1000</f>
        <v>69000</v>
      </c>
      <c r="V20" s="218">
        <f>34476.82+425.57</f>
        <v>34902.39</v>
      </c>
      <c r="W20" s="219">
        <f t="shared" si="4"/>
        <v>50.583173913043481</v>
      </c>
      <c r="X20" s="220"/>
    </row>
    <row r="21" spans="1:24" s="6" customFormat="1" ht="9.9499999999999993" customHeight="1" x14ac:dyDescent="0.2">
      <c r="A21" s="135" t="s">
        <v>18</v>
      </c>
      <c r="B21" s="508" t="s">
        <v>49</v>
      </c>
      <c r="C21" s="508"/>
      <c r="D21" s="133" t="s">
        <v>25</v>
      </c>
      <c r="E21" s="38">
        <f t="shared" si="6"/>
        <v>235480</v>
      </c>
      <c r="F21" s="39">
        <f t="shared" si="6"/>
        <v>235480</v>
      </c>
      <c r="G21" s="39">
        <f t="shared" si="6"/>
        <v>117773.79</v>
      </c>
      <c r="H21" s="10">
        <f t="shared" si="0"/>
        <v>50.014349413962968</v>
      </c>
      <c r="I21" s="40">
        <f t="shared" si="6"/>
        <v>191844</v>
      </c>
      <c r="J21" s="240">
        <v>2500</v>
      </c>
      <c r="K21" s="218">
        <v>2500</v>
      </c>
      <c r="L21" s="218"/>
      <c r="M21" s="219">
        <f t="shared" si="2"/>
        <v>0</v>
      </c>
      <c r="N21" s="229"/>
      <c r="O21" s="217">
        <f>O19*1.5%</f>
        <v>232980</v>
      </c>
      <c r="P21" s="218">
        <v>232980</v>
      </c>
      <c r="Q21" s="218">
        <v>117773.79</v>
      </c>
      <c r="R21" s="219">
        <f t="shared" si="3"/>
        <v>50.551030131341747</v>
      </c>
      <c r="S21" s="229">
        <v>191844</v>
      </c>
      <c r="T21" s="217"/>
      <c r="U21" s="218">
        <v>3000</v>
      </c>
      <c r="V21" s="218">
        <v>1547.71</v>
      </c>
      <c r="W21" s="219">
        <f t="shared" si="4"/>
        <v>51.590333333333341</v>
      </c>
      <c r="X21" s="220"/>
    </row>
    <row r="22" spans="1:24" s="6" customFormat="1" ht="9.9499999999999993" customHeight="1" x14ac:dyDescent="0.2">
      <c r="A22" s="135" t="s">
        <v>19</v>
      </c>
      <c r="B22" s="508" t="s">
        <v>62</v>
      </c>
      <c r="C22" s="508"/>
      <c r="D22" s="133" t="s">
        <v>25</v>
      </c>
      <c r="E22" s="38">
        <f t="shared" si="6"/>
        <v>0</v>
      </c>
      <c r="F22" s="39">
        <f t="shared" si="6"/>
        <v>0</v>
      </c>
      <c r="G22" s="39">
        <f t="shared" si="6"/>
        <v>0</v>
      </c>
      <c r="H22" s="10" t="e">
        <f t="shared" si="0"/>
        <v>#DIV/0!</v>
      </c>
      <c r="I22" s="40">
        <f t="shared" si="6"/>
        <v>0</v>
      </c>
      <c r="J22" s="240"/>
      <c r="K22" s="218"/>
      <c r="L22" s="218"/>
      <c r="M22" s="219" t="e">
        <f t="shared" si="2"/>
        <v>#DIV/0!</v>
      </c>
      <c r="N22" s="229"/>
      <c r="O22" s="217"/>
      <c r="P22" s="218"/>
      <c r="Q22" s="218"/>
      <c r="R22" s="219" t="e">
        <f t="shared" si="3"/>
        <v>#DIV/0!</v>
      </c>
      <c r="S22" s="229"/>
      <c r="T22" s="217"/>
      <c r="U22" s="218"/>
      <c r="V22" s="218"/>
      <c r="W22" s="219" t="e">
        <f t="shared" si="4"/>
        <v>#DIV/0!</v>
      </c>
      <c r="X22" s="220"/>
    </row>
    <row r="23" spans="1:24" s="6" customFormat="1" ht="9.9499999999999993" customHeight="1" x14ac:dyDescent="0.2">
      <c r="A23" s="135" t="s">
        <v>20</v>
      </c>
      <c r="B23" s="223" t="s">
        <v>101</v>
      </c>
      <c r="C23" s="223"/>
      <c r="D23" s="133" t="s">
        <v>25</v>
      </c>
      <c r="E23" s="38">
        <f t="shared" si="6"/>
        <v>0</v>
      </c>
      <c r="F23" s="39">
        <f t="shared" si="6"/>
        <v>0</v>
      </c>
      <c r="G23" s="39">
        <f t="shared" si="6"/>
        <v>0</v>
      </c>
      <c r="H23" s="10" t="e">
        <f t="shared" si="0"/>
        <v>#DIV/0!</v>
      </c>
      <c r="I23" s="40">
        <f t="shared" si="6"/>
        <v>0</v>
      </c>
      <c r="J23" s="240"/>
      <c r="K23" s="218"/>
      <c r="L23" s="218"/>
      <c r="M23" s="219" t="e">
        <f t="shared" si="2"/>
        <v>#DIV/0!</v>
      </c>
      <c r="N23" s="229"/>
      <c r="O23" s="217"/>
      <c r="P23" s="218"/>
      <c r="Q23" s="218"/>
      <c r="R23" s="219" t="e">
        <f t="shared" si="3"/>
        <v>#DIV/0!</v>
      </c>
      <c r="S23" s="229"/>
      <c r="T23" s="217"/>
      <c r="U23" s="218"/>
      <c r="V23" s="218"/>
      <c r="W23" s="219" t="e">
        <f t="shared" si="4"/>
        <v>#DIV/0!</v>
      </c>
      <c r="X23" s="220"/>
    </row>
    <row r="24" spans="1:24" s="6" customFormat="1" ht="9.9499999999999993" customHeight="1" x14ac:dyDescent="0.2">
      <c r="A24" s="135" t="s">
        <v>21</v>
      </c>
      <c r="B24" s="223" t="s">
        <v>110</v>
      </c>
      <c r="C24" s="223"/>
      <c r="D24" s="133" t="s">
        <v>25</v>
      </c>
      <c r="E24" s="38">
        <f t="shared" si="6"/>
        <v>0</v>
      </c>
      <c r="F24" s="39">
        <f t="shared" si="6"/>
        <v>0</v>
      </c>
      <c r="G24" s="39">
        <f t="shared" si="6"/>
        <v>0</v>
      </c>
      <c r="H24" s="10" t="e">
        <f t="shared" si="0"/>
        <v>#DIV/0!</v>
      </c>
      <c r="I24" s="40">
        <f t="shared" si="6"/>
        <v>0</v>
      </c>
      <c r="J24" s="240"/>
      <c r="K24" s="218"/>
      <c r="L24" s="218"/>
      <c r="M24" s="219" t="e">
        <f t="shared" si="2"/>
        <v>#DIV/0!</v>
      </c>
      <c r="N24" s="229"/>
      <c r="O24" s="217"/>
      <c r="P24" s="218"/>
      <c r="Q24" s="218"/>
      <c r="R24" s="219" t="e">
        <f t="shared" si="3"/>
        <v>#DIV/0!</v>
      </c>
      <c r="S24" s="229"/>
      <c r="T24" s="217"/>
      <c r="U24" s="218"/>
      <c r="V24" s="218"/>
      <c r="W24" s="219" t="e">
        <f t="shared" si="4"/>
        <v>#DIV/0!</v>
      </c>
      <c r="X24" s="220"/>
    </row>
    <row r="25" spans="1:24" s="13" customFormat="1" ht="9.9499999999999993" customHeight="1" x14ac:dyDescent="0.2">
      <c r="A25" s="135" t="s">
        <v>22</v>
      </c>
      <c r="B25" s="223" t="s">
        <v>63</v>
      </c>
      <c r="C25" s="223"/>
      <c r="D25" s="133" t="s">
        <v>25</v>
      </c>
      <c r="E25" s="38">
        <f t="shared" si="6"/>
        <v>0</v>
      </c>
      <c r="F25" s="39">
        <f t="shared" si="6"/>
        <v>0</v>
      </c>
      <c r="G25" s="39">
        <f t="shared" si="6"/>
        <v>0</v>
      </c>
      <c r="H25" s="14" t="e">
        <f>G25/F25*100</f>
        <v>#DIV/0!</v>
      </c>
      <c r="I25" s="40">
        <f>SUM(N25,S25)</f>
        <v>1214</v>
      </c>
      <c r="J25" s="240"/>
      <c r="K25" s="271"/>
      <c r="L25" s="271"/>
      <c r="M25" s="219" t="e">
        <f t="shared" si="2"/>
        <v>#DIV/0!</v>
      </c>
      <c r="N25" s="272">
        <v>1214</v>
      </c>
      <c r="O25" s="273"/>
      <c r="P25" s="271"/>
      <c r="Q25" s="271"/>
      <c r="R25" s="219" t="e">
        <f t="shared" si="3"/>
        <v>#DIV/0!</v>
      </c>
      <c r="S25" s="274"/>
      <c r="T25" s="273"/>
      <c r="U25" s="271"/>
      <c r="V25" s="271"/>
      <c r="W25" s="219" t="e">
        <f t="shared" si="4"/>
        <v>#DIV/0!</v>
      </c>
      <c r="X25" s="275"/>
    </row>
    <row r="26" spans="1:24" s="6" customFormat="1" ht="9.9499999999999993" customHeight="1" x14ac:dyDescent="0.2">
      <c r="A26" s="135" t="s">
        <v>23</v>
      </c>
      <c r="B26" s="511" t="s">
        <v>64</v>
      </c>
      <c r="C26" s="512"/>
      <c r="D26" s="133" t="s">
        <v>25</v>
      </c>
      <c r="E26" s="38">
        <f t="shared" si="6"/>
        <v>1520219</v>
      </c>
      <c r="F26" s="39">
        <f t="shared" si="6"/>
        <v>1846982</v>
      </c>
      <c r="G26" s="39">
        <f t="shared" si="6"/>
        <v>824007</v>
      </c>
      <c r="H26" s="10">
        <f t="shared" si="0"/>
        <v>44.613699537948939</v>
      </c>
      <c r="I26" s="40">
        <f t="shared" si="6"/>
        <v>639700</v>
      </c>
      <c r="J26" s="240">
        <v>1520219</v>
      </c>
      <c r="K26" s="276">
        <f>1520219+326763</f>
        <v>1846982</v>
      </c>
      <c r="L26" s="276">
        <v>824007</v>
      </c>
      <c r="M26" s="219">
        <f t="shared" si="2"/>
        <v>44.613699537948939</v>
      </c>
      <c r="N26" s="272">
        <v>639700</v>
      </c>
      <c r="O26" s="277"/>
      <c r="P26" s="276"/>
      <c r="Q26" s="276"/>
      <c r="R26" s="219" t="e">
        <f t="shared" si="3"/>
        <v>#DIV/0!</v>
      </c>
      <c r="S26" s="272"/>
      <c r="T26" s="273">
        <v>11035</v>
      </c>
      <c r="U26" s="271">
        <v>11035</v>
      </c>
      <c r="V26" s="218"/>
      <c r="W26" s="219">
        <f t="shared" si="4"/>
        <v>0</v>
      </c>
      <c r="X26" s="275"/>
    </row>
    <row r="27" spans="1:24" s="13" customFormat="1" ht="9.9499999999999993" customHeight="1" x14ac:dyDescent="0.2">
      <c r="A27" s="135" t="s">
        <v>44</v>
      </c>
      <c r="B27" s="236" t="s">
        <v>65</v>
      </c>
      <c r="C27" s="237"/>
      <c r="D27" s="133" t="s">
        <v>25</v>
      </c>
      <c r="E27" s="38">
        <f t="shared" si="6"/>
        <v>0</v>
      </c>
      <c r="F27" s="39">
        <f t="shared" si="6"/>
        <v>0</v>
      </c>
      <c r="G27" s="39">
        <f t="shared" si="6"/>
        <v>0</v>
      </c>
      <c r="H27" s="14" t="e">
        <f t="shared" si="0"/>
        <v>#DIV/0!</v>
      </c>
      <c r="I27" s="40">
        <f t="shared" si="6"/>
        <v>0</v>
      </c>
      <c r="J27" s="240"/>
      <c r="K27" s="276"/>
      <c r="L27" s="276"/>
      <c r="M27" s="219" t="e">
        <f t="shared" si="2"/>
        <v>#DIV/0!</v>
      </c>
      <c r="N27" s="229"/>
      <c r="O27" s="277"/>
      <c r="P27" s="276"/>
      <c r="Q27" s="276"/>
      <c r="R27" s="219" t="e">
        <f t="shared" si="3"/>
        <v>#DIV/0!</v>
      </c>
      <c r="S27" s="272"/>
      <c r="T27" s="273"/>
      <c r="U27" s="271"/>
      <c r="V27" s="218"/>
      <c r="W27" s="219" t="e">
        <f t="shared" si="4"/>
        <v>#DIV/0!</v>
      </c>
      <c r="X27" s="275"/>
    </row>
    <row r="28" spans="1:24" s="13" customFormat="1" ht="9.9499999999999993" customHeight="1" x14ac:dyDescent="0.2">
      <c r="A28" s="135" t="s">
        <v>50</v>
      </c>
      <c r="B28" s="236" t="s">
        <v>91</v>
      </c>
      <c r="C28" s="237"/>
      <c r="D28" s="133" t="s">
        <v>25</v>
      </c>
      <c r="E28" s="38">
        <f>SUM(J28,O28)</f>
        <v>146905</v>
      </c>
      <c r="F28" s="39">
        <f>SUM(K28,P28)</f>
        <v>266905</v>
      </c>
      <c r="G28" s="39">
        <f>SUM(L28,Q28)</f>
        <v>120280.92</v>
      </c>
      <c r="H28" s="14">
        <f>G28/F28*100</f>
        <v>45.065068095389741</v>
      </c>
      <c r="I28" s="40">
        <f>SUM(N28,S28)</f>
        <v>143279</v>
      </c>
      <c r="J28" s="240">
        <v>96905</v>
      </c>
      <c r="K28" s="276">
        <f>96905+20000</f>
        <v>116905</v>
      </c>
      <c r="L28" s="276">
        <f>120280.92-22944</f>
        <v>97336.92</v>
      </c>
      <c r="M28" s="219">
        <f t="shared" si="2"/>
        <v>83.261554253453667</v>
      </c>
      <c r="N28" s="229">
        <v>17098</v>
      </c>
      <c r="O28" s="277">
        <v>50000</v>
      </c>
      <c r="P28" s="276">
        <v>150000</v>
      </c>
      <c r="Q28" s="276">
        <v>22944</v>
      </c>
      <c r="R28" s="219">
        <f t="shared" si="3"/>
        <v>15.296000000000001</v>
      </c>
      <c r="S28" s="272">
        <v>126181</v>
      </c>
      <c r="T28" s="273"/>
      <c r="U28" s="271"/>
      <c r="V28" s="218"/>
      <c r="W28" s="219" t="e">
        <f t="shared" si="4"/>
        <v>#DIV/0!</v>
      </c>
      <c r="X28" s="275"/>
    </row>
    <row r="29" spans="1:24" s="15" customFormat="1" ht="9.9499999999999993" customHeight="1" x14ac:dyDescent="0.2">
      <c r="A29" s="135" t="s">
        <v>51</v>
      </c>
      <c r="B29" s="236" t="s">
        <v>66</v>
      </c>
      <c r="C29" s="237"/>
      <c r="D29" s="133" t="s">
        <v>25</v>
      </c>
      <c r="E29" s="38">
        <f t="shared" si="6"/>
        <v>1000</v>
      </c>
      <c r="F29" s="39">
        <f t="shared" si="6"/>
        <v>1470</v>
      </c>
      <c r="G29" s="39">
        <f t="shared" si="6"/>
        <v>1470</v>
      </c>
      <c r="H29" s="14">
        <f t="shared" si="0"/>
        <v>100</v>
      </c>
      <c r="I29" s="40">
        <f t="shared" si="6"/>
        <v>988</v>
      </c>
      <c r="J29" s="240">
        <v>1000</v>
      </c>
      <c r="K29" s="276">
        <f>1000+470</f>
        <v>1470</v>
      </c>
      <c r="L29" s="276">
        <v>1470</v>
      </c>
      <c r="M29" s="219">
        <f t="shared" si="2"/>
        <v>100</v>
      </c>
      <c r="N29" s="272">
        <v>988</v>
      </c>
      <c r="O29" s="277"/>
      <c r="P29" s="276"/>
      <c r="Q29" s="276"/>
      <c r="R29" s="219" t="e">
        <f t="shared" si="3"/>
        <v>#DIV/0!</v>
      </c>
      <c r="S29" s="272"/>
      <c r="T29" s="273"/>
      <c r="U29" s="271"/>
      <c r="V29" s="218"/>
      <c r="W29" s="219" t="e">
        <f t="shared" si="4"/>
        <v>#DIV/0!</v>
      </c>
      <c r="X29" s="275"/>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40">
        <f>SUM(N30,S30)</f>
        <v>0</v>
      </c>
      <c r="J30" s="240"/>
      <c r="K30" s="276"/>
      <c r="L30" s="276"/>
      <c r="M30" s="219" t="e">
        <f t="shared" si="2"/>
        <v>#DIV/0!</v>
      </c>
      <c r="N30" s="272"/>
      <c r="O30" s="277"/>
      <c r="P30" s="276"/>
      <c r="Q30" s="276"/>
      <c r="R30" s="219" t="e">
        <f t="shared" si="3"/>
        <v>#DIV/0!</v>
      </c>
      <c r="S30" s="272"/>
      <c r="T30" s="273"/>
      <c r="U30" s="271"/>
      <c r="V30" s="218"/>
      <c r="W30" s="219" t="e">
        <f t="shared" si="4"/>
        <v>#DIV/0!</v>
      </c>
      <c r="X30" s="275"/>
    </row>
    <row r="31" spans="1:24" s="23" customFormat="1" ht="9.75" x14ac:dyDescent="0.2">
      <c r="A31" s="135" t="s">
        <v>54</v>
      </c>
      <c r="B31" s="236" t="s">
        <v>67</v>
      </c>
      <c r="C31" s="237"/>
      <c r="D31" s="133" t="s">
        <v>25</v>
      </c>
      <c r="E31" s="38">
        <f t="shared" si="7"/>
        <v>0</v>
      </c>
      <c r="F31" s="39">
        <f t="shared" si="7"/>
        <v>0</v>
      </c>
      <c r="G31" s="39">
        <f t="shared" si="7"/>
        <v>0</v>
      </c>
      <c r="H31" s="14" t="e">
        <f t="shared" si="0"/>
        <v>#DIV/0!</v>
      </c>
      <c r="I31" s="40">
        <f>SUM(N31,S31)</f>
        <v>0</v>
      </c>
      <c r="J31" s="240"/>
      <c r="K31" s="281"/>
      <c r="L31" s="281"/>
      <c r="M31" s="219" t="e">
        <f t="shared" si="2"/>
        <v>#DIV/0!</v>
      </c>
      <c r="N31" s="282"/>
      <c r="O31" s="283"/>
      <c r="P31" s="281"/>
      <c r="Q31" s="281"/>
      <c r="R31" s="219" t="e">
        <f t="shared" si="3"/>
        <v>#DIV/0!</v>
      </c>
      <c r="S31" s="282"/>
      <c r="T31" s="284"/>
      <c r="U31" s="285"/>
      <c r="V31" s="285"/>
      <c r="W31" s="219" t="e">
        <f t="shared" si="4"/>
        <v>#DIV/0!</v>
      </c>
      <c r="X31" s="286"/>
    </row>
    <row r="32" spans="1:24" s="23" customFormat="1" ht="9.75" x14ac:dyDescent="0.2">
      <c r="A32" s="238" t="s">
        <v>55</v>
      </c>
      <c r="B32" s="233" t="s">
        <v>68</v>
      </c>
      <c r="C32" s="239"/>
      <c r="D32" s="235" t="s">
        <v>25</v>
      </c>
      <c r="E32" s="42">
        <f>SUM(J32,O32)</f>
        <v>0</v>
      </c>
      <c r="F32" s="43">
        <f>SUM(K32,P32)</f>
        <v>0</v>
      </c>
      <c r="G32" s="43">
        <f>SUM(L32,Q32)</f>
        <v>0</v>
      </c>
      <c r="H32" s="16" t="e">
        <f t="shared" si="0"/>
        <v>#DIV/0!</v>
      </c>
      <c r="I32" s="44">
        <f>SUM(N32,S32)</f>
        <v>0</v>
      </c>
      <c r="J32" s="287"/>
      <c r="K32" s="288"/>
      <c r="L32" s="288"/>
      <c r="M32" s="219" t="e">
        <f t="shared" si="2"/>
        <v>#DIV/0!</v>
      </c>
      <c r="N32" s="289"/>
      <c r="O32" s="290"/>
      <c r="P32" s="288"/>
      <c r="Q32" s="288"/>
      <c r="R32" s="219" t="e">
        <f t="shared" si="3"/>
        <v>#DIV/0!</v>
      </c>
      <c r="S32" s="289"/>
      <c r="T32" s="290"/>
      <c r="U32" s="288"/>
      <c r="V32" s="288"/>
      <c r="W32" s="219" t="e">
        <f t="shared" si="4"/>
        <v>#DIV/0!</v>
      </c>
      <c r="X32" s="291"/>
    </row>
    <row r="33" spans="1:24" s="23" customFormat="1" ht="9.75" x14ac:dyDescent="0.2">
      <c r="A33" s="134" t="s">
        <v>56</v>
      </c>
      <c r="B33" s="21" t="s">
        <v>102</v>
      </c>
      <c r="C33" s="22"/>
      <c r="D33" s="20" t="s">
        <v>25</v>
      </c>
      <c r="E33" s="29">
        <f>E6-E11</f>
        <v>0</v>
      </c>
      <c r="F33" s="29">
        <f>F6-F11</f>
        <v>25200</v>
      </c>
      <c r="G33" s="29">
        <f>G6-G11</f>
        <v>241173.42999999784</v>
      </c>
      <c r="H33" s="25">
        <f t="shared" si="0"/>
        <v>957.037420634912</v>
      </c>
      <c r="I33" s="29">
        <f>I6-I11</f>
        <v>158679.80000000075</v>
      </c>
      <c r="J33" s="140">
        <f>J6-J11</f>
        <v>0</v>
      </c>
      <c r="K33" s="29">
        <f>K6-K11</f>
        <v>25200</v>
      </c>
      <c r="L33" s="29">
        <f>L6-L11</f>
        <v>241173.47999999952</v>
      </c>
      <c r="M33" s="19">
        <f t="shared" ref="M33" si="8">L33/K33*100</f>
        <v>957.03761904761711</v>
      </c>
      <c r="N33" s="29">
        <f>N6-N11</f>
        <v>158680</v>
      </c>
      <c r="O33" s="29">
        <f>O6-O11</f>
        <v>0</v>
      </c>
      <c r="P33" s="29">
        <f>P6-P11</f>
        <v>0</v>
      </c>
      <c r="Q33" s="29">
        <f>Q6-Q11</f>
        <v>-5.000000074505806E-2</v>
      </c>
      <c r="R33" s="19" t="e">
        <f t="shared" ref="R33" si="9">Q33/P33*100</f>
        <v>#DIV/0!</v>
      </c>
      <c r="S33" s="29">
        <f>S6-S11</f>
        <v>-0.19999999925494194</v>
      </c>
      <c r="T33" s="29">
        <f>T6-T11</f>
        <v>38165</v>
      </c>
      <c r="U33" s="29">
        <f>U6-U11</f>
        <v>183245</v>
      </c>
      <c r="V33" s="29">
        <f>V6-V11</f>
        <v>81175.899999999965</v>
      </c>
      <c r="W33" s="19">
        <f t="shared" ref="W33" si="10">V33/U33*100</f>
        <v>44.299107751916807</v>
      </c>
      <c r="X33" s="29">
        <f>X6-X11</f>
        <v>337769</v>
      </c>
    </row>
    <row r="34" spans="1:24" s="4" customFormat="1" ht="9" x14ac:dyDescent="0.2">
      <c r="A34" s="224" t="s">
        <v>57</v>
      </c>
      <c r="B34" s="509" t="s">
        <v>24</v>
      </c>
      <c r="C34" s="510"/>
      <c r="D34" s="136" t="s">
        <v>25</v>
      </c>
      <c r="E34" s="196">
        <f>E19/E35/12</f>
        <v>22640.524007386888</v>
      </c>
      <c r="F34" s="197">
        <f>F19/F35/12</f>
        <v>22640.524007386888</v>
      </c>
      <c r="G34" s="197">
        <f>G19/G35/6</f>
        <v>23281.606148953088</v>
      </c>
      <c r="H34" s="12">
        <f t="shared" si="0"/>
        <v>102.83156936366417</v>
      </c>
      <c r="I34" s="256">
        <v>22855</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198">
        <v>57.76</v>
      </c>
      <c r="F35" s="199">
        <v>57.76</v>
      </c>
      <c r="G35" s="199">
        <v>56.594999999999999</v>
      </c>
      <c r="H35" s="261">
        <f t="shared" si="0"/>
        <v>97.98303324099723</v>
      </c>
      <c r="I35" s="301">
        <v>56</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62</v>
      </c>
      <c r="F36" s="201">
        <v>62</v>
      </c>
      <c r="G36" s="201">
        <v>60.956000000000003</v>
      </c>
      <c r="H36" s="259">
        <f t="shared" si="0"/>
        <v>98.316129032258075</v>
      </c>
      <c r="I36" s="260">
        <v>62</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tabSelected="1" zoomScaleNormal="100" workbookViewId="0">
      <selection activeCell="A29" sqref="A29:I29"/>
    </sheetView>
  </sheetViews>
  <sheetFormatPr defaultRowHeight="12.75" x14ac:dyDescent="0.2"/>
  <cols>
    <col min="1" max="1" width="74.75" style="28" customWidth="1"/>
    <col min="2" max="9" width="23.75" style="28" customWidth="1"/>
    <col min="16" max="16" width="15.5" bestFit="1" customWidth="1"/>
  </cols>
  <sheetData>
    <row r="1" spans="1:14" ht="18.75" x14ac:dyDescent="0.3">
      <c r="A1" s="75" t="s">
        <v>82</v>
      </c>
      <c r="B1" s="75"/>
      <c r="C1" s="75"/>
      <c r="D1" s="75"/>
      <c r="E1" s="75"/>
      <c r="F1" s="75"/>
      <c r="G1" s="75"/>
      <c r="H1" s="75"/>
      <c r="I1" s="75"/>
    </row>
    <row r="2" spans="1:14" x14ac:dyDescent="0.2">
      <c r="A2" s="74"/>
      <c r="B2" s="74"/>
      <c r="C2" s="74"/>
      <c r="D2" s="74"/>
      <c r="E2" s="74"/>
      <c r="F2" s="74"/>
      <c r="G2" s="74"/>
      <c r="H2" s="74"/>
      <c r="I2" s="74"/>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06" t="s">
        <v>25</v>
      </c>
      <c r="D5" s="472" t="s">
        <v>113</v>
      </c>
      <c r="E5" s="472"/>
      <c r="F5" s="472"/>
      <c r="G5" s="472"/>
      <c r="H5" s="472"/>
      <c r="I5" s="472"/>
    </row>
    <row r="6" spans="1:14" s="102" customFormat="1" ht="315" customHeight="1" x14ac:dyDescent="0.2">
      <c r="A6" s="467" t="s">
        <v>70</v>
      </c>
      <c r="B6" s="468"/>
      <c r="C6" s="180">
        <v>180147.64</v>
      </c>
      <c r="D6" s="476" t="s">
        <v>264</v>
      </c>
      <c r="E6" s="549"/>
      <c r="F6" s="549"/>
      <c r="G6" s="549"/>
      <c r="H6" s="549"/>
      <c r="I6" s="550"/>
    </row>
    <row r="7" spans="1:14" s="104" customFormat="1" ht="25.5" customHeight="1" x14ac:dyDescent="0.15">
      <c r="A7" s="467" t="s">
        <v>38</v>
      </c>
      <c r="B7" s="468"/>
      <c r="C7" s="180">
        <v>28691</v>
      </c>
      <c r="D7" s="482" t="s">
        <v>182</v>
      </c>
      <c r="E7" s="551"/>
      <c r="F7" s="551"/>
      <c r="G7" s="551"/>
      <c r="H7" s="551"/>
      <c r="I7" s="552"/>
    </row>
    <row r="8" spans="1:14" s="104" customFormat="1" ht="10.5" x14ac:dyDescent="0.15">
      <c r="A8" s="467" t="s">
        <v>71</v>
      </c>
      <c r="B8" s="468"/>
      <c r="C8" s="180">
        <v>180978.43</v>
      </c>
      <c r="D8" s="591"/>
      <c r="E8" s="592"/>
      <c r="F8" s="592"/>
      <c r="G8" s="592"/>
      <c r="H8" s="592"/>
      <c r="I8" s="593"/>
    </row>
    <row r="9" spans="1:14" s="102" customFormat="1" ht="11.25" customHeight="1"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147" customHeight="1" x14ac:dyDescent="0.2">
      <c r="A13" s="205" t="s">
        <v>72</v>
      </c>
      <c r="B13" s="185">
        <v>137350.51999999999</v>
      </c>
      <c r="C13" s="185">
        <v>167229.14000000001</v>
      </c>
      <c r="D13" s="185">
        <v>147731.14000000001</v>
      </c>
      <c r="E13" s="185">
        <v>157048.51999999999</v>
      </c>
      <c r="F13" s="436">
        <v>157048.51999999999</v>
      </c>
      <c r="G13" s="476" t="s">
        <v>183</v>
      </c>
      <c r="H13" s="549"/>
      <c r="I13" s="550"/>
    </row>
    <row r="14" spans="1:14" s="102" customFormat="1" ht="113.25" customHeight="1" x14ac:dyDescent="0.2">
      <c r="A14" s="207" t="s">
        <v>106</v>
      </c>
      <c r="B14" s="181">
        <v>108064</v>
      </c>
      <c r="C14" s="181">
        <v>763761.14</v>
      </c>
      <c r="D14" s="181">
        <v>763761.14</v>
      </c>
      <c r="E14" s="181">
        <v>108064</v>
      </c>
      <c r="F14" s="182">
        <v>108064</v>
      </c>
      <c r="G14" s="482" t="s">
        <v>184</v>
      </c>
      <c r="H14" s="551"/>
      <c r="I14" s="552"/>
      <c r="N14" s="109"/>
    </row>
    <row r="15" spans="1:14" s="102" customFormat="1" ht="57" customHeight="1" x14ac:dyDescent="0.2">
      <c r="A15" s="207" t="s">
        <v>73</v>
      </c>
      <c r="B15" s="181">
        <v>43945.98</v>
      </c>
      <c r="C15" s="181">
        <v>0</v>
      </c>
      <c r="D15" s="181">
        <v>1610</v>
      </c>
      <c r="E15" s="181">
        <v>42335.98</v>
      </c>
      <c r="F15" s="182">
        <v>42335.98</v>
      </c>
      <c r="G15" s="482" t="s">
        <v>185</v>
      </c>
      <c r="H15" s="551"/>
      <c r="I15" s="552"/>
    </row>
    <row r="16" spans="1:14" s="102" customFormat="1" ht="191.25" customHeight="1" x14ac:dyDescent="0.2">
      <c r="A16" s="209" t="s">
        <v>97</v>
      </c>
      <c r="B16" s="187">
        <v>63943.519999999997</v>
      </c>
      <c r="C16" s="187">
        <v>60788</v>
      </c>
      <c r="D16" s="187">
        <v>34021</v>
      </c>
      <c r="E16" s="187">
        <v>90710.52</v>
      </c>
      <c r="F16" s="210">
        <v>90710.52</v>
      </c>
      <c r="G16" s="483" t="s">
        <v>265</v>
      </c>
      <c r="H16" s="553"/>
      <c r="I16" s="554"/>
    </row>
    <row r="17" spans="1:9" s="102" customFormat="1" ht="11.25" x14ac:dyDescent="0.2">
      <c r="A17" s="371" t="s">
        <v>34</v>
      </c>
      <c r="B17" s="184">
        <f>SUM(B13:B16)</f>
        <v>353304.02</v>
      </c>
      <c r="C17" s="184">
        <f t="shared" ref="C17:F17" si="0">SUM(C13:C16)</f>
        <v>991778.28</v>
      </c>
      <c r="D17" s="184">
        <f t="shared" si="0"/>
        <v>947123.28</v>
      </c>
      <c r="E17" s="184">
        <f t="shared" si="0"/>
        <v>398159.02</v>
      </c>
      <c r="F17" s="184">
        <f t="shared" si="0"/>
        <v>398159.02</v>
      </c>
      <c r="G17" s="633"/>
      <c r="H17" s="633"/>
      <c r="I17" s="633"/>
    </row>
    <row r="18" spans="1:9" s="127" customFormat="1" ht="11.25" x14ac:dyDescent="0.2">
      <c r="A18" s="178"/>
      <c r="B18" s="178"/>
      <c r="C18" s="105"/>
      <c r="D18" s="178"/>
      <c r="E18" s="178"/>
      <c r="F18" s="178"/>
      <c r="G18" s="178"/>
      <c r="H18" s="178"/>
      <c r="I18" s="178"/>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customHeight="1" x14ac:dyDescent="0.2">
      <c r="A21" s="620" t="s">
        <v>119</v>
      </c>
      <c r="B21" s="621"/>
      <c r="C21" s="621"/>
      <c r="D21" s="621"/>
      <c r="E21" s="621"/>
      <c r="F21" s="621"/>
      <c r="G21" s="621"/>
      <c r="H21" s="621"/>
      <c r="I21" s="622"/>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5.5" customHeight="1" x14ac:dyDescent="0.15">
      <c r="A33" s="585" t="s">
        <v>186</v>
      </c>
      <c r="B33" s="586"/>
      <c r="C33" s="586"/>
      <c r="D33" s="586"/>
      <c r="E33" s="586"/>
      <c r="F33" s="586"/>
      <c r="G33" s="586"/>
      <c r="H33" s="586"/>
      <c r="I33" s="587"/>
    </row>
  </sheetData>
  <mergeCells count="24">
    <mergeCell ref="G15:I15"/>
    <mergeCell ref="G17:I17"/>
    <mergeCell ref="A19:I19"/>
    <mergeCell ref="A21:I21"/>
    <mergeCell ref="A25:I25"/>
    <mergeCell ref="G16:I16"/>
    <mergeCell ref="A27:I27"/>
    <mergeCell ref="A31:I31"/>
    <mergeCell ref="A33:I33"/>
    <mergeCell ref="A23:I23"/>
    <mergeCell ref="A29:I29"/>
    <mergeCell ref="A7:B7"/>
    <mergeCell ref="D7:I7"/>
    <mergeCell ref="G12:I12"/>
    <mergeCell ref="G13:I13"/>
    <mergeCell ref="G14:I14"/>
    <mergeCell ref="A8:B8"/>
    <mergeCell ref="D8:I8"/>
    <mergeCell ref="A10:I10"/>
    <mergeCell ref="A3:I3"/>
    <mergeCell ref="A5:B5"/>
    <mergeCell ref="D5:I5"/>
    <mergeCell ref="A6:B6"/>
    <mergeCell ref="D6:I6"/>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1111" enableFormatConditionsCalculation="0">
    <tabColor rgb="FF92D050"/>
  </sheetPr>
  <dimension ref="A1:AE68"/>
  <sheetViews>
    <sheetView tabSelected="1" zoomScaleNormal="100" workbookViewId="0">
      <selection activeCell="A29" sqref="A29:I29"/>
    </sheetView>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529" t="s">
        <v>90</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34"/>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42"/>
      <c r="B4" s="535"/>
      <c r="C4" s="536"/>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19"/>
      <c r="B5" s="537"/>
      <c r="C5" s="538"/>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7508550</v>
      </c>
      <c r="F6" s="29">
        <f>SUM(F7:F9)</f>
        <v>7544550</v>
      </c>
      <c r="G6" s="29">
        <f>SUM(G7:G9)</f>
        <v>3843951</v>
      </c>
      <c r="H6" s="24">
        <f t="shared" ref="H6:H36" si="0">G6/F6*100</f>
        <v>50.950036781517781</v>
      </c>
      <c r="I6" s="29">
        <f>SUM(I7:I9)</f>
        <v>3619185</v>
      </c>
      <c r="J6" s="29">
        <f>SUM(J7:J9)</f>
        <v>2224350</v>
      </c>
      <c r="K6" s="29">
        <f t="shared" ref="K6:L6" si="1">SUM(K7:K9)</f>
        <v>2260350</v>
      </c>
      <c r="L6" s="29">
        <f t="shared" si="1"/>
        <v>1298128</v>
      </c>
      <c r="M6" s="24">
        <f t="shared" ref="M6:M33" si="2">L6/K6*100</f>
        <v>57.43039794722057</v>
      </c>
      <c r="N6" s="30">
        <f t="shared" ref="N6:Q6" si="3">SUM(N7:N9)</f>
        <v>1194595</v>
      </c>
      <c r="O6" s="29">
        <f t="shared" si="3"/>
        <v>5284200</v>
      </c>
      <c r="P6" s="29">
        <f t="shared" si="3"/>
        <v>5284200</v>
      </c>
      <c r="Q6" s="29">
        <f t="shared" si="3"/>
        <v>2545823</v>
      </c>
      <c r="R6" s="24">
        <f t="shared" ref="R6:R33" si="4">Q6/P6*100</f>
        <v>48.178021270958709</v>
      </c>
      <c r="S6" s="29">
        <f t="shared" ref="S6" si="5">SUM(S7:S9)</f>
        <v>2424590</v>
      </c>
      <c r="T6" s="29">
        <f t="shared" ref="T6:X6" si="6">SUM(T7:T9)</f>
        <v>0</v>
      </c>
      <c r="U6" s="29">
        <f t="shared" si="6"/>
        <v>0</v>
      </c>
      <c r="V6" s="29">
        <f t="shared" si="6"/>
        <v>0</v>
      </c>
      <c r="W6" s="24" t="e">
        <f t="shared" ref="W6:W33" si="7">V6/U6*100</f>
        <v>#DIV/0!</v>
      </c>
      <c r="X6" s="29">
        <f t="shared" si="6"/>
        <v>0</v>
      </c>
    </row>
    <row r="7" spans="1:24" s="6" customFormat="1" ht="9.9499999999999993" customHeight="1" x14ac:dyDescent="0.2">
      <c r="A7" s="130" t="s">
        <v>2</v>
      </c>
      <c r="B7" s="522" t="s">
        <v>45</v>
      </c>
      <c r="C7" s="523"/>
      <c r="D7" s="131" t="s">
        <v>25</v>
      </c>
      <c r="E7" s="32">
        <f t="shared" ref="E7:G10" si="8">SUM(J7,O7)</f>
        <v>780000</v>
      </c>
      <c r="F7" s="33">
        <f t="shared" si="8"/>
        <v>816000</v>
      </c>
      <c r="G7" s="33">
        <f t="shared" si="8"/>
        <v>575953</v>
      </c>
      <c r="H7" s="9">
        <f t="shared" si="0"/>
        <v>70.582475490196089</v>
      </c>
      <c r="I7" s="34">
        <f>SUM(N7,S7)</f>
        <v>524270</v>
      </c>
      <c r="J7" s="262">
        <v>780000</v>
      </c>
      <c r="K7" s="35">
        <v>816000</v>
      </c>
      <c r="L7" s="35">
        <v>575953</v>
      </c>
      <c r="M7" s="157">
        <f t="shared" si="2"/>
        <v>70.582475490196089</v>
      </c>
      <c r="N7" s="302">
        <v>524270</v>
      </c>
      <c r="O7" s="263"/>
      <c r="P7" s="35"/>
      <c r="Q7" s="35"/>
      <c r="R7" s="154" t="e">
        <f t="shared" si="4"/>
        <v>#DIV/0!</v>
      </c>
      <c r="S7" s="302"/>
      <c r="T7" s="147"/>
      <c r="U7" s="35"/>
      <c r="V7" s="35"/>
      <c r="W7" s="9" t="e">
        <f t="shared" si="7"/>
        <v>#DIV/0!</v>
      </c>
      <c r="X7" s="65"/>
    </row>
    <row r="8" spans="1:24" s="6" customFormat="1" ht="9.9499999999999993" customHeight="1" x14ac:dyDescent="0.2">
      <c r="A8" s="132" t="s">
        <v>3</v>
      </c>
      <c r="B8" s="524" t="s">
        <v>46</v>
      </c>
      <c r="C8" s="525"/>
      <c r="D8" s="133" t="s">
        <v>25</v>
      </c>
      <c r="E8" s="38">
        <f t="shared" si="8"/>
        <v>0</v>
      </c>
      <c r="F8" s="39">
        <f t="shared" si="8"/>
        <v>0</v>
      </c>
      <c r="G8" s="39">
        <f t="shared" si="8"/>
        <v>0</v>
      </c>
      <c r="H8" s="10" t="e">
        <f t="shared" si="0"/>
        <v>#DIV/0!</v>
      </c>
      <c r="I8" s="229">
        <f>SUM(N8,S8)</f>
        <v>0</v>
      </c>
      <c r="J8" s="243"/>
      <c r="K8" s="218"/>
      <c r="L8" s="218"/>
      <c r="M8" s="158" t="e">
        <f t="shared" si="2"/>
        <v>#DIV/0!</v>
      </c>
      <c r="N8" s="229"/>
      <c r="O8" s="217"/>
      <c r="P8" s="218"/>
      <c r="Q8" s="218"/>
      <c r="R8" s="155" t="e">
        <f t="shared" si="4"/>
        <v>#DIV/0!</v>
      </c>
      <c r="S8" s="229"/>
      <c r="T8" s="145"/>
      <c r="U8" s="39"/>
      <c r="V8" s="39"/>
      <c r="W8" s="10" t="e">
        <f t="shared" si="7"/>
        <v>#DIV/0!</v>
      </c>
      <c r="X8" s="41"/>
    </row>
    <row r="9" spans="1:24" s="6" customFormat="1" ht="9.9499999999999993" customHeight="1" x14ac:dyDescent="0.2">
      <c r="A9" s="232" t="s">
        <v>4</v>
      </c>
      <c r="B9" s="233" t="s">
        <v>60</v>
      </c>
      <c r="C9" s="234"/>
      <c r="D9" s="235" t="s">
        <v>25</v>
      </c>
      <c r="E9" s="42">
        <f t="shared" si="8"/>
        <v>6728550</v>
      </c>
      <c r="F9" s="43">
        <f t="shared" si="8"/>
        <v>6728550</v>
      </c>
      <c r="G9" s="43">
        <f t="shared" si="8"/>
        <v>3267998</v>
      </c>
      <c r="H9" s="26">
        <f t="shared" si="0"/>
        <v>48.569127077899395</v>
      </c>
      <c r="I9" s="230">
        <f>SUM(N9,S9)</f>
        <v>3094915</v>
      </c>
      <c r="J9" s="244">
        <v>1444350</v>
      </c>
      <c r="K9" s="264">
        <v>1444350</v>
      </c>
      <c r="L9" s="264">
        <v>722175</v>
      </c>
      <c r="M9" s="159">
        <f t="shared" si="2"/>
        <v>50</v>
      </c>
      <c r="N9" s="230">
        <v>670325</v>
      </c>
      <c r="O9" s="221">
        <v>5284200</v>
      </c>
      <c r="P9" s="264">
        <v>5284200</v>
      </c>
      <c r="Q9" s="264">
        <v>2545823</v>
      </c>
      <c r="R9" s="156">
        <f t="shared" si="4"/>
        <v>48.178021270958709</v>
      </c>
      <c r="S9" s="230">
        <v>2424590</v>
      </c>
      <c r="T9" s="148"/>
      <c r="U9" s="43"/>
      <c r="V9" s="43"/>
      <c r="W9" s="26" t="e">
        <f t="shared" si="7"/>
        <v>#DIV/0!</v>
      </c>
      <c r="X9" s="45"/>
    </row>
    <row r="10" spans="1:24" s="6" customFormat="1" ht="9.9499999999999993" customHeight="1" x14ac:dyDescent="0.2">
      <c r="A10" s="134" t="s">
        <v>5</v>
      </c>
      <c r="B10" s="526" t="s">
        <v>7</v>
      </c>
      <c r="C10" s="527"/>
      <c r="D10" s="20" t="s">
        <v>25</v>
      </c>
      <c r="E10" s="46">
        <f t="shared" si="8"/>
        <v>0</v>
      </c>
      <c r="F10" s="46">
        <f t="shared" si="8"/>
        <v>0</v>
      </c>
      <c r="G10" s="46">
        <f t="shared" si="8"/>
        <v>0</v>
      </c>
      <c r="H10" s="24" t="e">
        <f t="shared" si="0"/>
        <v>#DIV/0!</v>
      </c>
      <c r="I10" s="47">
        <f>SUM(N10,S10)</f>
        <v>0</v>
      </c>
      <c r="J10" s="31"/>
      <c r="K10" s="46"/>
      <c r="L10" s="46"/>
      <c r="M10" s="24" t="e">
        <f t="shared" si="2"/>
        <v>#DIV/0!</v>
      </c>
      <c r="N10" s="47"/>
      <c r="O10" s="46"/>
      <c r="P10" s="46"/>
      <c r="Q10" s="46"/>
      <c r="R10" s="24" t="e">
        <f t="shared" si="4"/>
        <v>#DIV/0!</v>
      </c>
      <c r="S10" s="47"/>
      <c r="T10" s="46"/>
      <c r="U10" s="46"/>
      <c r="V10" s="46"/>
      <c r="W10" s="24" t="e">
        <f t="shared" si="7"/>
        <v>#DIV/0!</v>
      </c>
      <c r="X10" s="46"/>
    </row>
    <row r="11" spans="1:24" s="6" customFormat="1" ht="9.9499999999999993" customHeight="1" x14ac:dyDescent="0.2">
      <c r="A11" s="134" t="s">
        <v>6</v>
      </c>
      <c r="B11" s="526" t="s">
        <v>9</v>
      </c>
      <c r="C11" s="527"/>
      <c r="D11" s="20" t="s">
        <v>25</v>
      </c>
      <c r="E11" s="29">
        <f>SUM(E12:E31)</f>
        <v>7508550</v>
      </c>
      <c r="F11" s="29">
        <f>SUM(F12:F31)</f>
        <v>7544550</v>
      </c>
      <c r="G11" s="29">
        <f>SUM(G12:G31)</f>
        <v>3580325</v>
      </c>
      <c r="H11" s="24">
        <f t="shared" si="0"/>
        <v>47.455779337402497</v>
      </c>
      <c r="I11" s="30">
        <f>SUM(I12:I31)</f>
        <v>3264535</v>
      </c>
      <c r="J11" s="29">
        <f>SUM(J12:J31)</f>
        <v>2224350</v>
      </c>
      <c r="K11" s="29">
        <f>SUM(K12:K31)</f>
        <v>2260350</v>
      </c>
      <c r="L11" s="29">
        <f>SUM(L12:L31)</f>
        <v>1034502</v>
      </c>
      <c r="M11" s="24">
        <f t="shared" si="2"/>
        <v>45.76733691684916</v>
      </c>
      <c r="N11" s="30">
        <f>SUM(N12:N31)</f>
        <v>839945</v>
      </c>
      <c r="O11" s="29">
        <f>SUM(O12:O31)</f>
        <v>5284200</v>
      </c>
      <c r="P11" s="29">
        <f>SUM(P12:P31)</f>
        <v>5284200</v>
      </c>
      <c r="Q11" s="29">
        <f>SUM(Q12:Q31)</f>
        <v>2545823</v>
      </c>
      <c r="R11" s="24">
        <f t="shared" si="4"/>
        <v>48.178021270958709</v>
      </c>
      <c r="S11" s="30">
        <f>SUM(S12:S31)</f>
        <v>2424590</v>
      </c>
      <c r="T11" s="29">
        <f>SUM(T12:T31)</f>
        <v>0</v>
      </c>
      <c r="U11" s="29">
        <f>SUM(U12:U31)</f>
        <v>0</v>
      </c>
      <c r="V11" s="29">
        <f>SUM(V12:V31)</f>
        <v>0</v>
      </c>
      <c r="W11" s="24" t="e">
        <f t="shared" si="7"/>
        <v>#DIV/0!</v>
      </c>
      <c r="X11" s="29">
        <f>SUM(X12:X31)</f>
        <v>0</v>
      </c>
    </row>
    <row r="12" spans="1:24" s="6" customFormat="1" ht="9.9499999999999993" customHeight="1" x14ac:dyDescent="0.2">
      <c r="A12" s="130" t="s">
        <v>8</v>
      </c>
      <c r="B12" s="528" t="s">
        <v>28</v>
      </c>
      <c r="C12" s="528"/>
      <c r="D12" s="131" t="s">
        <v>25</v>
      </c>
      <c r="E12" s="32">
        <f t="shared" ref="E12:I29" si="9">SUM(J12,O12)</f>
        <v>661786</v>
      </c>
      <c r="F12" s="33">
        <f t="shared" si="9"/>
        <v>661786</v>
      </c>
      <c r="G12" s="33">
        <f t="shared" si="9"/>
        <v>419903</v>
      </c>
      <c r="H12" s="9">
        <f t="shared" si="0"/>
        <v>63.449967209944006</v>
      </c>
      <c r="I12" s="34">
        <f t="shared" si="9"/>
        <v>425933</v>
      </c>
      <c r="J12" s="266">
        <v>651786</v>
      </c>
      <c r="K12" s="48">
        <v>651786</v>
      </c>
      <c r="L12" s="48">
        <v>419903</v>
      </c>
      <c r="M12" s="157">
        <f t="shared" si="2"/>
        <v>64.423445732188171</v>
      </c>
      <c r="N12" s="303">
        <v>422163</v>
      </c>
      <c r="O12" s="267">
        <v>10000</v>
      </c>
      <c r="P12" s="48">
        <v>10000</v>
      </c>
      <c r="Q12" s="48"/>
      <c r="R12" s="157">
        <f t="shared" si="4"/>
        <v>0</v>
      </c>
      <c r="S12" s="304">
        <v>3770</v>
      </c>
      <c r="T12" s="50"/>
      <c r="U12" s="48"/>
      <c r="V12" s="48"/>
      <c r="W12" s="9" t="e">
        <f t="shared" si="7"/>
        <v>#DIV/0!</v>
      </c>
      <c r="X12" s="52"/>
    </row>
    <row r="13" spans="1:24" s="6" customFormat="1" ht="9.9499999999999993" customHeight="1" x14ac:dyDescent="0.2">
      <c r="A13" s="135" t="s">
        <v>10</v>
      </c>
      <c r="B13" s="508" t="s">
        <v>29</v>
      </c>
      <c r="C13" s="508"/>
      <c r="D13" s="133" t="s">
        <v>25</v>
      </c>
      <c r="E13" s="38">
        <f t="shared" si="9"/>
        <v>740000</v>
      </c>
      <c r="F13" s="39">
        <f t="shared" si="9"/>
        <v>740000</v>
      </c>
      <c r="G13" s="39">
        <f t="shared" si="9"/>
        <v>118736</v>
      </c>
      <c r="H13" s="10">
        <f t="shared" si="0"/>
        <v>16.045405405405404</v>
      </c>
      <c r="I13" s="229">
        <f t="shared" si="9"/>
        <v>97493</v>
      </c>
      <c r="J13" s="240">
        <v>740000</v>
      </c>
      <c r="K13" s="218">
        <v>740000</v>
      </c>
      <c r="L13" s="218">
        <v>118736</v>
      </c>
      <c r="M13" s="158">
        <f t="shared" si="2"/>
        <v>16.045405405405404</v>
      </c>
      <c r="N13" s="229">
        <v>97493</v>
      </c>
      <c r="O13" s="217"/>
      <c r="P13" s="218"/>
      <c r="Q13" s="218"/>
      <c r="R13" s="158" t="e">
        <f t="shared" si="4"/>
        <v>#DIV/0!</v>
      </c>
      <c r="S13" s="229"/>
      <c r="T13" s="38"/>
      <c r="U13" s="39"/>
      <c r="V13" s="39"/>
      <c r="W13" s="10" t="e">
        <f t="shared" si="7"/>
        <v>#DIV/0!</v>
      </c>
      <c r="X13" s="41"/>
    </row>
    <row r="14" spans="1:24" s="6" customFormat="1" ht="9.9499999999999993" customHeight="1" x14ac:dyDescent="0.2">
      <c r="A14" s="135" t="s">
        <v>11</v>
      </c>
      <c r="B14" s="236" t="s">
        <v>61</v>
      </c>
      <c r="C14" s="237"/>
      <c r="D14" s="133" t="s">
        <v>25</v>
      </c>
      <c r="E14" s="38">
        <f t="shared" si="9"/>
        <v>0</v>
      </c>
      <c r="F14" s="39">
        <f t="shared" si="9"/>
        <v>0</v>
      </c>
      <c r="G14" s="39">
        <f t="shared" si="9"/>
        <v>0</v>
      </c>
      <c r="H14" s="10" t="e">
        <f t="shared" si="0"/>
        <v>#DIV/0!</v>
      </c>
      <c r="I14" s="229">
        <f t="shared" si="9"/>
        <v>0</v>
      </c>
      <c r="J14" s="240"/>
      <c r="K14" s="218"/>
      <c r="L14" s="218"/>
      <c r="M14" s="158" t="e">
        <f t="shared" si="2"/>
        <v>#DIV/0!</v>
      </c>
      <c r="N14" s="229"/>
      <c r="O14" s="217"/>
      <c r="P14" s="218"/>
      <c r="Q14" s="218"/>
      <c r="R14" s="158" t="e">
        <f t="shared" si="4"/>
        <v>#DIV/0!</v>
      </c>
      <c r="S14" s="229"/>
      <c r="T14" s="38"/>
      <c r="U14" s="39"/>
      <c r="V14" s="39"/>
      <c r="W14" s="10" t="e">
        <f t="shared" si="7"/>
        <v>#DIV/0!</v>
      </c>
      <c r="X14" s="41"/>
    </row>
    <row r="15" spans="1:24" s="6" customFormat="1" ht="9.9499999999999993" customHeight="1" x14ac:dyDescent="0.2">
      <c r="A15" s="135" t="s">
        <v>12</v>
      </c>
      <c r="B15" s="511" t="s">
        <v>109</v>
      </c>
      <c r="C15" s="512"/>
      <c r="D15" s="133" t="s">
        <v>25</v>
      </c>
      <c r="E15" s="38">
        <f t="shared" si="9"/>
        <v>321000</v>
      </c>
      <c r="F15" s="39">
        <f t="shared" si="9"/>
        <v>321000</v>
      </c>
      <c r="G15" s="39">
        <f t="shared" si="9"/>
        <v>174072</v>
      </c>
      <c r="H15" s="10">
        <f t="shared" si="0"/>
        <v>54.228037383177572</v>
      </c>
      <c r="I15" s="229">
        <f t="shared" si="9"/>
        <v>155312</v>
      </c>
      <c r="J15" s="240">
        <v>321000</v>
      </c>
      <c r="K15" s="218">
        <v>321000</v>
      </c>
      <c r="L15" s="218">
        <v>174072</v>
      </c>
      <c r="M15" s="158">
        <f t="shared" si="2"/>
        <v>54.228037383177572</v>
      </c>
      <c r="N15" s="229">
        <v>155312</v>
      </c>
      <c r="O15" s="217"/>
      <c r="P15" s="218"/>
      <c r="Q15" s="218"/>
      <c r="R15" s="158" t="e">
        <f t="shared" si="4"/>
        <v>#DIV/0!</v>
      </c>
      <c r="S15" s="229"/>
      <c r="T15" s="38"/>
      <c r="U15" s="39"/>
      <c r="V15" s="39"/>
      <c r="W15" s="10" t="e">
        <f t="shared" si="7"/>
        <v>#DIV/0!</v>
      </c>
      <c r="X15" s="41"/>
    </row>
    <row r="16" spans="1:24" s="6" customFormat="1" ht="9.9499999999999993" customHeight="1" x14ac:dyDescent="0.2">
      <c r="A16" s="135" t="s">
        <v>13</v>
      </c>
      <c r="B16" s="511" t="s">
        <v>30</v>
      </c>
      <c r="C16" s="512"/>
      <c r="D16" s="133" t="s">
        <v>25</v>
      </c>
      <c r="E16" s="38">
        <f t="shared" si="9"/>
        <v>2000</v>
      </c>
      <c r="F16" s="39">
        <f t="shared" si="9"/>
        <v>2000</v>
      </c>
      <c r="G16" s="39">
        <f t="shared" si="9"/>
        <v>152</v>
      </c>
      <c r="H16" s="10">
        <f t="shared" si="0"/>
        <v>7.6</v>
      </c>
      <c r="I16" s="229">
        <f t="shared" si="9"/>
        <v>0</v>
      </c>
      <c r="J16" s="240">
        <v>2000</v>
      </c>
      <c r="K16" s="218">
        <v>2000</v>
      </c>
      <c r="L16" s="218">
        <v>152</v>
      </c>
      <c r="M16" s="158">
        <f t="shared" si="2"/>
        <v>7.6</v>
      </c>
      <c r="N16" s="229"/>
      <c r="O16" s="217"/>
      <c r="P16" s="218"/>
      <c r="Q16" s="218"/>
      <c r="R16" s="158" t="e">
        <f t="shared" si="4"/>
        <v>#DIV/0!</v>
      </c>
      <c r="S16" s="229"/>
      <c r="T16" s="38"/>
      <c r="U16" s="39"/>
      <c r="V16" s="39"/>
      <c r="W16" s="10" t="e">
        <f t="shared" si="7"/>
        <v>#DIV/0!</v>
      </c>
      <c r="X16" s="41"/>
    </row>
    <row r="17" spans="1:24" s="6" customFormat="1" ht="9.9499999999999993" customHeight="1" x14ac:dyDescent="0.2">
      <c r="A17" s="135" t="s">
        <v>14</v>
      </c>
      <c r="B17" s="236" t="s">
        <v>47</v>
      </c>
      <c r="C17" s="237"/>
      <c r="D17" s="133" t="s">
        <v>25</v>
      </c>
      <c r="E17" s="38">
        <f t="shared" si="9"/>
        <v>1000</v>
      </c>
      <c r="F17" s="39">
        <f t="shared" si="9"/>
        <v>1000</v>
      </c>
      <c r="G17" s="39">
        <f t="shared" si="9"/>
        <v>0</v>
      </c>
      <c r="H17" s="10">
        <f t="shared" si="0"/>
        <v>0</v>
      </c>
      <c r="I17" s="229">
        <f t="shared" si="9"/>
        <v>0</v>
      </c>
      <c r="J17" s="240">
        <v>1000</v>
      </c>
      <c r="K17" s="218">
        <v>1000</v>
      </c>
      <c r="L17" s="218"/>
      <c r="M17" s="158">
        <f t="shared" si="2"/>
        <v>0</v>
      </c>
      <c r="N17" s="229"/>
      <c r="O17" s="217"/>
      <c r="P17" s="218"/>
      <c r="Q17" s="218"/>
      <c r="R17" s="158" t="e">
        <f t="shared" si="4"/>
        <v>#DIV/0!</v>
      </c>
      <c r="S17" s="229"/>
      <c r="T17" s="38"/>
      <c r="U17" s="39"/>
      <c r="V17" s="39"/>
      <c r="W17" s="10" t="e">
        <f t="shared" si="7"/>
        <v>#DIV/0!</v>
      </c>
      <c r="X17" s="41"/>
    </row>
    <row r="18" spans="1:24" s="6" customFormat="1" ht="9.9499999999999993" customHeight="1" x14ac:dyDescent="0.2">
      <c r="A18" s="135" t="s">
        <v>15</v>
      </c>
      <c r="B18" s="511" t="s">
        <v>31</v>
      </c>
      <c r="C18" s="512"/>
      <c r="D18" s="133" t="s">
        <v>25</v>
      </c>
      <c r="E18" s="38">
        <f t="shared" si="9"/>
        <v>198220</v>
      </c>
      <c r="F18" s="39">
        <f t="shared" si="9"/>
        <v>185289</v>
      </c>
      <c r="G18" s="39">
        <f t="shared" si="9"/>
        <v>82213</v>
      </c>
      <c r="H18" s="10">
        <f t="shared" si="0"/>
        <v>44.37014609609853</v>
      </c>
      <c r="I18" s="229">
        <f t="shared" si="9"/>
        <v>76673</v>
      </c>
      <c r="J18" s="240">
        <v>196220</v>
      </c>
      <c r="K18" s="218">
        <v>183289</v>
      </c>
      <c r="L18" s="218">
        <v>82213</v>
      </c>
      <c r="M18" s="158">
        <f t="shared" si="2"/>
        <v>44.854301131000767</v>
      </c>
      <c r="N18" s="229">
        <v>76023</v>
      </c>
      <c r="O18" s="217">
        <v>2000</v>
      </c>
      <c r="P18" s="218">
        <v>2000</v>
      </c>
      <c r="Q18" s="218"/>
      <c r="R18" s="158">
        <f t="shared" si="4"/>
        <v>0</v>
      </c>
      <c r="S18" s="229">
        <v>650</v>
      </c>
      <c r="T18" s="38"/>
      <c r="U18" s="39"/>
      <c r="V18" s="39"/>
      <c r="W18" s="10" t="e">
        <f t="shared" si="7"/>
        <v>#DIV/0!</v>
      </c>
      <c r="X18" s="41"/>
    </row>
    <row r="19" spans="1:24" s="11" customFormat="1" ht="9.9499999999999993" customHeight="1" x14ac:dyDescent="0.2">
      <c r="A19" s="135" t="s">
        <v>16</v>
      </c>
      <c r="B19" s="508" t="s">
        <v>32</v>
      </c>
      <c r="C19" s="508"/>
      <c r="D19" s="133" t="s">
        <v>25</v>
      </c>
      <c r="E19" s="38">
        <f t="shared" si="9"/>
        <v>3860000</v>
      </c>
      <c r="F19" s="39">
        <f t="shared" si="9"/>
        <v>3896000</v>
      </c>
      <c r="G19" s="39">
        <f t="shared" si="9"/>
        <v>1911787</v>
      </c>
      <c r="H19" s="10">
        <f t="shared" si="0"/>
        <v>49.070508213552358</v>
      </c>
      <c r="I19" s="229">
        <f t="shared" si="9"/>
        <v>1791229</v>
      </c>
      <c r="J19" s="241"/>
      <c r="K19" s="218">
        <v>36000</v>
      </c>
      <c r="L19" s="218">
        <v>36000</v>
      </c>
      <c r="M19" s="158">
        <f t="shared" si="2"/>
        <v>100</v>
      </c>
      <c r="N19" s="229"/>
      <c r="O19" s="217">
        <v>3860000</v>
      </c>
      <c r="P19" s="218">
        <v>3860000</v>
      </c>
      <c r="Q19" s="218">
        <v>1875787</v>
      </c>
      <c r="R19" s="158">
        <f t="shared" si="4"/>
        <v>48.595518134715029</v>
      </c>
      <c r="S19" s="229">
        <v>1791229</v>
      </c>
      <c r="T19" s="62"/>
      <c r="U19" s="53"/>
      <c r="V19" s="53"/>
      <c r="W19" s="10" t="e">
        <f t="shared" si="7"/>
        <v>#DIV/0!</v>
      </c>
      <c r="X19" s="66"/>
    </row>
    <row r="20" spans="1:24" s="6" customFormat="1" ht="9.9499999999999993" customHeight="1" x14ac:dyDescent="0.2">
      <c r="A20" s="135" t="s">
        <v>17</v>
      </c>
      <c r="B20" s="508" t="s">
        <v>48</v>
      </c>
      <c r="C20" s="508"/>
      <c r="D20" s="133" t="s">
        <v>25</v>
      </c>
      <c r="E20" s="38">
        <f t="shared" si="9"/>
        <v>1328612</v>
      </c>
      <c r="F20" s="39">
        <f t="shared" si="9"/>
        <v>1341003</v>
      </c>
      <c r="G20" s="39">
        <f t="shared" si="9"/>
        <v>652191</v>
      </c>
      <c r="H20" s="10">
        <f t="shared" si="0"/>
        <v>48.634566813049638</v>
      </c>
      <c r="I20" s="229">
        <f t="shared" si="9"/>
        <v>611029</v>
      </c>
      <c r="J20" s="240"/>
      <c r="K20" s="218">
        <v>12391</v>
      </c>
      <c r="L20" s="218">
        <v>12391</v>
      </c>
      <c r="M20" s="158">
        <f t="shared" si="2"/>
        <v>100</v>
      </c>
      <c r="N20" s="229"/>
      <c r="O20" s="217">
        <v>1328612</v>
      </c>
      <c r="P20" s="218">
        <v>1328612</v>
      </c>
      <c r="Q20" s="218">
        <v>639800</v>
      </c>
      <c r="R20" s="158">
        <f t="shared" si="4"/>
        <v>48.155518691687263</v>
      </c>
      <c r="S20" s="229">
        <v>611029</v>
      </c>
      <c r="T20" s="38"/>
      <c r="U20" s="39"/>
      <c r="V20" s="39"/>
      <c r="W20" s="10" t="e">
        <f t="shared" si="7"/>
        <v>#DIV/0!</v>
      </c>
      <c r="X20" s="41"/>
    </row>
    <row r="21" spans="1:24" s="6" customFormat="1" ht="9.9499999999999993" customHeight="1" x14ac:dyDescent="0.2">
      <c r="A21" s="135" t="s">
        <v>18</v>
      </c>
      <c r="B21" s="508" t="s">
        <v>49</v>
      </c>
      <c r="C21" s="508"/>
      <c r="D21" s="133" t="s">
        <v>25</v>
      </c>
      <c r="E21" s="38">
        <f t="shared" si="9"/>
        <v>90588</v>
      </c>
      <c r="F21" s="39">
        <f t="shared" si="9"/>
        <v>91128</v>
      </c>
      <c r="G21" s="39">
        <f t="shared" si="9"/>
        <v>30776</v>
      </c>
      <c r="H21" s="10">
        <f t="shared" si="0"/>
        <v>33.772276358528664</v>
      </c>
      <c r="I21" s="229">
        <f t="shared" si="9"/>
        <v>17912</v>
      </c>
      <c r="J21" s="240">
        <v>7000</v>
      </c>
      <c r="K21" s="218">
        <v>7540</v>
      </c>
      <c r="L21" s="218">
        <v>540</v>
      </c>
      <c r="M21" s="158">
        <f t="shared" si="2"/>
        <v>7.1618037135278518</v>
      </c>
      <c r="N21" s="229"/>
      <c r="O21" s="217">
        <v>83588</v>
      </c>
      <c r="P21" s="218">
        <v>83588</v>
      </c>
      <c r="Q21" s="218">
        <v>30236</v>
      </c>
      <c r="R21" s="158">
        <f t="shared" si="4"/>
        <v>36.172656362157248</v>
      </c>
      <c r="S21" s="229">
        <v>17912</v>
      </c>
      <c r="T21" s="38"/>
      <c r="U21" s="39"/>
      <c r="V21" s="39"/>
      <c r="W21" s="10" t="e">
        <f t="shared" si="7"/>
        <v>#DIV/0!</v>
      </c>
      <c r="X21" s="41"/>
    </row>
    <row r="22" spans="1:24" s="6" customFormat="1" ht="9.9499999999999993" customHeight="1" x14ac:dyDescent="0.2">
      <c r="A22" s="135" t="s">
        <v>19</v>
      </c>
      <c r="B22" s="508" t="s">
        <v>62</v>
      </c>
      <c r="C22" s="508"/>
      <c r="D22" s="133" t="s">
        <v>25</v>
      </c>
      <c r="E22" s="38">
        <f t="shared" si="9"/>
        <v>0</v>
      </c>
      <c r="F22" s="39">
        <f t="shared" si="9"/>
        <v>0</v>
      </c>
      <c r="G22" s="39">
        <f t="shared" si="9"/>
        <v>0</v>
      </c>
      <c r="H22" s="10" t="e">
        <f t="shared" si="0"/>
        <v>#DIV/0!</v>
      </c>
      <c r="I22" s="229">
        <f t="shared" si="9"/>
        <v>0</v>
      </c>
      <c r="J22" s="240"/>
      <c r="K22" s="218"/>
      <c r="L22" s="218"/>
      <c r="M22" s="158" t="e">
        <f t="shared" si="2"/>
        <v>#DIV/0!</v>
      </c>
      <c r="N22" s="229"/>
      <c r="O22" s="217"/>
      <c r="P22" s="218"/>
      <c r="Q22" s="218"/>
      <c r="R22" s="158" t="e">
        <f t="shared" si="4"/>
        <v>#DIV/0!</v>
      </c>
      <c r="S22" s="229"/>
      <c r="T22" s="38"/>
      <c r="U22" s="39"/>
      <c r="V22" s="39"/>
      <c r="W22" s="10" t="e">
        <f t="shared" si="7"/>
        <v>#DIV/0!</v>
      </c>
      <c r="X22" s="41"/>
    </row>
    <row r="23" spans="1:24" s="6" customFormat="1" ht="9.9499999999999993" customHeight="1" x14ac:dyDescent="0.2">
      <c r="A23" s="135" t="s">
        <v>20</v>
      </c>
      <c r="B23" s="223" t="s">
        <v>101</v>
      </c>
      <c r="C23" s="223"/>
      <c r="D23" s="133" t="s">
        <v>25</v>
      </c>
      <c r="E23" s="38">
        <f t="shared" si="9"/>
        <v>0</v>
      </c>
      <c r="F23" s="39">
        <f t="shared" si="9"/>
        <v>0</v>
      </c>
      <c r="G23" s="39">
        <f t="shared" si="9"/>
        <v>0</v>
      </c>
      <c r="H23" s="10" t="e">
        <f t="shared" si="0"/>
        <v>#DIV/0!</v>
      </c>
      <c r="I23" s="229">
        <f t="shared" si="9"/>
        <v>0</v>
      </c>
      <c r="J23" s="240"/>
      <c r="K23" s="218"/>
      <c r="L23" s="218"/>
      <c r="M23" s="158" t="e">
        <f t="shared" si="2"/>
        <v>#DIV/0!</v>
      </c>
      <c r="N23" s="229"/>
      <c r="O23" s="217"/>
      <c r="P23" s="218"/>
      <c r="Q23" s="218"/>
      <c r="R23" s="158" t="e">
        <f t="shared" si="4"/>
        <v>#DIV/0!</v>
      </c>
      <c r="S23" s="229"/>
      <c r="T23" s="38"/>
      <c r="U23" s="39"/>
      <c r="V23" s="39"/>
      <c r="W23" s="10" t="e">
        <f t="shared" si="7"/>
        <v>#DIV/0!</v>
      </c>
      <c r="X23" s="41"/>
    </row>
    <row r="24" spans="1:24" s="6" customFormat="1" ht="9.9499999999999993" customHeight="1" x14ac:dyDescent="0.2">
      <c r="A24" s="135" t="s">
        <v>21</v>
      </c>
      <c r="B24" s="223" t="s">
        <v>110</v>
      </c>
      <c r="C24" s="223"/>
      <c r="D24" s="133" t="s">
        <v>25</v>
      </c>
      <c r="E24" s="38">
        <f t="shared" si="9"/>
        <v>0</v>
      </c>
      <c r="F24" s="39">
        <f t="shared" si="9"/>
        <v>0</v>
      </c>
      <c r="G24" s="39">
        <f t="shared" si="9"/>
        <v>0</v>
      </c>
      <c r="H24" s="10" t="e">
        <f t="shared" si="0"/>
        <v>#DIV/0!</v>
      </c>
      <c r="I24" s="229">
        <f t="shared" si="9"/>
        <v>0</v>
      </c>
      <c r="J24" s="240"/>
      <c r="K24" s="218"/>
      <c r="L24" s="218"/>
      <c r="M24" s="158" t="e">
        <f t="shared" si="2"/>
        <v>#DIV/0!</v>
      </c>
      <c r="N24" s="229"/>
      <c r="O24" s="217"/>
      <c r="P24" s="218"/>
      <c r="Q24" s="218"/>
      <c r="R24" s="158" t="e">
        <f t="shared" si="4"/>
        <v>#DIV/0!</v>
      </c>
      <c r="S24" s="229"/>
      <c r="T24" s="38"/>
      <c r="U24" s="39"/>
      <c r="V24" s="39"/>
      <c r="W24" s="10" t="e">
        <f t="shared" si="7"/>
        <v>#DIV/0!</v>
      </c>
      <c r="X24" s="41"/>
    </row>
    <row r="25" spans="1:24" s="13" customFormat="1" ht="9.9499999999999993" customHeight="1" x14ac:dyDescent="0.2">
      <c r="A25" s="135" t="s">
        <v>22</v>
      </c>
      <c r="B25" s="223" t="s">
        <v>63</v>
      </c>
      <c r="C25" s="223"/>
      <c r="D25" s="133" t="s">
        <v>25</v>
      </c>
      <c r="E25" s="38">
        <f t="shared" si="9"/>
        <v>0</v>
      </c>
      <c r="F25" s="39">
        <f t="shared" si="9"/>
        <v>0</v>
      </c>
      <c r="G25" s="39">
        <f t="shared" si="9"/>
        <v>0</v>
      </c>
      <c r="H25" s="14" t="e">
        <f>G25/F25*100</f>
        <v>#DIV/0!</v>
      </c>
      <c r="I25" s="229">
        <f>SUM(N25,S25)</f>
        <v>0</v>
      </c>
      <c r="J25" s="240"/>
      <c r="K25" s="271"/>
      <c r="L25" s="271"/>
      <c r="M25" s="158" t="e">
        <f>L25/K25*100</f>
        <v>#DIV/0!</v>
      </c>
      <c r="N25" s="272"/>
      <c r="O25" s="273"/>
      <c r="P25" s="271"/>
      <c r="Q25" s="271"/>
      <c r="R25" s="158" t="e">
        <f>Q25/P25*100</f>
        <v>#DIV/0!</v>
      </c>
      <c r="S25" s="274"/>
      <c r="T25" s="305"/>
      <c r="U25" s="146"/>
      <c r="V25" s="146"/>
      <c r="W25" s="10" t="e">
        <f>V25/U25*100</f>
        <v>#DIV/0!</v>
      </c>
      <c r="X25" s="152"/>
    </row>
    <row r="26" spans="1:24" s="6" customFormat="1" ht="9.9499999999999993" customHeight="1" x14ac:dyDescent="0.2">
      <c r="A26" s="135" t="s">
        <v>23</v>
      </c>
      <c r="B26" s="511" t="s">
        <v>64</v>
      </c>
      <c r="C26" s="512"/>
      <c r="D26" s="133" t="s">
        <v>25</v>
      </c>
      <c r="E26" s="38">
        <f t="shared" si="9"/>
        <v>154344</v>
      </c>
      <c r="F26" s="39">
        <f t="shared" si="9"/>
        <v>154344</v>
      </c>
      <c r="G26" s="39">
        <f t="shared" si="9"/>
        <v>80622</v>
      </c>
      <c r="H26" s="10">
        <f t="shared" si="0"/>
        <v>52.235266677033124</v>
      </c>
      <c r="I26" s="229">
        <f t="shared" si="9"/>
        <v>66499</v>
      </c>
      <c r="J26" s="240">
        <v>154344</v>
      </c>
      <c r="K26" s="276">
        <v>154344</v>
      </c>
      <c r="L26" s="276">
        <v>80622</v>
      </c>
      <c r="M26" s="158">
        <f t="shared" si="2"/>
        <v>52.235266677033124</v>
      </c>
      <c r="N26" s="272">
        <v>66499</v>
      </c>
      <c r="O26" s="277"/>
      <c r="P26" s="276"/>
      <c r="Q26" s="276"/>
      <c r="R26" s="158" t="e">
        <f t="shared" si="4"/>
        <v>#DIV/0!</v>
      </c>
      <c r="S26" s="272"/>
      <c r="T26" s="56"/>
      <c r="U26" s="54"/>
      <c r="V26" s="54"/>
      <c r="W26" s="10" t="e">
        <f t="shared" si="7"/>
        <v>#DIV/0!</v>
      </c>
      <c r="X26" s="67"/>
    </row>
    <row r="27" spans="1:24" s="13" customFormat="1" ht="9.9499999999999993" customHeight="1" x14ac:dyDescent="0.2">
      <c r="A27" s="135" t="s">
        <v>44</v>
      </c>
      <c r="B27" s="236" t="s">
        <v>65</v>
      </c>
      <c r="C27" s="237"/>
      <c r="D27" s="133" t="s">
        <v>25</v>
      </c>
      <c r="E27" s="38">
        <f t="shared" si="9"/>
        <v>0</v>
      </c>
      <c r="F27" s="39">
        <f t="shared" si="9"/>
        <v>0</v>
      </c>
      <c r="G27" s="39">
        <f t="shared" si="9"/>
        <v>0</v>
      </c>
      <c r="H27" s="14" t="e">
        <f t="shared" si="0"/>
        <v>#DIV/0!</v>
      </c>
      <c r="I27" s="229">
        <f t="shared" si="9"/>
        <v>0</v>
      </c>
      <c r="J27" s="240"/>
      <c r="K27" s="276"/>
      <c r="L27" s="276"/>
      <c r="M27" s="158" t="e">
        <f t="shared" si="2"/>
        <v>#DIV/0!</v>
      </c>
      <c r="N27" s="229"/>
      <c r="O27" s="277"/>
      <c r="P27" s="276"/>
      <c r="Q27" s="276"/>
      <c r="R27" s="158" t="e">
        <f t="shared" si="4"/>
        <v>#DIV/0!</v>
      </c>
      <c r="S27" s="272"/>
      <c r="T27" s="305"/>
      <c r="U27" s="146"/>
      <c r="V27" s="146"/>
      <c r="W27" s="10" t="e">
        <f t="shared" si="7"/>
        <v>#DIV/0!</v>
      </c>
      <c r="X27" s="152"/>
    </row>
    <row r="28" spans="1:24" s="13" customFormat="1" ht="9.9499999999999993" customHeight="1" x14ac:dyDescent="0.2">
      <c r="A28" s="135" t="s">
        <v>50</v>
      </c>
      <c r="B28" s="236" t="s">
        <v>91</v>
      </c>
      <c r="C28" s="237"/>
      <c r="D28" s="133" t="s">
        <v>25</v>
      </c>
      <c r="E28" s="38">
        <f>SUM(J28,O28)</f>
        <v>150000</v>
      </c>
      <c r="F28" s="39">
        <f>SUM(K28,P28)</f>
        <v>150000</v>
      </c>
      <c r="G28" s="39">
        <f>SUM(L28,Q28)</f>
        <v>109208</v>
      </c>
      <c r="H28" s="14">
        <f>G28/F28*100</f>
        <v>72.805333333333337</v>
      </c>
      <c r="I28" s="229">
        <f>SUM(N28,S28)</f>
        <v>21790</v>
      </c>
      <c r="J28" s="240">
        <v>150000</v>
      </c>
      <c r="K28" s="276">
        <v>150000</v>
      </c>
      <c r="L28" s="276">
        <v>109208</v>
      </c>
      <c r="M28" s="158">
        <f>L28/K28*100</f>
        <v>72.805333333333337</v>
      </c>
      <c r="N28" s="229">
        <v>21790</v>
      </c>
      <c r="O28" s="277"/>
      <c r="P28" s="276"/>
      <c r="Q28" s="276"/>
      <c r="R28" s="158" t="e">
        <f>Q28/P28*100</f>
        <v>#DIV/0!</v>
      </c>
      <c r="S28" s="272"/>
      <c r="T28" s="305"/>
      <c r="U28" s="146"/>
      <c r="V28" s="146"/>
      <c r="W28" s="10" t="e">
        <f>V28/U28*100</f>
        <v>#DIV/0!</v>
      </c>
      <c r="X28" s="152"/>
    </row>
    <row r="29" spans="1:24" s="15" customFormat="1" ht="9.9499999999999993" customHeight="1" x14ac:dyDescent="0.2">
      <c r="A29" s="135" t="s">
        <v>51</v>
      </c>
      <c r="B29" s="236" t="s">
        <v>66</v>
      </c>
      <c r="C29" s="237"/>
      <c r="D29" s="133" t="s">
        <v>25</v>
      </c>
      <c r="E29" s="38">
        <f t="shared" si="9"/>
        <v>1000</v>
      </c>
      <c r="F29" s="39">
        <f t="shared" si="9"/>
        <v>1000</v>
      </c>
      <c r="G29" s="39">
        <f t="shared" si="9"/>
        <v>665</v>
      </c>
      <c r="H29" s="14">
        <f t="shared" si="0"/>
        <v>66.5</v>
      </c>
      <c r="I29" s="229">
        <f t="shared" si="9"/>
        <v>665</v>
      </c>
      <c r="J29" s="240">
        <v>1000</v>
      </c>
      <c r="K29" s="276">
        <v>1000</v>
      </c>
      <c r="L29" s="276">
        <v>665</v>
      </c>
      <c r="M29" s="158">
        <f t="shared" si="2"/>
        <v>66.5</v>
      </c>
      <c r="N29" s="272">
        <v>665</v>
      </c>
      <c r="O29" s="277"/>
      <c r="P29" s="276"/>
      <c r="Q29" s="276"/>
      <c r="R29" s="158" t="e">
        <f t="shared" si="4"/>
        <v>#DIV/0!</v>
      </c>
      <c r="S29" s="272"/>
      <c r="T29" s="305"/>
      <c r="U29" s="146"/>
      <c r="V29" s="146"/>
      <c r="W29" s="10" t="e">
        <f t="shared" si="7"/>
        <v>#DIV/0!</v>
      </c>
      <c r="X29" s="152"/>
    </row>
    <row r="30" spans="1:24" s="6" customFormat="1" ht="9.75" x14ac:dyDescent="0.2">
      <c r="A30" s="135" t="s">
        <v>53</v>
      </c>
      <c r="B30" s="236" t="s">
        <v>52</v>
      </c>
      <c r="C30" s="237"/>
      <c r="D30" s="133" t="s">
        <v>25</v>
      </c>
      <c r="E30" s="38">
        <f t="shared" ref="E30:G31" si="10">SUM(J30,O30)</f>
        <v>0</v>
      </c>
      <c r="F30" s="39">
        <f t="shared" si="10"/>
        <v>0</v>
      </c>
      <c r="G30" s="39">
        <f t="shared" si="10"/>
        <v>0</v>
      </c>
      <c r="H30" s="14" t="e">
        <f t="shared" si="0"/>
        <v>#DIV/0!</v>
      </c>
      <c r="I30" s="229">
        <f>SUM(N30,S30)</f>
        <v>0</v>
      </c>
      <c r="J30" s="240"/>
      <c r="K30" s="276"/>
      <c r="L30" s="276"/>
      <c r="M30" s="158" t="e">
        <f t="shared" si="2"/>
        <v>#DIV/0!</v>
      </c>
      <c r="N30" s="272"/>
      <c r="O30" s="277"/>
      <c r="P30" s="276"/>
      <c r="Q30" s="276"/>
      <c r="R30" s="158" t="e">
        <f t="shared" si="4"/>
        <v>#DIV/0!</v>
      </c>
      <c r="S30" s="272"/>
      <c r="T30" s="305"/>
      <c r="U30" s="146"/>
      <c r="V30" s="146"/>
      <c r="W30" s="10" t="e">
        <f t="shared" si="7"/>
        <v>#DIV/0!</v>
      </c>
      <c r="X30" s="152"/>
    </row>
    <row r="31" spans="1:24" s="23" customFormat="1" ht="9.75" x14ac:dyDescent="0.2">
      <c r="A31" s="135" t="s">
        <v>54</v>
      </c>
      <c r="B31" s="236" t="s">
        <v>67</v>
      </c>
      <c r="C31" s="237"/>
      <c r="D31" s="133" t="s">
        <v>25</v>
      </c>
      <c r="E31" s="38">
        <f t="shared" si="10"/>
        <v>0</v>
      </c>
      <c r="F31" s="39">
        <f t="shared" si="10"/>
        <v>0</v>
      </c>
      <c r="G31" s="39">
        <f t="shared" si="10"/>
        <v>0</v>
      </c>
      <c r="H31" s="14" t="e">
        <f t="shared" si="0"/>
        <v>#DIV/0!</v>
      </c>
      <c r="I31" s="229">
        <f>SUM(N31,S31)</f>
        <v>0</v>
      </c>
      <c r="J31" s="240"/>
      <c r="K31" s="281"/>
      <c r="L31" s="281"/>
      <c r="M31" s="158" t="e">
        <f t="shared" si="2"/>
        <v>#DIV/0!</v>
      </c>
      <c r="N31" s="282"/>
      <c r="O31" s="283"/>
      <c r="P31" s="281"/>
      <c r="Q31" s="281"/>
      <c r="R31" s="158" t="e">
        <f t="shared" si="4"/>
        <v>#DIV/0!</v>
      </c>
      <c r="S31" s="282"/>
      <c r="T31" s="88"/>
      <c r="U31" s="89"/>
      <c r="V31" s="89"/>
      <c r="W31" s="10" t="e">
        <f t="shared" si="7"/>
        <v>#DIV/0!</v>
      </c>
      <c r="X31" s="90"/>
    </row>
    <row r="32" spans="1:24" s="23" customFormat="1" ht="9.75" x14ac:dyDescent="0.2">
      <c r="A32" s="238" t="s">
        <v>55</v>
      </c>
      <c r="B32" s="233" t="s">
        <v>68</v>
      </c>
      <c r="C32" s="239"/>
      <c r="D32" s="235" t="s">
        <v>25</v>
      </c>
      <c r="E32" s="42">
        <f>SUM(J32,O32)</f>
        <v>0</v>
      </c>
      <c r="F32" s="43">
        <f>SUM(K32,P32)</f>
        <v>0</v>
      </c>
      <c r="G32" s="43">
        <f>SUM(L32,Q32)</f>
        <v>0</v>
      </c>
      <c r="H32" s="16" t="e">
        <f t="shared" si="0"/>
        <v>#DIV/0!</v>
      </c>
      <c r="I32" s="230">
        <f>SUM(N32,S32)</f>
        <v>0</v>
      </c>
      <c r="J32" s="287"/>
      <c r="K32" s="288"/>
      <c r="L32" s="288"/>
      <c r="M32" s="159" t="e">
        <f t="shared" si="2"/>
        <v>#DIV/0!</v>
      </c>
      <c r="N32" s="289"/>
      <c r="O32" s="290"/>
      <c r="P32" s="288"/>
      <c r="Q32" s="288"/>
      <c r="R32" s="159" t="e">
        <f t="shared" si="4"/>
        <v>#DIV/0!</v>
      </c>
      <c r="S32" s="289"/>
      <c r="T32" s="64"/>
      <c r="U32" s="61"/>
      <c r="V32" s="61"/>
      <c r="W32" s="26" t="e">
        <f t="shared" si="7"/>
        <v>#DIV/0!</v>
      </c>
      <c r="X32" s="69"/>
    </row>
    <row r="33" spans="1:31" s="23" customFormat="1" ht="9.75" x14ac:dyDescent="0.2">
      <c r="A33" s="134" t="s">
        <v>56</v>
      </c>
      <c r="B33" s="21" t="s">
        <v>102</v>
      </c>
      <c r="C33" s="22"/>
      <c r="D33" s="20" t="s">
        <v>25</v>
      </c>
      <c r="E33" s="29">
        <f>E6-E11</f>
        <v>0</v>
      </c>
      <c r="F33" s="29">
        <f>F6-F11</f>
        <v>0</v>
      </c>
      <c r="G33" s="29">
        <f>G6-G11</f>
        <v>263626</v>
      </c>
      <c r="H33" s="25" t="e">
        <f t="shared" si="0"/>
        <v>#DIV/0!</v>
      </c>
      <c r="I33" s="30">
        <f>I6-I11</f>
        <v>354650</v>
      </c>
      <c r="J33" s="29">
        <f>J6-J11</f>
        <v>0</v>
      </c>
      <c r="K33" s="29">
        <f>K6-K11</f>
        <v>0</v>
      </c>
      <c r="L33" s="29">
        <f>L6-L11</f>
        <v>263626</v>
      </c>
      <c r="M33" s="19" t="e">
        <f t="shared" si="2"/>
        <v>#DIV/0!</v>
      </c>
      <c r="N33" s="29">
        <f>N6-N11</f>
        <v>354650</v>
      </c>
      <c r="O33" s="29">
        <f>O6-O11</f>
        <v>0</v>
      </c>
      <c r="P33" s="29">
        <f>P6-P11</f>
        <v>0</v>
      </c>
      <c r="Q33" s="29">
        <f>Q6-Q11</f>
        <v>0</v>
      </c>
      <c r="R33" s="19" t="e">
        <f t="shared" si="4"/>
        <v>#DIV/0!</v>
      </c>
      <c r="S33" s="29">
        <f>S6-S11</f>
        <v>0</v>
      </c>
      <c r="T33" s="29">
        <f>T6-T11</f>
        <v>0</v>
      </c>
      <c r="U33" s="29">
        <f>U6-U11</f>
        <v>0</v>
      </c>
      <c r="V33" s="29">
        <f>V6-V11</f>
        <v>0</v>
      </c>
      <c r="W33" s="19" t="e">
        <f t="shared" si="7"/>
        <v>#DIV/0!</v>
      </c>
      <c r="X33" s="29">
        <f>X6-X11</f>
        <v>0</v>
      </c>
    </row>
    <row r="34" spans="1:31" ht="9" x14ac:dyDescent="0.2">
      <c r="A34" s="224" t="s">
        <v>57</v>
      </c>
      <c r="B34" s="509" t="s">
        <v>24</v>
      </c>
      <c r="C34" s="510"/>
      <c r="D34" s="136" t="s">
        <v>25</v>
      </c>
      <c r="E34" s="196">
        <v>19626</v>
      </c>
      <c r="F34" s="197">
        <v>20266</v>
      </c>
      <c r="G34" s="197">
        <v>19890</v>
      </c>
      <c r="H34" s="12">
        <f t="shared" si="0"/>
        <v>98.144675811704332</v>
      </c>
      <c r="I34" s="256">
        <v>18181</v>
      </c>
      <c r="J34" s="502"/>
      <c r="K34" s="503"/>
      <c r="L34" s="503"/>
      <c r="M34" s="503"/>
      <c r="N34" s="503"/>
      <c r="O34" s="503"/>
      <c r="P34" s="503"/>
      <c r="Q34" s="503"/>
      <c r="R34" s="503"/>
      <c r="S34" s="503"/>
      <c r="T34" s="503"/>
      <c r="U34" s="503"/>
      <c r="V34" s="503"/>
      <c r="W34" s="503"/>
      <c r="X34" s="504"/>
    </row>
    <row r="35" spans="1:31" ht="9" x14ac:dyDescent="0.2">
      <c r="A35" s="137" t="s">
        <v>58</v>
      </c>
      <c r="B35" s="498" t="s">
        <v>33</v>
      </c>
      <c r="C35" s="499"/>
      <c r="D35" s="137" t="s">
        <v>26</v>
      </c>
      <c r="E35" s="198">
        <v>16.39</v>
      </c>
      <c r="F35" s="199">
        <v>16.02</v>
      </c>
      <c r="G35" s="199">
        <v>16.02</v>
      </c>
      <c r="H35" s="261">
        <f t="shared" si="0"/>
        <v>100</v>
      </c>
      <c r="I35" s="301">
        <v>16.420000000000002</v>
      </c>
      <c r="J35" s="502"/>
      <c r="K35" s="503"/>
      <c r="L35" s="503"/>
      <c r="M35" s="503"/>
      <c r="N35" s="503"/>
      <c r="O35" s="503"/>
      <c r="P35" s="503"/>
      <c r="Q35" s="503"/>
      <c r="R35" s="503"/>
      <c r="S35" s="503"/>
      <c r="T35" s="503"/>
      <c r="U35" s="503"/>
      <c r="V35" s="503"/>
      <c r="W35" s="503"/>
      <c r="X35" s="504"/>
    </row>
    <row r="36" spans="1:31" ht="9" x14ac:dyDescent="0.2">
      <c r="A36" s="225" t="s">
        <v>59</v>
      </c>
      <c r="B36" s="500" t="s">
        <v>27</v>
      </c>
      <c r="C36" s="501"/>
      <c r="D36" s="226" t="s">
        <v>26</v>
      </c>
      <c r="E36" s="200">
        <v>21</v>
      </c>
      <c r="F36" s="201">
        <v>21</v>
      </c>
      <c r="G36" s="201">
        <v>21</v>
      </c>
      <c r="H36" s="259">
        <f t="shared" si="0"/>
        <v>100</v>
      </c>
      <c r="I36" s="260">
        <v>21</v>
      </c>
      <c r="J36" s="505"/>
      <c r="K36" s="506"/>
      <c r="L36" s="506"/>
      <c r="M36" s="506"/>
      <c r="N36" s="506"/>
      <c r="O36" s="506"/>
      <c r="P36" s="506"/>
      <c r="Q36" s="506"/>
      <c r="R36" s="506"/>
      <c r="S36" s="506"/>
      <c r="T36" s="506"/>
      <c r="U36" s="506"/>
      <c r="V36" s="506"/>
      <c r="W36" s="506"/>
      <c r="X36" s="507"/>
    </row>
    <row r="37" spans="1:31" customFormat="1" x14ac:dyDescent="0.15">
      <c r="A37" s="2"/>
    </row>
    <row r="38" spans="1:31" s="82" customFormat="1" x14ac:dyDescent="0.15">
      <c r="A38" s="83"/>
    </row>
    <row r="39" spans="1:31" s="82" customFormat="1" x14ac:dyDescent="0.15">
      <c r="A39" s="83"/>
      <c r="P39" s="84"/>
    </row>
    <row r="40" spans="1:31" s="82" customFormat="1" x14ac:dyDescent="0.15">
      <c r="A40" s="83"/>
    </row>
    <row r="41" spans="1:31" s="82" customFormat="1" x14ac:dyDescent="0.15">
      <c r="A41" s="83"/>
    </row>
    <row r="42" spans="1:31" s="82" customFormat="1" x14ac:dyDescent="0.15">
      <c r="A42" s="83"/>
    </row>
    <row r="43" spans="1:31" s="82" customFormat="1" x14ac:dyDescent="0.15">
      <c r="A43" s="83"/>
    </row>
    <row r="44" spans="1:31" s="82" customFormat="1" x14ac:dyDescent="0.15">
      <c r="A44" s="83"/>
    </row>
    <row r="45" spans="1:31" s="82" customFormat="1" x14ac:dyDescent="0.15">
      <c r="A45" s="83"/>
    </row>
    <row r="46" spans="1:31" s="82" customFormat="1" x14ac:dyDescent="0.15">
      <c r="A46" s="83"/>
      <c r="AE46" s="84"/>
    </row>
    <row r="47" spans="1:31" s="82" customFormat="1" x14ac:dyDescent="0.15">
      <c r="A47" s="83"/>
    </row>
    <row r="48" spans="1:31"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B35:C35"/>
    <mergeCell ref="B36:C36"/>
    <mergeCell ref="J34:X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529" t="s">
        <v>82</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14302930</v>
      </c>
      <c r="F6" s="29">
        <f>SUM(F7:F9)</f>
        <v>14313112</v>
      </c>
      <c r="G6" s="29">
        <f>SUM(G7:G9)</f>
        <v>7190665.2300000004</v>
      </c>
      <c r="H6" s="24">
        <f t="shared" ref="H6:H36" si="0">G6/F6*100</f>
        <v>50.23830757420189</v>
      </c>
      <c r="I6" s="29">
        <f>SUM(I7:I9)</f>
        <v>6434145</v>
      </c>
      <c r="J6" s="29">
        <f>SUM(J7:J9)</f>
        <v>2781830</v>
      </c>
      <c r="K6" s="29">
        <f t="shared" ref="K6:L6" si="1">SUM(K7:K9)</f>
        <v>2792012</v>
      </c>
      <c r="L6" s="29">
        <f t="shared" si="1"/>
        <v>1413065.23</v>
      </c>
      <c r="M6" s="24">
        <f t="shared" ref="M6:M33" si="2">L6/K6*100</f>
        <v>50.611001313747941</v>
      </c>
      <c r="N6" s="30">
        <f t="shared" ref="N6:Q6" si="3">SUM(N7:N9)</f>
        <v>1319112</v>
      </c>
      <c r="O6" s="29">
        <f t="shared" si="3"/>
        <v>11521100</v>
      </c>
      <c r="P6" s="29">
        <f t="shared" si="3"/>
        <v>11521100</v>
      </c>
      <c r="Q6" s="29">
        <f t="shared" si="3"/>
        <v>5777600</v>
      </c>
      <c r="R6" s="24">
        <f t="shared" ref="R6:R33" si="4">Q6/P6*100</f>
        <v>50.147989341295542</v>
      </c>
      <c r="S6" s="29">
        <f t="shared" ref="S6:V6" si="5">SUM(S7:S9)</f>
        <v>5115033</v>
      </c>
      <c r="T6" s="29">
        <f t="shared" si="5"/>
        <v>142500</v>
      </c>
      <c r="U6" s="29">
        <f t="shared" si="5"/>
        <v>142500</v>
      </c>
      <c r="V6" s="29">
        <f t="shared" si="5"/>
        <v>102080</v>
      </c>
      <c r="W6" s="24">
        <f t="shared" ref="W6:W33" si="6">V6/U6*100</f>
        <v>71.635087719298241</v>
      </c>
      <c r="X6" s="29">
        <f t="shared" ref="X6" si="7">SUM(X7:X9)</f>
        <v>98775</v>
      </c>
    </row>
    <row r="7" spans="1:24" s="6" customFormat="1" ht="9.9499999999999993" customHeight="1" x14ac:dyDescent="0.2">
      <c r="A7" s="130" t="s">
        <v>2</v>
      </c>
      <c r="B7" s="522" t="s">
        <v>45</v>
      </c>
      <c r="C7" s="523"/>
      <c r="D7" s="131" t="s">
        <v>25</v>
      </c>
      <c r="E7" s="32">
        <f t="shared" ref="E7:G10" si="8">SUM(J7,O7)</f>
        <v>73500</v>
      </c>
      <c r="F7" s="33">
        <f t="shared" si="8"/>
        <v>75682</v>
      </c>
      <c r="G7" s="33">
        <f t="shared" si="8"/>
        <v>50875</v>
      </c>
      <c r="H7" s="9">
        <f t="shared" si="0"/>
        <v>67.222060727782036</v>
      </c>
      <c r="I7" s="34">
        <f>SUM(N7,S7)</f>
        <v>48387</v>
      </c>
      <c r="J7" s="262">
        <v>73500</v>
      </c>
      <c r="K7" s="35">
        <v>75682</v>
      </c>
      <c r="L7" s="35">
        <v>50875</v>
      </c>
      <c r="M7" s="9">
        <f t="shared" si="2"/>
        <v>67.222060727782036</v>
      </c>
      <c r="N7" s="302">
        <v>48387</v>
      </c>
      <c r="O7" s="263"/>
      <c r="P7" s="35"/>
      <c r="Q7" s="35"/>
      <c r="R7" s="9"/>
      <c r="S7" s="302"/>
      <c r="T7" s="263">
        <v>142500</v>
      </c>
      <c r="U7" s="35">
        <v>142500</v>
      </c>
      <c r="V7" s="35">
        <v>102080</v>
      </c>
      <c r="W7" s="9">
        <f t="shared" si="6"/>
        <v>71.635087719298241</v>
      </c>
      <c r="X7" s="65">
        <v>98775</v>
      </c>
    </row>
    <row r="8" spans="1:24" s="6" customFormat="1" ht="9.9499999999999993" customHeight="1" x14ac:dyDescent="0.2">
      <c r="A8" s="132" t="s">
        <v>3</v>
      </c>
      <c r="B8" s="524" t="s">
        <v>46</v>
      </c>
      <c r="C8" s="525"/>
      <c r="D8" s="133" t="s">
        <v>25</v>
      </c>
      <c r="E8" s="38">
        <f t="shared" si="8"/>
        <v>0</v>
      </c>
      <c r="F8" s="39">
        <f t="shared" si="8"/>
        <v>0</v>
      </c>
      <c r="G8" s="39">
        <f t="shared" si="8"/>
        <v>25.23</v>
      </c>
      <c r="H8" s="10" t="e">
        <f t="shared" si="0"/>
        <v>#DIV/0!</v>
      </c>
      <c r="I8" s="40">
        <f>SUM(N8,S8)</f>
        <v>7</v>
      </c>
      <c r="J8" s="243"/>
      <c r="K8" s="218"/>
      <c r="L8" s="218">
        <v>25.23</v>
      </c>
      <c r="M8" s="10" t="e">
        <f t="shared" si="2"/>
        <v>#DIV/0!</v>
      </c>
      <c r="N8" s="229">
        <v>7</v>
      </c>
      <c r="O8" s="217"/>
      <c r="P8" s="218"/>
      <c r="Q8" s="218"/>
      <c r="R8" s="10"/>
      <c r="S8" s="229"/>
      <c r="T8" s="217"/>
      <c r="U8" s="218"/>
      <c r="V8" s="218"/>
      <c r="W8" s="10"/>
      <c r="X8" s="220"/>
    </row>
    <row r="9" spans="1:24" s="6" customFormat="1" ht="9.9499999999999993" customHeight="1" x14ac:dyDescent="0.2">
      <c r="A9" s="232" t="s">
        <v>4</v>
      </c>
      <c r="B9" s="233" t="s">
        <v>60</v>
      </c>
      <c r="C9" s="234"/>
      <c r="D9" s="235" t="s">
        <v>25</v>
      </c>
      <c r="E9" s="42">
        <f t="shared" si="8"/>
        <v>14229430</v>
      </c>
      <c r="F9" s="43">
        <f t="shared" si="8"/>
        <v>14237430</v>
      </c>
      <c r="G9" s="43">
        <f t="shared" si="8"/>
        <v>7139765</v>
      </c>
      <c r="H9" s="26">
        <f t="shared" si="0"/>
        <v>50.147849717259362</v>
      </c>
      <c r="I9" s="44">
        <f>SUM(N9,S9)</f>
        <v>6385751</v>
      </c>
      <c r="J9" s="244">
        <v>2708330</v>
      </c>
      <c r="K9" s="264">
        <v>2716330</v>
      </c>
      <c r="L9" s="264">
        <v>1362165</v>
      </c>
      <c r="M9" s="26">
        <f t="shared" si="2"/>
        <v>50.147257512894242</v>
      </c>
      <c r="N9" s="230">
        <v>1270718</v>
      </c>
      <c r="O9" s="221">
        <v>11521100</v>
      </c>
      <c r="P9" s="264">
        <v>11521100</v>
      </c>
      <c r="Q9" s="264">
        <v>5777600</v>
      </c>
      <c r="R9" s="26">
        <f t="shared" si="4"/>
        <v>50.147989341295542</v>
      </c>
      <c r="S9" s="230">
        <v>5115033</v>
      </c>
      <c r="T9" s="221"/>
      <c r="U9" s="264"/>
      <c r="V9" s="264"/>
      <c r="W9" s="26"/>
      <c r="X9" s="222"/>
    </row>
    <row r="10" spans="1:24" s="6" customFormat="1" ht="9.9499999999999993" customHeight="1" x14ac:dyDescent="0.2">
      <c r="A10" s="134" t="s">
        <v>5</v>
      </c>
      <c r="B10" s="526" t="s">
        <v>7</v>
      </c>
      <c r="C10" s="527"/>
      <c r="D10" s="20" t="s">
        <v>25</v>
      </c>
      <c r="E10" s="46">
        <f t="shared" si="8"/>
        <v>0</v>
      </c>
      <c r="F10" s="46">
        <f t="shared" si="8"/>
        <v>0</v>
      </c>
      <c r="G10" s="46">
        <f t="shared" si="8"/>
        <v>0</v>
      </c>
      <c r="H10" s="24" t="e">
        <f t="shared" si="0"/>
        <v>#DIV/0!</v>
      </c>
      <c r="I10" s="47">
        <f>SUM(N10,S10)</f>
        <v>0</v>
      </c>
      <c r="J10" s="31"/>
      <c r="K10" s="46"/>
      <c r="L10" s="46"/>
      <c r="M10" s="24" t="e">
        <f t="shared" si="2"/>
        <v>#DIV/0!</v>
      </c>
      <c r="N10" s="47"/>
      <c r="O10" s="46"/>
      <c r="P10" s="46"/>
      <c r="Q10" s="46"/>
      <c r="R10" s="24" t="e">
        <f t="shared" si="4"/>
        <v>#DIV/0!</v>
      </c>
      <c r="S10" s="47"/>
      <c r="T10" s="46"/>
      <c r="U10" s="46"/>
      <c r="V10" s="46"/>
      <c r="W10" s="24" t="e">
        <f t="shared" ref="W10" si="9">V10/U10*100</f>
        <v>#DIV/0!</v>
      </c>
      <c r="X10" s="46"/>
    </row>
    <row r="11" spans="1:24" s="6" customFormat="1" ht="9.9499999999999993" customHeight="1" x14ac:dyDescent="0.2">
      <c r="A11" s="134" t="s">
        <v>6</v>
      </c>
      <c r="B11" s="526" t="s">
        <v>9</v>
      </c>
      <c r="C11" s="527"/>
      <c r="D11" s="20" t="s">
        <v>25</v>
      </c>
      <c r="E11" s="29">
        <f>SUM(E12:E31)</f>
        <v>14302930</v>
      </c>
      <c r="F11" s="29">
        <f>SUM(F12:F31)</f>
        <v>14313112</v>
      </c>
      <c r="G11" s="29">
        <f>SUM(G12:G31)</f>
        <v>6829539.1600000001</v>
      </c>
      <c r="H11" s="24">
        <f t="shared" si="0"/>
        <v>47.715263878323597</v>
      </c>
      <c r="I11" s="30">
        <f>SUM(I12:I31)</f>
        <v>6020521</v>
      </c>
      <c r="J11" s="29">
        <f>SUM(J12:J31)</f>
        <v>2781830</v>
      </c>
      <c r="K11" s="29">
        <f>SUM(K12:K31)</f>
        <v>2792012</v>
      </c>
      <c r="L11" s="29">
        <f>SUM(L12:L31)</f>
        <v>1232917.5899999999</v>
      </c>
      <c r="M11" s="24">
        <f t="shared" si="2"/>
        <v>44.158749675860989</v>
      </c>
      <c r="N11" s="30">
        <f>SUM(N12:N31)</f>
        <v>1072116</v>
      </c>
      <c r="O11" s="29">
        <f>SUM(O12:O31)</f>
        <v>11521100</v>
      </c>
      <c r="P11" s="29">
        <f>SUM(P12:P31)</f>
        <v>11521100</v>
      </c>
      <c r="Q11" s="29">
        <f>SUM(Q12:Q31)</f>
        <v>5596621.5700000003</v>
      </c>
      <c r="R11" s="24">
        <f t="shared" si="4"/>
        <v>48.577146019043319</v>
      </c>
      <c r="S11" s="30">
        <f>SUM(S12:S31)</f>
        <v>4948405</v>
      </c>
      <c r="T11" s="29">
        <f>SUM(T12:T31)</f>
        <v>103432</v>
      </c>
      <c r="U11" s="29">
        <f>SUM(U12:U31)</f>
        <v>103432</v>
      </c>
      <c r="V11" s="29">
        <f>SUM(V12:V31)</f>
        <v>73389</v>
      </c>
      <c r="W11" s="24">
        <f t="shared" si="6"/>
        <v>70.953863407842832</v>
      </c>
      <c r="X11" s="29">
        <f>SUM(X12:X31)</f>
        <v>88619</v>
      </c>
    </row>
    <row r="12" spans="1:24" s="6" customFormat="1" ht="9.9499999999999993" customHeight="1" x14ac:dyDescent="0.2">
      <c r="A12" s="130" t="s">
        <v>8</v>
      </c>
      <c r="B12" s="528" t="s">
        <v>28</v>
      </c>
      <c r="C12" s="528"/>
      <c r="D12" s="131" t="s">
        <v>25</v>
      </c>
      <c r="E12" s="32">
        <f t="shared" ref="E12:I29" si="10">SUM(J12,O12)</f>
        <v>304199</v>
      </c>
      <c r="F12" s="33">
        <f t="shared" si="10"/>
        <v>312199</v>
      </c>
      <c r="G12" s="33">
        <f t="shared" si="10"/>
        <v>102039.8</v>
      </c>
      <c r="H12" s="10">
        <f t="shared" si="0"/>
        <v>32.684217438236516</v>
      </c>
      <c r="I12" s="34">
        <f t="shared" si="10"/>
        <v>99194</v>
      </c>
      <c r="J12" s="266">
        <v>183099</v>
      </c>
      <c r="K12" s="48">
        <v>191099</v>
      </c>
      <c r="L12" s="48">
        <v>62309.8</v>
      </c>
      <c r="M12" s="10">
        <f t="shared" si="2"/>
        <v>32.606031428735896</v>
      </c>
      <c r="N12" s="303">
        <v>47900</v>
      </c>
      <c r="O12" s="267">
        <v>121100</v>
      </c>
      <c r="P12" s="48">
        <v>121100</v>
      </c>
      <c r="Q12" s="48">
        <v>39730</v>
      </c>
      <c r="R12" s="10">
        <f t="shared" si="4"/>
        <v>32.80759702725021</v>
      </c>
      <c r="S12" s="304">
        <v>51294</v>
      </c>
      <c r="T12" s="267">
        <v>3682</v>
      </c>
      <c r="U12" s="48">
        <v>3682</v>
      </c>
      <c r="V12" s="48">
        <v>2608</v>
      </c>
      <c r="W12" s="10">
        <f t="shared" si="6"/>
        <v>70.831070070613805</v>
      </c>
      <c r="X12" s="52">
        <v>2411</v>
      </c>
    </row>
    <row r="13" spans="1:24" s="6" customFormat="1" ht="9.9499999999999993" customHeight="1" x14ac:dyDescent="0.2">
      <c r="A13" s="135" t="s">
        <v>10</v>
      </c>
      <c r="B13" s="508" t="s">
        <v>29</v>
      </c>
      <c r="C13" s="508"/>
      <c r="D13" s="133" t="s">
        <v>25</v>
      </c>
      <c r="E13" s="38">
        <f t="shared" si="10"/>
        <v>610250</v>
      </c>
      <c r="F13" s="39">
        <f t="shared" si="10"/>
        <v>610250</v>
      </c>
      <c r="G13" s="39">
        <f t="shared" si="10"/>
        <v>304270</v>
      </c>
      <c r="H13" s="10">
        <f t="shared" si="0"/>
        <v>49.859893486276121</v>
      </c>
      <c r="I13" s="40">
        <f t="shared" si="10"/>
        <v>265309</v>
      </c>
      <c r="J13" s="240">
        <v>610250</v>
      </c>
      <c r="K13" s="218">
        <v>610250</v>
      </c>
      <c r="L13" s="218">
        <v>304270</v>
      </c>
      <c r="M13" s="10">
        <f t="shared" si="2"/>
        <v>49.859893486276121</v>
      </c>
      <c r="N13" s="229">
        <v>265309</v>
      </c>
      <c r="O13" s="217"/>
      <c r="P13" s="218"/>
      <c r="Q13" s="218"/>
      <c r="R13" s="10" t="e">
        <f t="shared" si="4"/>
        <v>#DIV/0!</v>
      </c>
      <c r="S13" s="229"/>
      <c r="T13" s="217">
        <v>99750</v>
      </c>
      <c r="U13" s="218">
        <v>99750</v>
      </c>
      <c r="V13" s="218">
        <v>70781</v>
      </c>
      <c r="W13" s="10">
        <f t="shared" si="6"/>
        <v>70.958395989974946</v>
      </c>
      <c r="X13" s="220">
        <v>86208</v>
      </c>
    </row>
    <row r="14" spans="1:24" s="6" customFormat="1" ht="9.9499999999999993" customHeight="1" x14ac:dyDescent="0.2">
      <c r="A14" s="135" t="s">
        <v>11</v>
      </c>
      <c r="B14" s="236" t="s">
        <v>61</v>
      </c>
      <c r="C14" s="237"/>
      <c r="D14" s="133" t="s">
        <v>25</v>
      </c>
      <c r="E14" s="38">
        <v>0</v>
      </c>
      <c r="F14" s="39">
        <v>0</v>
      </c>
      <c r="G14" s="39">
        <v>0</v>
      </c>
      <c r="H14" s="10" t="e">
        <f t="shared" si="0"/>
        <v>#DIV/0!</v>
      </c>
      <c r="I14" s="40">
        <v>0</v>
      </c>
      <c r="J14" s="240">
        <v>0</v>
      </c>
      <c r="K14" s="218">
        <v>0</v>
      </c>
      <c r="L14" s="218">
        <v>0</v>
      </c>
      <c r="M14" s="10" t="e">
        <f t="shared" si="2"/>
        <v>#DIV/0!</v>
      </c>
      <c r="N14" s="229"/>
      <c r="O14" s="217"/>
      <c r="P14" s="218"/>
      <c r="Q14" s="218"/>
      <c r="R14" s="10" t="e">
        <f t="shared" si="4"/>
        <v>#DIV/0!</v>
      </c>
      <c r="S14" s="229"/>
      <c r="T14" s="217"/>
      <c r="U14" s="218"/>
      <c r="V14" s="218"/>
      <c r="W14" s="10" t="e">
        <f t="shared" si="6"/>
        <v>#DIV/0!</v>
      </c>
      <c r="X14" s="220"/>
    </row>
    <row r="15" spans="1:24" s="6" customFormat="1" ht="9.9499999999999993" customHeight="1" x14ac:dyDescent="0.2">
      <c r="A15" s="135" t="s">
        <v>12</v>
      </c>
      <c r="B15" s="511" t="s">
        <v>109</v>
      </c>
      <c r="C15" s="512"/>
      <c r="D15" s="133" t="s">
        <v>25</v>
      </c>
      <c r="E15" s="38">
        <f t="shared" si="10"/>
        <v>250744</v>
      </c>
      <c r="F15" s="39">
        <f t="shared" si="10"/>
        <v>250744</v>
      </c>
      <c r="G15" s="39">
        <f t="shared" si="10"/>
        <v>41385.19</v>
      </c>
      <c r="H15" s="10">
        <f t="shared" si="0"/>
        <v>16.504957247232237</v>
      </c>
      <c r="I15" s="40">
        <f t="shared" si="10"/>
        <v>34460</v>
      </c>
      <c r="J15" s="240">
        <v>250744</v>
      </c>
      <c r="K15" s="218">
        <v>250744</v>
      </c>
      <c r="L15" s="218">
        <v>41385.19</v>
      </c>
      <c r="M15" s="10">
        <f t="shared" si="2"/>
        <v>16.504957247232237</v>
      </c>
      <c r="N15" s="229">
        <v>34460</v>
      </c>
      <c r="O15" s="217"/>
      <c r="P15" s="218"/>
      <c r="Q15" s="218"/>
      <c r="R15" s="10" t="e">
        <f t="shared" si="4"/>
        <v>#DIV/0!</v>
      </c>
      <c r="S15" s="229"/>
      <c r="T15" s="217"/>
      <c r="U15" s="218"/>
      <c r="V15" s="218"/>
      <c r="W15" s="10" t="e">
        <f t="shared" si="6"/>
        <v>#DIV/0!</v>
      </c>
      <c r="X15" s="220"/>
    </row>
    <row r="16" spans="1:24" s="6" customFormat="1" ht="9.9499999999999993" customHeight="1" x14ac:dyDescent="0.2">
      <c r="A16" s="135" t="s">
        <v>13</v>
      </c>
      <c r="B16" s="511" t="s">
        <v>30</v>
      </c>
      <c r="C16" s="512"/>
      <c r="D16" s="133" t="s">
        <v>25</v>
      </c>
      <c r="E16" s="38">
        <f t="shared" si="10"/>
        <v>32000</v>
      </c>
      <c r="F16" s="39">
        <f t="shared" si="10"/>
        <v>32000</v>
      </c>
      <c r="G16" s="39">
        <f t="shared" si="10"/>
        <v>6820</v>
      </c>
      <c r="H16" s="10">
        <f t="shared" si="0"/>
        <v>21.3125</v>
      </c>
      <c r="I16" s="40">
        <f t="shared" si="10"/>
        <v>9078</v>
      </c>
      <c r="J16" s="240">
        <v>2000</v>
      </c>
      <c r="K16" s="218">
        <v>2000</v>
      </c>
      <c r="L16" s="218">
        <v>268</v>
      </c>
      <c r="M16" s="10">
        <f t="shared" si="2"/>
        <v>13.4</v>
      </c>
      <c r="N16" s="229">
        <v>68</v>
      </c>
      <c r="O16" s="217">
        <v>30000</v>
      </c>
      <c r="P16" s="218">
        <v>30000</v>
      </c>
      <c r="Q16" s="218">
        <v>6552</v>
      </c>
      <c r="R16" s="10">
        <f t="shared" si="4"/>
        <v>21.84</v>
      </c>
      <c r="S16" s="229">
        <v>9010</v>
      </c>
      <c r="T16" s="217"/>
      <c r="U16" s="218"/>
      <c r="V16" s="218"/>
      <c r="W16" s="10" t="e">
        <f t="shared" si="6"/>
        <v>#DIV/0!</v>
      </c>
      <c r="X16" s="220"/>
    </row>
    <row r="17" spans="1:24" s="6" customFormat="1" ht="9.9499999999999993" customHeight="1" x14ac:dyDescent="0.2">
      <c r="A17" s="135" t="s">
        <v>14</v>
      </c>
      <c r="B17" s="236" t="s">
        <v>47</v>
      </c>
      <c r="C17" s="237"/>
      <c r="D17" s="133" t="s">
        <v>25</v>
      </c>
      <c r="E17" s="38">
        <f t="shared" si="10"/>
        <v>2000</v>
      </c>
      <c r="F17" s="39">
        <f t="shared" si="10"/>
        <v>2000</v>
      </c>
      <c r="G17" s="39">
        <f t="shared" si="10"/>
        <v>631</v>
      </c>
      <c r="H17" s="10">
        <f t="shared" si="0"/>
        <v>31.55</v>
      </c>
      <c r="I17" s="40">
        <f t="shared" si="10"/>
        <v>998</v>
      </c>
      <c r="J17" s="240">
        <v>2000</v>
      </c>
      <c r="K17" s="218">
        <v>2000</v>
      </c>
      <c r="L17" s="218">
        <v>631</v>
      </c>
      <c r="M17" s="10">
        <f t="shared" si="2"/>
        <v>31.55</v>
      </c>
      <c r="N17" s="229">
        <v>998</v>
      </c>
      <c r="O17" s="217"/>
      <c r="P17" s="218"/>
      <c r="Q17" s="218"/>
      <c r="R17" s="10" t="e">
        <f t="shared" si="4"/>
        <v>#DIV/0!</v>
      </c>
      <c r="S17" s="229"/>
      <c r="T17" s="217"/>
      <c r="U17" s="218"/>
      <c r="V17" s="218"/>
      <c r="W17" s="10" t="e">
        <f t="shared" si="6"/>
        <v>#DIV/0!</v>
      </c>
      <c r="X17" s="220"/>
    </row>
    <row r="18" spans="1:24" s="6" customFormat="1" ht="9.9499999999999993" customHeight="1" x14ac:dyDescent="0.2">
      <c r="A18" s="135" t="s">
        <v>15</v>
      </c>
      <c r="B18" s="511" t="s">
        <v>31</v>
      </c>
      <c r="C18" s="512"/>
      <c r="D18" s="133" t="s">
        <v>25</v>
      </c>
      <c r="E18" s="38">
        <f t="shared" si="10"/>
        <v>400000</v>
      </c>
      <c r="F18" s="39">
        <f t="shared" si="10"/>
        <v>400000</v>
      </c>
      <c r="G18" s="39">
        <f t="shared" si="10"/>
        <v>160043.6</v>
      </c>
      <c r="H18" s="10">
        <f t="shared" si="0"/>
        <v>40.010899999999999</v>
      </c>
      <c r="I18" s="40">
        <f t="shared" si="10"/>
        <v>181233</v>
      </c>
      <c r="J18" s="240">
        <v>280000</v>
      </c>
      <c r="K18" s="218">
        <v>280000</v>
      </c>
      <c r="L18" s="218">
        <v>114492.6</v>
      </c>
      <c r="M18" s="10">
        <f t="shared" si="2"/>
        <v>40.890214285714286</v>
      </c>
      <c r="N18" s="229">
        <v>115463</v>
      </c>
      <c r="O18" s="217">
        <v>120000</v>
      </c>
      <c r="P18" s="218">
        <v>120000</v>
      </c>
      <c r="Q18" s="218">
        <v>45551</v>
      </c>
      <c r="R18" s="10">
        <f t="shared" si="4"/>
        <v>37.959166666666668</v>
      </c>
      <c r="S18" s="229">
        <v>65770</v>
      </c>
      <c r="T18" s="217"/>
      <c r="U18" s="218"/>
      <c r="V18" s="218"/>
      <c r="W18" s="10" t="e">
        <f t="shared" si="6"/>
        <v>#DIV/0!</v>
      </c>
      <c r="X18" s="220"/>
    </row>
    <row r="19" spans="1:24" s="11" customFormat="1" ht="9.9499999999999993" customHeight="1" x14ac:dyDescent="0.2">
      <c r="A19" s="135" t="s">
        <v>16</v>
      </c>
      <c r="B19" s="508" t="s">
        <v>32</v>
      </c>
      <c r="C19" s="508"/>
      <c r="D19" s="133" t="s">
        <v>25</v>
      </c>
      <c r="E19" s="38">
        <f t="shared" si="10"/>
        <v>8369035</v>
      </c>
      <c r="F19" s="39">
        <f t="shared" si="10"/>
        <v>8370645</v>
      </c>
      <c r="G19" s="39">
        <f t="shared" si="10"/>
        <v>4099946</v>
      </c>
      <c r="H19" s="10">
        <f t="shared" si="0"/>
        <v>48.980048729817113</v>
      </c>
      <c r="I19" s="40">
        <f t="shared" si="10"/>
        <v>3608904</v>
      </c>
      <c r="J19" s="241">
        <v>96035</v>
      </c>
      <c r="K19" s="218">
        <v>97645</v>
      </c>
      <c r="L19" s="218">
        <v>49103</v>
      </c>
      <c r="M19" s="10">
        <f t="shared" si="2"/>
        <v>50.287265092938704</v>
      </c>
      <c r="N19" s="229">
        <v>47294</v>
      </c>
      <c r="O19" s="217">
        <v>8273000</v>
      </c>
      <c r="P19" s="218">
        <v>8273000</v>
      </c>
      <c r="Q19" s="218">
        <v>4050843</v>
      </c>
      <c r="R19" s="10">
        <f t="shared" si="4"/>
        <v>48.964619847697328</v>
      </c>
      <c r="S19" s="229">
        <v>3561610</v>
      </c>
      <c r="T19" s="268"/>
      <c r="U19" s="269"/>
      <c r="V19" s="269"/>
      <c r="W19" s="10" t="e">
        <f t="shared" si="6"/>
        <v>#DIV/0!</v>
      </c>
      <c r="X19" s="270"/>
    </row>
    <row r="20" spans="1:24" s="6" customFormat="1" ht="9.9499999999999993" customHeight="1" x14ac:dyDescent="0.2">
      <c r="A20" s="135" t="s">
        <v>17</v>
      </c>
      <c r="B20" s="508" t="s">
        <v>48</v>
      </c>
      <c r="C20" s="508"/>
      <c r="D20" s="133" t="s">
        <v>25</v>
      </c>
      <c r="E20" s="38">
        <f t="shared" si="10"/>
        <v>2865095</v>
      </c>
      <c r="F20" s="39">
        <f t="shared" si="10"/>
        <v>2865643</v>
      </c>
      <c r="G20" s="39">
        <f t="shared" si="10"/>
        <v>1398586.57</v>
      </c>
      <c r="H20" s="10">
        <f t="shared" si="0"/>
        <v>48.805331648080383</v>
      </c>
      <c r="I20" s="40">
        <f t="shared" si="10"/>
        <v>1222145</v>
      </c>
      <c r="J20" s="240">
        <v>12195</v>
      </c>
      <c r="K20" s="218">
        <v>12743</v>
      </c>
      <c r="L20" s="218">
        <v>5763</v>
      </c>
      <c r="M20" s="10">
        <f t="shared" si="2"/>
        <v>45.224829318056976</v>
      </c>
      <c r="N20" s="229">
        <v>4638</v>
      </c>
      <c r="O20" s="217">
        <v>2852900</v>
      </c>
      <c r="P20" s="218">
        <v>2852900</v>
      </c>
      <c r="Q20" s="218">
        <v>1392823.57</v>
      </c>
      <c r="R20" s="10">
        <f t="shared" si="4"/>
        <v>48.821324617056334</v>
      </c>
      <c r="S20" s="229">
        <v>1217507</v>
      </c>
      <c r="T20" s="217"/>
      <c r="U20" s="218"/>
      <c r="V20" s="218"/>
      <c r="W20" s="10" t="e">
        <f t="shared" si="6"/>
        <v>#DIV/0!</v>
      </c>
      <c r="X20" s="220"/>
    </row>
    <row r="21" spans="1:24" s="6" customFormat="1" ht="9.9499999999999993" customHeight="1" x14ac:dyDescent="0.2">
      <c r="A21" s="135" t="s">
        <v>18</v>
      </c>
      <c r="B21" s="508" t="s">
        <v>49</v>
      </c>
      <c r="C21" s="508"/>
      <c r="D21" s="133" t="s">
        <v>25</v>
      </c>
      <c r="E21" s="38">
        <f t="shared" si="10"/>
        <v>156100</v>
      </c>
      <c r="F21" s="39">
        <f t="shared" si="10"/>
        <v>156124</v>
      </c>
      <c r="G21" s="39">
        <f t="shared" si="10"/>
        <v>80336</v>
      </c>
      <c r="H21" s="10">
        <f t="shared" si="0"/>
        <v>51.456534549460685</v>
      </c>
      <c r="I21" s="40">
        <f t="shared" si="10"/>
        <v>60574</v>
      </c>
      <c r="J21" s="240">
        <v>32000</v>
      </c>
      <c r="K21" s="218">
        <v>32024</v>
      </c>
      <c r="L21" s="218">
        <v>19214</v>
      </c>
      <c r="M21" s="10">
        <f t="shared" si="2"/>
        <v>59.998750936797407</v>
      </c>
      <c r="N21" s="229">
        <v>17360</v>
      </c>
      <c r="O21" s="217">
        <v>124100</v>
      </c>
      <c r="P21" s="218">
        <v>124100</v>
      </c>
      <c r="Q21" s="218">
        <v>61122</v>
      </c>
      <c r="R21" s="10">
        <f t="shared" si="4"/>
        <v>49.252215954875098</v>
      </c>
      <c r="S21" s="229">
        <v>43214</v>
      </c>
      <c r="T21" s="217"/>
      <c r="U21" s="218"/>
      <c r="V21" s="218"/>
      <c r="W21" s="10" t="e">
        <f t="shared" si="6"/>
        <v>#DIV/0!</v>
      </c>
      <c r="X21" s="220"/>
    </row>
    <row r="22" spans="1:24" s="6" customFormat="1" ht="9.9499999999999993" customHeight="1" x14ac:dyDescent="0.2">
      <c r="A22" s="135" t="s">
        <v>19</v>
      </c>
      <c r="B22" s="508" t="s">
        <v>62</v>
      </c>
      <c r="C22" s="508"/>
      <c r="D22" s="133" t="s">
        <v>25</v>
      </c>
      <c r="E22" s="38">
        <f t="shared" si="10"/>
        <v>0</v>
      </c>
      <c r="F22" s="39">
        <f t="shared" si="10"/>
        <v>0</v>
      </c>
      <c r="G22" s="39">
        <f t="shared" si="10"/>
        <v>0</v>
      </c>
      <c r="H22" s="10" t="e">
        <f t="shared" si="0"/>
        <v>#DIV/0!</v>
      </c>
      <c r="I22" s="40">
        <f t="shared" si="10"/>
        <v>0</v>
      </c>
      <c r="J22" s="240">
        <v>0</v>
      </c>
      <c r="K22" s="218"/>
      <c r="L22" s="218"/>
      <c r="M22" s="10" t="e">
        <f t="shared" si="2"/>
        <v>#DIV/0!</v>
      </c>
      <c r="N22" s="229"/>
      <c r="O22" s="217"/>
      <c r="P22" s="218"/>
      <c r="Q22" s="218"/>
      <c r="R22" s="10" t="e">
        <f t="shared" si="4"/>
        <v>#DIV/0!</v>
      </c>
      <c r="S22" s="229"/>
      <c r="T22" s="217"/>
      <c r="U22" s="218"/>
      <c r="V22" s="218"/>
      <c r="W22" s="10" t="e">
        <f t="shared" si="6"/>
        <v>#DIV/0!</v>
      </c>
      <c r="X22" s="220"/>
    </row>
    <row r="23" spans="1:24" s="6" customFormat="1" ht="9.9499999999999993" customHeight="1" x14ac:dyDescent="0.2">
      <c r="A23" s="135" t="s">
        <v>20</v>
      </c>
      <c r="B23" s="223" t="s">
        <v>101</v>
      </c>
      <c r="C23" s="223"/>
      <c r="D23" s="133" t="s">
        <v>25</v>
      </c>
      <c r="E23" s="38">
        <f t="shared" si="10"/>
        <v>0</v>
      </c>
      <c r="F23" s="39">
        <f t="shared" si="10"/>
        <v>0</v>
      </c>
      <c r="G23" s="39">
        <f t="shared" si="10"/>
        <v>0</v>
      </c>
      <c r="H23" s="10" t="e">
        <f t="shared" si="0"/>
        <v>#DIV/0!</v>
      </c>
      <c r="I23" s="40">
        <f t="shared" si="10"/>
        <v>0</v>
      </c>
      <c r="J23" s="240">
        <v>0</v>
      </c>
      <c r="K23" s="218"/>
      <c r="L23" s="218"/>
      <c r="M23" s="10" t="e">
        <f t="shared" si="2"/>
        <v>#DIV/0!</v>
      </c>
      <c r="N23" s="229"/>
      <c r="O23" s="217"/>
      <c r="P23" s="218"/>
      <c r="Q23" s="218"/>
      <c r="R23" s="10" t="e">
        <f t="shared" si="4"/>
        <v>#DIV/0!</v>
      </c>
      <c r="S23" s="229"/>
      <c r="T23" s="217"/>
      <c r="U23" s="218"/>
      <c r="V23" s="218"/>
      <c r="W23" s="10" t="e">
        <f t="shared" si="6"/>
        <v>#DIV/0!</v>
      </c>
      <c r="X23" s="220"/>
    </row>
    <row r="24" spans="1:24" s="6" customFormat="1" ht="9.9499999999999993" customHeight="1" x14ac:dyDescent="0.2">
      <c r="A24" s="135" t="s">
        <v>21</v>
      </c>
      <c r="B24" s="223" t="s">
        <v>110</v>
      </c>
      <c r="C24" s="223"/>
      <c r="D24" s="133" t="s">
        <v>25</v>
      </c>
      <c r="E24" s="38">
        <f t="shared" si="10"/>
        <v>0</v>
      </c>
      <c r="F24" s="39">
        <f t="shared" si="10"/>
        <v>0</v>
      </c>
      <c r="G24" s="39">
        <f t="shared" si="10"/>
        <v>0</v>
      </c>
      <c r="H24" s="10" t="e">
        <f t="shared" si="0"/>
        <v>#DIV/0!</v>
      </c>
      <c r="I24" s="40">
        <f t="shared" si="10"/>
        <v>0</v>
      </c>
      <c r="J24" s="240">
        <v>0</v>
      </c>
      <c r="K24" s="218"/>
      <c r="L24" s="218"/>
      <c r="M24" s="10" t="e">
        <f t="shared" si="2"/>
        <v>#DIV/0!</v>
      </c>
      <c r="N24" s="229"/>
      <c r="O24" s="217"/>
      <c r="P24" s="218"/>
      <c r="Q24" s="218"/>
      <c r="R24" s="10" t="e">
        <f t="shared" si="4"/>
        <v>#DIV/0!</v>
      </c>
      <c r="S24" s="229"/>
      <c r="T24" s="217"/>
      <c r="U24" s="218"/>
      <c r="V24" s="218"/>
      <c r="W24" s="10" t="e">
        <f t="shared" si="6"/>
        <v>#DIV/0!</v>
      </c>
      <c r="X24" s="220"/>
    </row>
    <row r="25" spans="1:24" s="13" customFormat="1" ht="9.9499999999999993" customHeight="1" x14ac:dyDescent="0.2">
      <c r="A25" s="135" t="s">
        <v>22</v>
      </c>
      <c r="B25" s="223" t="s">
        <v>63</v>
      </c>
      <c r="C25" s="223"/>
      <c r="D25" s="133" t="s">
        <v>25</v>
      </c>
      <c r="E25" s="38">
        <f t="shared" si="10"/>
        <v>303</v>
      </c>
      <c r="F25" s="39">
        <f t="shared" si="10"/>
        <v>303</v>
      </c>
      <c r="G25" s="39">
        <f t="shared" si="10"/>
        <v>303</v>
      </c>
      <c r="H25" s="10">
        <f t="shared" si="0"/>
        <v>100</v>
      </c>
      <c r="I25" s="40">
        <f>SUM(N25,S25)</f>
        <v>303</v>
      </c>
      <c r="J25" s="240">
        <v>303</v>
      </c>
      <c r="K25" s="271">
        <v>303</v>
      </c>
      <c r="L25" s="271">
        <v>303</v>
      </c>
      <c r="M25" s="10">
        <f t="shared" si="2"/>
        <v>100</v>
      </c>
      <c r="N25" s="272">
        <v>303</v>
      </c>
      <c r="O25" s="273"/>
      <c r="P25" s="271"/>
      <c r="Q25" s="271"/>
      <c r="R25" s="10" t="e">
        <f t="shared" si="4"/>
        <v>#DIV/0!</v>
      </c>
      <c r="S25" s="274"/>
      <c r="T25" s="273"/>
      <c r="U25" s="271"/>
      <c r="V25" s="271"/>
      <c r="W25" s="10" t="e">
        <f t="shared" si="6"/>
        <v>#DIV/0!</v>
      </c>
      <c r="X25" s="275"/>
    </row>
    <row r="26" spans="1:24" s="6" customFormat="1" ht="9.9499999999999993" customHeight="1" x14ac:dyDescent="0.2">
      <c r="A26" s="135" t="s">
        <v>23</v>
      </c>
      <c r="B26" s="511" t="s">
        <v>64</v>
      </c>
      <c r="C26" s="512"/>
      <c r="D26" s="133" t="s">
        <v>25</v>
      </c>
      <c r="E26" s="38">
        <f t="shared" si="10"/>
        <v>1233204</v>
      </c>
      <c r="F26" s="39">
        <f t="shared" si="10"/>
        <v>1233204</v>
      </c>
      <c r="G26" s="39">
        <f t="shared" si="10"/>
        <v>616602</v>
      </c>
      <c r="H26" s="10">
        <f t="shared" si="0"/>
        <v>50</v>
      </c>
      <c r="I26" s="40">
        <f t="shared" si="10"/>
        <v>513835</v>
      </c>
      <c r="J26" s="240">
        <v>1233204</v>
      </c>
      <c r="K26" s="276">
        <v>1233204</v>
      </c>
      <c r="L26" s="276">
        <v>616602</v>
      </c>
      <c r="M26" s="10">
        <f t="shared" si="2"/>
        <v>50</v>
      </c>
      <c r="N26" s="272">
        <v>513835</v>
      </c>
      <c r="O26" s="277"/>
      <c r="P26" s="276"/>
      <c r="Q26" s="276"/>
      <c r="R26" s="10" t="e">
        <f t="shared" si="4"/>
        <v>#DIV/0!</v>
      </c>
      <c r="S26" s="272"/>
      <c r="T26" s="278"/>
      <c r="U26" s="279"/>
      <c r="V26" s="279"/>
      <c r="W26" s="10" t="e">
        <f t="shared" si="6"/>
        <v>#DIV/0!</v>
      </c>
      <c r="X26" s="280"/>
    </row>
    <row r="27" spans="1:24" s="13" customFormat="1" ht="9.9499999999999993" customHeight="1" x14ac:dyDescent="0.2">
      <c r="A27" s="135" t="s">
        <v>44</v>
      </c>
      <c r="B27" s="236" t="s">
        <v>65</v>
      </c>
      <c r="C27" s="237"/>
      <c r="D27" s="133" t="s">
        <v>25</v>
      </c>
      <c r="E27" s="38">
        <f t="shared" si="10"/>
        <v>0</v>
      </c>
      <c r="F27" s="39">
        <f t="shared" si="10"/>
        <v>0</v>
      </c>
      <c r="G27" s="39">
        <f t="shared" si="10"/>
        <v>0</v>
      </c>
      <c r="H27" s="10" t="e">
        <f t="shared" si="0"/>
        <v>#DIV/0!</v>
      </c>
      <c r="I27" s="40">
        <f t="shared" si="10"/>
        <v>0</v>
      </c>
      <c r="J27" s="240">
        <v>0</v>
      </c>
      <c r="K27" s="276"/>
      <c r="L27" s="276"/>
      <c r="M27" s="10" t="e">
        <f t="shared" si="2"/>
        <v>#DIV/0!</v>
      </c>
      <c r="N27" s="229"/>
      <c r="O27" s="277"/>
      <c r="P27" s="276"/>
      <c r="Q27" s="276"/>
      <c r="R27" s="10" t="e">
        <f t="shared" si="4"/>
        <v>#DIV/0!</v>
      </c>
      <c r="S27" s="272"/>
      <c r="T27" s="278"/>
      <c r="U27" s="279"/>
      <c r="V27" s="279"/>
      <c r="W27" s="10" t="e">
        <f t="shared" si="6"/>
        <v>#DIV/0!</v>
      </c>
      <c r="X27" s="280"/>
    </row>
    <row r="28" spans="1:24" s="13" customFormat="1" ht="9.9499999999999993" customHeight="1" x14ac:dyDescent="0.2">
      <c r="A28" s="135" t="s">
        <v>50</v>
      </c>
      <c r="B28" s="236" t="s">
        <v>91</v>
      </c>
      <c r="C28" s="237"/>
      <c r="D28" s="133" t="s">
        <v>25</v>
      </c>
      <c r="E28" s="38">
        <f>SUM(J28,O28)</f>
        <v>80000</v>
      </c>
      <c r="F28" s="39">
        <f>SUM(K28,P28)</f>
        <v>80000</v>
      </c>
      <c r="G28" s="39">
        <f>SUM(L28,Q28)</f>
        <v>18576</v>
      </c>
      <c r="H28" s="10">
        <f t="shared" si="0"/>
        <v>23.22</v>
      </c>
      <c r="I28" s="40">
        <f>SUM(N28,S28)</f>
        <v>24488</v>
      </c>
      <c r="J28" s="240">
        <v>80000</v>
      </c>
      <c r="K28" s="276">
        <v>80000</v>
      </c>
      <c r="L28" s="276">
        <v>18576</v>
      </c>
      <c r="M28" s="10">
        <f t="shared" si="2"/>
        <v>23.22</v>
      </c>
      <c r="N28" s="229">
        <v>24488</v>
      </c>
      <c r="O28" s="277"/>
      <c r="P28" s="276"/>
      <c r="Q28" s="276"/>
      <c r="R28" s="10" t="e">
        <f t="shared" si="4"/>
        <v>#DIV/0!</v>
      </c>
      <c r="S28" s="272"/>
      <c r="T28" s="278"/>
      <c r="U28" s="279"/>
      <c r="V28" s="279"/>
      <c r="W28" s="10" t="e">
        <f t="shared" si="6"/>
        <v>#DIV/0!</v>
      </c>
      <c r="X28" s="280"/>
    </row>
    <row r="29" spans="1:24" s="15" customFormat="1" ht="9.9499999999999993" customHeight="1" x14ac:dyDescent="0.2">
      <c r="A29" s="135" t="s">
        <v>51</v>
      </c>
      <c r="B29" s="236" t="s">
        <v>66</v>
      </c>
      <c r="C29" s="237"/>
      <c r="D29" s="133" t="s">
        <v>25</v>
      </c>
      <c r="E29" s="38">
        <f t="shared" si="10"/>
        <v>0</v>
      </c>
      <c r="F29" s="39">
        <f t="shared" si="10"/>
        <v>0</v>
      </c>
      <c r="G29" s="39">
        <f t="shared" si="10"/>
        <v>0</v>
      </c>
      <c r="H29" s="10" t="e">
        <f t="shared" si="0"/>
        <v>#DIV/0!</v>
      </c>
      <c r="I29" s="40">
        <f t="shared" si="10"/>
        <v>0</v>
      </c>
      <c r="J29" s="240">
        <v>0</v>
      </c>
      <c r="K29" s="276"/>
      <c r="L29" s="276"/>
      <c r="M29" s="10" t="e">
        <f t="shared" si="2"/>
        <v>#DIV/0!</v>
      </c>
      <c r="N29" s="272"/>
      <c r="O29" s="277"/>
      <c r="P29" s="276"/>
      <c r="Q29" s="276"/>
      <c r="R29" s="10" t="e">
        <f t="shared" si="4"/>
        <v>#DIV/0!</v>
      </c>
      <c r="S29" s="272"/>
      <c r="T29" s="278"/>
      <c r="U29" s="279"/>
      <c r="V29" s="279"/>
      <c r="W29" s="10" t="e">
        <f t="shared" si="6"/>
        <v>#DIV/0!</v>
      </c>
      <c r="X29" s="280"/>
    </row>
    <row r="30" spans="1:24" s="6" customFormat="1" ht="9.75" x14ac:dyDescent="0.2">
      <c r="A30" s="135" t="s">
        <v>53</v>
      </c>
      <c r="B30" s="236" t="s">
        <v>52</v>
      </c>
      <c r="C30" s="237"/>
      <c r="D30" s="133" t="s">
        <v>25</v>
      </c>
      <c r="E30" s="38">
        <f t="shared" ref="E30:G31" si="11">SUM(J30,O30)</f>
        <v>0</v>
      </c>
      <c r="F30" s="39">
        <f t="shared" si="11"/>
        <v>0</v>
      </c>
      <c r="G30" s="39">
        <f t="shared" si="11"/>
        <v>0</v>
      </c>
      <c r="H30" s="10" t="e">
        <f t="shared" si="0"/>
        <v>#DIV/0!</v>
      </c>
      <c r="I30" s="40">
        <f>SUM(N30,S30)</f>
        <v>0</v>
      </c>
      <c r="J30" s="240">
        <v>0</v>
      </c>
      <c r="K30" s="276"/>
      <c r="L30" s="276"/>
      <c r="M30" s="10" t="e">
        <f t="shared" si="2"/>
        <v>#DIV/0!</v>
      </c>
      <c r="N30" s="272"/>
      <c r="O30" s="277"/>
      <c r="P30" s="276"/>
      <c r="Q30" s="276"/>
      <c r="R30" s="10" t="e">
        <f t="shared" si="4"/>
        <v>#DIV/0!</v>
      </c>
      <c r="S30" s="272"/>
      <c r="T30" s="278"/>
      <c r="U30" s="279"/>
      <c r="V30" s="279"/>
      <c r="W30" s="10" t="e">
        <f t="shared" si="6"/>
        <v>#DIV/0!</v>
      </c>
      <c r="X30" s="280"/>
    </row>
    <row r="31" spans="1:24" s="23" customFormat="1" ht="9.75" x14ac:dyDescent="0.2">
      <c r="A31" s="135" t="s">
        <v>54</v>
      </c>
      <c r="B31" s="236" t="s">
        <v>67</v>
      </c>
      <c r="C31" s="237"/>
      <c r="D31" s="133" t="s">
        <v>25</v>
      </c>
      <c r="E31" s="38">
        <f t="shared" si="11"/>
        <v>0</v>
      </c>
      <c r="F31" s="39">
        <f t="shared" si="11"/>
        <v>0</v>
      </c>
      <c r="G31" s="39">
        <f t="shared" si="11"/>
        <v>0</v>
      </c>
      <c r="H31" s="10" t="e">
        <f t="shared" si="0"/>
        <v>#DIV/0!</v>
      </c>
      <c r="I31" s="40">
        <f>SUM(N31,S31)</f>
        <v>0</v>
      </c>
      <c r="J31" s="240">
        <v>0</v>
      </c>
      <c r="K31" s="281"/>
      <c r="L31" s="281"/>
      <c r="M31" s="10" t="e">
        <f t="shared" si="2"/>
        <v>#DIV/0!</v>
      </c>
      <c r="N31" s="282"/>
      <c r="O31" s="283"/>
      <c r="P31" s="281"/>
      <c r="Q31" s="281"/>
      <c r="R31" s="10" t="e">
        <f t="shared" si="4"/>
        <v>#DIV/0!</v>
      </c>
      <c r="S31" s="282"/>
      <c r="T31" s="284"/>
      <c r="U31" s="285"/>
      <c r="V31" s="285"/>
      <c r="W31" s="10" t="e">
        <f t="shared" si="6"/>
        <v>#DIV/0!</v>
      </c>
      <c r="X31" s="286"/>
    </row>
    <row r="32" spans="1:24" s="23" customFormat="1" ht="9.75" x14ac:dyDescent="0.2">
      <c r="A32" s="238" t="s">
        <v>55</v>
      </c>
      <c r="B32" s="233" t="s">
        <v>68</v>
      </c>
      <c r="C32" s="239"/>
      <c r="D32" s="235" t="s">
        <v>25</v>
      </c>
      <c r="E32" s="42">
        <f>SUM(J32,O32)</f>
        <v>0</v>
      </c>
      <c r="F32" s="43">
        <f>SUM(K32,P32)</f>
        <v>0</v>
      </c>
      <c r="G32" s="43">
        <f>SUM(L32,Q32)</f>
        <v>0</v>
      </c>
      <c r="H32" s="10" t="e">
        <f t="shared" si="0"/>
        <v>#DIV/0!</v>
      </c>
      <c r="I32" s="44">
        <f>SUM(N32,S32)</f>
        <v>0</v>
      </c>
      <c r="J32" s="287">
        <v>0</v>
      </c>
      <c r="K32" s="288"/>
      <c r="L32" s="288"/>
      <c r="M32" s="10" t="e">
        <f t="shared" si="2"/>
        <v>#DIV/0!</v>
      </c>
      <c r="N32" s="289"/>
      <c r="O32" s="290"/>
      <c r="P32" s="288"/>
      <c r="Q32" s="288"/>
      <c r="R32" s="10" t="e">
        <f t="shared" si="4"/>
        <v>#DIV/0!</v>
      </c>
      <c r="S32" s="289"/>
      <c r="T32" s="290"/>
      <c r="U32" s="288"/>
      <c r="V32" s="288"/>
      <c r="W32" s="10" t="e">
        <f t="shared" si="6"/>
        <v>#DIV/0!</v>
      </c>
      <c r="X32" s="291"/>
    </row>
    <row r="33" spans="1:24" s="23" customFormat="1" ht="9.75" x14ac:dyDescent="0.2">
      <c r="A33" s="134" t="s">
        <v>56</v>
      </c>
      <c r="B33" s="21" t="s">
        <v>102</v>
      </c>
      <c r="C33" s="22"/>
      <c r="D33" s="20" t="s">
        <v>25</v>
      </c>
      <c r="E33" s="29">
        <f>E6-E11</f>
        <v>0</v>
      </c>
      <c r="F33" s="29">
        <f>F6-F11</f>
        <v>0</v>
      </c>
      <c r="G33" s="29">
        <f>G6-G11</f>
        <v>361126.0700000003</v>
      </c>
      <c r="H33" s="24" t="e">
        <f t="shared" si="0"/>
        <v>#DIV/0!</v>
      </c>
      <c r="I33" s="29">
        <f>I6-I11</f>
        <v>413624</v>
      </c>
      <c r="J33" s="29">
        <f>J6-J11</f>
        <v>0</v>
      </c>
      <c r="K33" s="29">
        <f>K6-K11</f>
        <v>0</v>
      </c>
      <c r="L33" s="29">
        <f>L6-L11</f>
        <v>180147.64000000013</v>
      </c>
      <c r="M33" s="24" t="e">
        <f t="shared" si="2"/>
        <v>#DIV/0!</v>
      </c>
      <c r="N33" s="29">
        <f>N6-N11</f>
        <v>246996</v>
      </c>
      <c r="O33" s="29">
        <f>O6-O11</f>
        <v>0</v>
      </c>
      <c r="P33" s="29">
        <f>P6-P11</f>
        <v>0</v>
      </c>
      <c r="Q33" s="29">
        <f>Q6-Q11</f>
        <v>180978.4299999997</v>
      </c>
      <c r="R33" s="24" t="e">
        <f t="shared" si="4"/>
        <v>#DIV/0!</v>
      </c>
      <c r="S33" s="29">
        <f>S6-S11</f>
        <v>166628</v>
      </c>
      <c r="T33" s="29">
        <f>T6-T11</f>
        <v>39068</v>
      </c>
      <c r="U33" s="29">
        <f>U6-U11</f>
        <v>39068</v>
      </c>
      <c r="V33" s="29">
        <f>V6-V11</f>
        <v>28691</v>
      </c>
      <c r="W33" s="19">
        <f t="shared" si="6"/>
        <v>73.438619842326204</v>
      </c>
      <c r="X33" s="29">
        <f>X6-X11</f>
        <v>10156</v>
      </c>
    </row>
    <row r="34" spans="1:24" s="4" customFormat="1" ht="9" x14ac:dyDescent="0.2">
      <c r="A34" s="224" t="s">
        <v>57</v>
      </c>
      <c r="B34" s="509" t="s">
        <v>24</v>
      </c>
      <c r="C34" s="510"/>
      <c r="D34" s="136" t="s">
        <v>25</v>
      </c>
      <c r="E34" s="196">
        <v>23634</v>
      </c>
      <c r="F34" s="197">
        <v>23634</v>
      </c>
      <c r="G34" s="197">
        <v>24366</v>
      </c>
      <c r="H34" s="12">
        <f t="shared" si="0"/>
        <v>103.09723280020309</v>
      </c>
      <c r="I34" s="256">
        <v>24023</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311">
        <v>29.17</v>
      </c>
      <c r="F35" s="257">
        <v>29.17</v>
      </c>
      <c r="G35" s="257">
        <v>27.68</v>
      </c>
      <c r="H35" s="261">
        <f t="shared" si="0"/>
        <v>94.892012341446687</v>
      </c>
      <c r="I35" s="301">
        <v>24.71</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32</v>
      </c>
      <c r="F36" s="201">
        <v>32</v>
      </c>
      <c r="G36" s="201">
        <v>32</v>
      </c>
      <c r="H36" s="259">
        <f t="shared" si="0"/>
        <v>100</v>
      </c>
      <c r="I36" s="260">
        <v>30</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
  <sheetViews>
    <sheetView tabSelected="1" zoomScaleNormal="100" workbookViewId="0">
      <selection activeCell="A29" sqref="A29:I29"/>
    </sheetView>
  </sheetViews>
  <sheetFormatPr defaultRowHeight="12.75" x14ac:dyDescent="0.2"/>
  <cols>
    <col min="1" max="1" width="74.75" style="71" customWidth="1"/>
    <col min="2" max="9" width="23.75" style="71" customWidth="1"/>
  </cols>
  <sheetData>
    <row r="1" spans="1:14" ht="18.75" x14ac:dyDescent="0.3">
      <c r="A1" s="634" t="s">
        <v>83</v>
      </c>
      <c r="B1" s="634"/>
      <c r="C1" s="634"/>
      <c r="D1" s="634"/>
      <c r="E1" s="634"/>
      <c r="F1" s="634"/>
      <c r="G1" s="634"/>
      <c r="H1" s="634"/>
      <c r="I1" s="634"/>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06" t="s">
        <v>25</v>
      </c>
      <c r="D5" s="472" t="s">
        <v>113</v>
      </c>
      <c r="E5" s="472"/>
      <c r="F5" s="472"/>
      <c r="G5" s="472"/>
      <c r="H5" s="472"/>
      <c r="I5" s="472"/>
    </row>
    <row r="6" spans="1:14" s="102" customFormat="1" ht="135" customHeight="1" x14ac:dyDescent="0.2">
      <c r="A6" s="467" t="s">
        <v>70</v>
      </c>
      <c r="B6" s="468"/>
      <c r="C6" s="180">
        <v>327455.49</v>
      </c>
      <c r="D6" s="473" t="s">
        <v>177</v>
      </c>
      <c r="E6" s="473"/>
      <c r="F6" s="473"/>
      <c r="G6" s="473"/>
      <c r="H6" s="473"/>
      <c r="I6" s="473"/>
    </row>
    <row r="7" spans="1:14" s="104" customFormat="1" ht="78.75" customHeight="1" x14ac:dyDescent="0.15">
      <c r="A7" s="467" t="s">
        <v>38</v>
      </c>
      <c r="B7" s="468"/>
      <c r="C7" s="180">
        <v>252177.58</v>
      </c>
      <c r="D7" s="473" t="s">
        <v>268</v>
      </c>
      <c r="E7" s="473"/>
      <c r="F7" s="473"/>
      <c r="G7" s="473"/>
      <c r="H7" s="473"/>
      <c r="I7" s="473"/>
    </row>
    <row r="8" spans="1:14" s="104" customFormat="1" ht="33.75" customHeight="1" x14ac:dyDescent="0.15">
      <c r="A8" s="467" t="s">
        <v>71</v>
      </c>
      <c r="B8" s="468"/>
      <c r="C8" s="180">
        <v>0</v>
      </c>
      <c r="D8" s="591"/>
      <c r="E8" s="592"/>
      <c r="F8" s="592"/>
      <c r="G8" s="592"/>
      <c r="H8" s="592"/>
      <c r="I8" s="593"/>
    </row>
    <row r="9" spans="1:14" s="102" customFormat="1" ht="11.25" customHeight="1" x14ac:dyDescent="0.2">
      <c r="C9" s="105"/>
    </row>
    <row r="10" spans="1:14" s="106" customFormat="1" ht="11.25" customHeight="1" x14ac:dyDescent="0.2">
      <c r="A10" s="469" t="s">
        <v>134</v>
      </c>
      <c r="B10" s="469"/>
      <c r="C10" s="469"/>
      <c r="D10" s="469"/>
      <c r="E10" s="469"/>
      <c r="F10" s="469"/>
      <c r="G10" s="469"/>
      <c r="H10" s="469"/>
      <c r="I10" s="469"/>
    </row>
    <row r="11" spans="1:14" s="102" customFormat="1" ht="11.25" x14ac:dyDescent="0.2">
      <c r="C11" s="105"/>
    </row>
    <row r="12" spans="1:14" s="108" customFormat="1" ht="18" customHeight="1" x14ac:dyDescent="0.15">
      <c r="A12" s="107" t="s">
        <v>93</v>
      </c>
      <c r="B12" s="107" t="s">
        <v>114</v>
      </c>
      <c r="C12" s="107" t="s">
        <v>94</v>
      </c>
      <c r="D12" s="107" t="s">
        <v>95</v>
      </c>
      <c r="E12" s="107" t="s">
        <v>115</v>
      </c>
      <c r="F12" s="107" t="s">
        <v>116</v>
      </c>
      <c r="G12" s="475" t="s">
        <v>96</v>
      </c>
      <c r="H12" s="475"/>
      <c r="I12" s="475"/>
    </row>
    <row r="13" spans="1:14" s="102" customFormat="1" ht="181.5" customHeight="1" x14ac:dyDescent="0.2">
      <c r="A13" s="205" t="s">
        <v>72</v>
      </c>
      <c r="B13" s="211">
        <f>90304.49+248518.74</f>
        <v>338823.23</v>
      </c>
      <c r="C13" s="211">
        <v>177521.59</v>
      </c>
      <c r="D13" s="211">
        <f>147049+34122</f>
        <v>181171</v>
      </c>
      <c r="E13" s="211">
        <f>B13+C13-D13</f>
        <v>335173.81999999995</v>
      </c>
      <c r="F13" s="435">
        <f t="shared" ref="F13:F14" si="0">E13</f>
        <v>335173.81999999995</v>
      </c>
      <c r="G13" s="635" t="s">
        <v>174</v>
      </c>
      <c r="H13" s="549"/>
      <c r="I13" s="550"/>
    </row>
    <row r="14" spans="1:14" s="102" customFormat="1" ht="147.75" customHeight="1" x14ac:dyDescent="0.2">
      <c r="A14" s="207" t="s">
        <v>117</v>
      </c>
      <c r="B14" s="189">
        <v>420346.21</v>
      </c>
      <c r="C14" s="189">
        <v>720007</v>
      </c>
      <c r="D14" s="189">
        <v>606187</v>
      </c>
      <c r="E14" s="189">
        <f t="shared" ref="E14:E16" si="1">B14+C14-D14</f>
        <v>534166.21</v>
      </c>
      <c r="F14" s="435">
        <f t="shared" si="0"/>
        <v>534166.21</v>
      </c>
      <c r="G14" s="482" t="s">
        <v>175</v>
      </c>
      <c r="H14" s="551"/>
      <c r="I14" s="552"/>
      <c r="N14" s="109"/>
    </row>
    <row r="15" spans="1:14" s="102" customFormat="1" ht="45.75" customHeight="1" x14ac:dyDescent="0.2">
      <c r="A15" s="207" t="s">
        <v>73</v>
      </c>
      <c r="B15" s="189">
        <v>125284</v>
      </c>
      <c r="C15" s="189">
        <v>20000</v>
      </c>
      <c r="D15" s="189">
        <v>60000</v>
      </c>
      <c r="E15" s="189">
        <f t="shared" si="1"/>
        <v>85284</v>
      </c>
      <c r="F15" s="435">
        <f>E15</f>
        <v>85284</v>
      </c>
      <c r="G15" s="482" t="s">
        <v>178</v>
      </c>
      <c r="H15" s="551"/>
      <c r="I15" s="552"/>
    </row>
    <row r="16" spans="1:14" s="102" customFormat="1" ht="113.25" customHeight="1" x14ac:dyDescent="0.2">
      <c r="A16" s="209" t="s">
        <v>97</v>
      </c>
      <c r="B16" s="190">
        <v>202908.77</v>
      </c>
      <c r="C16" s="190">
        <v>183989</v>
      </c>
      <c r="D16" s="190">
        <v>105249</v>
      </c>
      <c r="E16" s="190">
        <f t="shared" si="1"/>
        <v>281648.77</v>
      </c>
      <c r="F16" s="435">
        <f>E16</f>
        <v>281648.77</v>
      </c>
      <c r="G16" s="483" t="s">
        <v>176</v>
      </c>
      <c r="H16" s="553"/>
      <c r="I16" s="554"/>
    </row>
    <row r="17" spans="1:9" s="102" customFormat="1" ht="11.25" customHeight="1" x14ac:dyDescent="0.2">
      <c r="A17" s="371" t="s">
        <v>34</v>
      </c>
      <c r="B17" s="184">
        <f>SUM(B13:B16)</f>
        <v>1087362.21</v>
      </c>
      <c r="C17" s="184">
        <f t="shared" ref="C17:F17" si="2">SUM(C13:C16)</f>
        <v>1101517.5899999999</v>
      </c>
      <c r="D17" s="184">
        <f t="shared" si="2"/>
        <v>952607</v>
      </c>
      <c r="E17" s="184">
        <f t="shared" si="2"/>
        <v>1236272.7999999998</v>
      </c>
      <c r="F17" s="184">
        <f t="shared" si="2"/>
        <v>1236272.7999999998</v>
      </c>
      <c r="G17" s="466"/>
      <c r="H17" s="466"/>
      <c r="I17" s="466"/>
    </row>
    <row r="18" spans="1:9" s="112" customFormat="1" ht="11.25" x14ac:dyDescent="0.2">
      <c r="A18" s="191"/>
      <c r="B18" s="179"/>
      <c r="C18" s="113"/>
      <c r="D18" s="179"/>
      <c r="E18" s="179"/>
      <c r="F18" s="179"/>
      <c r="G18" s="179"/>
      <c r="H18" s="179"/>
      <c r="I18" s="179"/>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customHeight="1" x14ac:dyDescent="0.2">
      <c r="A21" s="620" t="s">
        <v>119</v>
      </c>
      <c r="B21" s="621"/>
      <c r="C21" s="621"/>
      <c r="D21" s="621"/>
      <c r="E21" s="621"/>
      <c r="F21" s="621"/>
      <c r="G21" s="621"/>
      <c r="H21" s="621"/>
      <c r="I21" s="622"/>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266</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5.5" customHeight="1" x14ac:dyDescent="0.15">
      <c r="A33" s="585" t="s">
        <v>179</v>
      </c>
      <c r="B33" s="586"/>
      <c r="C33" s="586"/>
      <c r="D33" s="586"/>
      <c r="E33" s="586"/>
      <c r="F33" s="586"/>
      <c r="G33" s="586"/>
      <c r="H33" s="586"/>
      <c r="I33" s="587"/>
    </row>
    <row r="34" spans="1:9" s="102" customFormat="1" ht="35.25" customHeight="1" x14ac:dyDescent="0.2">
      <c r="A34" s="482" t="s">
        <v>180</v>
      </c>
      <c r="B34" s="551"/>
      <c r="C34" s="551"/>
      <c r="D34" s="551"/>
      <c r="E34" s="551"/>
      <c r="F34" s="551"/>
      <c r="G34" s="551"/>
      <c r="H34" s="551"/>
      <c r="I34" s="552"/>
    </row>
    <row r="35" spans="1:9" s="102" customFormat="1" ht="33.75" customHeight="1" x14ac:dyDescent="0.2">
      <c r="A35" s="482" t="s">
        <v>181</v>
      </c>
      <c r="B35" s="551"/>
      <c r="C35" s="551"/>
      <c r="D35" s="551"/>
      <c r="E35" s="551"/>
      <c r="F35" s="551"/>
      <c r="G35" s="551"/>
      <c r="H35" s="551"/>
      <c r="I35" s="552"/>
    </row>
    <row r="36" spans="1:9" s="102" customFormat="1" ht="45" customHeight="1" x14ac:dyDescent="0.2">
      <c r="A36" s="482" t="s">
        <v>267</v>
      </c>
      <c r="B36" s="551"/>
      <c r="C36" s="551"/>
      <c r="D36" s="551"/>
      <c r="E36" s="551"/>
      <c r="F36" s="551"/>
      <c r="G36" s="551"/>
      <c r="H36" s="551"/>
      <c r="I36" s="552"/>
    </row>
  </sheetData>
  <mergeCells count="28">
    <mergeCell ref="A35:I35"/>
    <mergeCell ref="A36:I36"/>
    <mergeCell ref="A10:I10"/>
    <mergeCell ref="G12:I12"/>
    <mergeCell ref="A21:I21"/>
    <mergeCell ref="A23:I23"/>
    <mergeCell ref="A27:I27"/>
    <mergeCell ref="A19:I19"/>
    <mergeCell ref="A31:I31"/>
    <mergeCell ref="A25:I25"/>
    <mergeCell ref="A29:I29"/>
    <mergeCell ref="A33:I33"/>
    <mergeCell ref="A34:I34"/>
    <mergeCell ref="D6:I6"/>
    <mergeCell ref="G16:I16"/>
    <mergeCell ref="G17:I17"/>
    <mergeCell ref="G15:I15"/>
    <mergeCell ref="A1:I1"/>
    <mergeCell ref="A7:B7"/>
    <mergeCell ref="D7:I7"/>
    <mergeCell ref="A8:B8"/>
    <mergeCell ref="D8:I8"/>
    <mergeCell ref="G13:I13"/>
    <mergeCell ref="G14:I14"/>
    <mergeCell ref="A3:I3"/>
    <mergeCell ref="A5:B5"/>
    <mergeCell ref="D5:I5"/>
    <mergeCell ref="A6:B6"/>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141" customFormat="1" ht="15.75" x14ac:dyDescent="0.25">
      <c r="A1" s="529" t="s">
        <v>83</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43222130</v>
      </c>
      <c r="F6" s="29">
        <f>SUM(F7:F9)</f>
        <v>43651452</v>
      </c>
      <c r="G6" s="29">
        <f>SUM(G7:G9)</f>
        <v>22425733</v>
      </c>
      <c r="H6" s="24">
        <f t="shared" ref="H6:H36" si="0">G6/F6*100</f>
        <v>51.374540759835426</v>
      </c>
      <c r="I6" s="30">
        <f>SUM(I7:I9)</f>
        <v>21898668.419999998</v>
      </c>
      <c r="J6" s="29">
        <f>SUM(J7:J9)</f>
        <v>10090830</v>
      </c>
      <c r="K6" s="29">
        <f t="shared" ref="K6:V6" si="1">SUM(K7:K9)</f>
        <v>10172130</v>
      </c>
      <c r="L6" s="29">
        <f t="shared" si="1"/>
        <v>5435778</v>
      </c>
      <c r="M6" s="24">
        <f t="shared" ref="M6:M33" si="2">L6/K6*100</f>
        <v>53.437952523217845</v>
      </c>
      <c r="N6" s="29">
        <f t="shared" ref="N6" si="3">SUM(N7:N9)</f>
        <v>5326546.99</v>
      </c>
      <c r="O6" s="29">
        <f t="shared" si="1"/>
        <v>33131300</v>
      </c>
      <c r="P6" s="29">
        <f t="shared" si="1"/>
        <v>33479322</v>
      </c>
      <c r="Q6" s="29">
        <f t="shared" si="1"/>
        <v>16989955</v>
      </c>
      <c r="R6" s="24">
        <f t="shared" ref="R6:R33" si="4">Q6/P6*100</f>
        <v>50.747607732319068</v>
      </c>
      <c r="S6" s="29">
        <f t="shared" ref="S6" si="5">SUM(S7:S9)</f>
        <v>16572121.43</v>
      </c>
      <c r="T6" s="29">
        <f t="shared" si="1"/>
        <v>795000</v>
      </c>
      <c r="U6" s="29">
        <f t="shared" si="1"/>
        <v>795000</v>
      </c>
      <c r="V6" s="29">
        <f t="shared" si="1"/>
        <v>576461</v>
      </c>
      <c r="W6" s="24">
        <f t="shared" ref="W6:W33" si="6">V6/U6*100</f>
        <v>72.510817610062901</v>
      </c>
      <c r="X6" s="29">
        <f t="shared" ref="X6" si="7">SUM(X7:X9)</f>
        <v>474237</v>
      </c>
    </row>
    <row r="7" spans="1:24" s="6" customFormat="1" ht="9.9499999999999993" customHeight="1" x14ac:dyDescent="0.2">
      <c r="A7" s="130" t="s">
        <v>2</v>
      </c>
      <c r="B7" s="522" t="s">
        <v>45</v>
      </c>
      <c r="C7" s="523"/>
      <c r="D7" s="131" t="s">
        <v>25</v>
      </c>
      <c r="E7" s="32">
        <f t="shared" ref="E7:G10" si="8">SUM(J7,O7)</f>
        <v>4508000</v>
      </c>
      <c r="F7" s="33">
        <f t="shared" si="8"/>
        <v>4597300</v>
      </c>
      <c r="G7" s="33">
        <f t="shared" si="8"/>
        <v>2653073</v>
      </c>
      <c r="H7" s="9">
        <f t="shared" si="0"/>
        <v>57.709372892784891</v>
      </c>
      <c r="I7" s="324">
        <f>SUM(N7,S7)</f>
        <v>2548019.69</v>
      </c>
      <c r="J7" s="339">
        <v>4508000</v>
      </c>
      <c r="K7" s="340">
        <v>4589300</v>
      </c>
      <c r="L7" s="340">
        <v>2645459</v>
      </c>
      <c r="M7" s="219">
        <f t="shared" si="2"/>
        <v>57.644063364783307</v>
      </c>
      <c r="N7" s="342">
        <v>2542639.69</v>
      </c>
      <c r="O7" s="343"/>
      <c r="P7" s="340">
        <v>8000</v>
      </c>
      <c r="Q7" s="340">
        <v>7614</v>
      </c>
      <c r="R7" s="219">
        <f t="shared" si="4"/>
        <v>95.174999999999997</v>
      </c>
      <c r="S7" s="342">
        <v>5380</v>
      </c>
      <c r="T7" s="263">
        <v>795000</v>
      </c>
      <c r="U7" s="35">
        <v>795000</v>
      </c>
      <c r="V7" s="35">
        <v>576461</v>
      </c>
      <c r="W7" s="219">
        <f t="shared" si="6"/>
        <v>72.510817610062901</v>
      </c>
      <c r="X7" s="65">
        <v>474237</v>
      </c>
    </row>
    <row r="8" spans="1:24" s="6" customFormat="1" ht="9.9499999999999993" customHeight="1" x14ac:dyDescent="0.2">
      <c r="A8" s="132" t="s">
        <v>3</v>
      </c>
      <c r="B8" s="524" t="s">
        <v>46</v>
      </c>
      <c r="C8" s="525"/>
      <c r="D8" s="133" t="s">
        <v>25</v>
      </c>
      <c r="E8" s="38">
        <f t="shared" si="8"/>
        <v>4900</v>
      </c>
      <c r="F8" s="39">
        <f t="shared" si="8"/>
        <v>4900</v>
      </c>
      <c r="G8" s="39">
        <f t="shared" si="8"/>
        <v>1354</v>
      </c>
      <c r="H8" s="10">
        <f t="shared" si="0"/>
        <v>27.632653061224488</v>
      </c>
      <c r="I8" s="229">
        <f>SUM(N8,S8)</f>
        <v>2591.3000000000002</v>
      </c>
      <c r="J8" s="243">
        <v>4900</v>
      </c>
      <c r="K8" s="218">
        <v>4900</v>
      </c>
      <c r="L8" s="218">
        <v>1354</v>
      </c>
      <c r="M8" s="219">
        <f t="shared" si="2"/>
        <v>27.632653061224488</v>
      </c>
      <c r="N8" s="229">
        <v>2591.3000000000002</v>
      </c>
      <c r="O8" s="217"/>
      <c r="P8" s="218"/>
      <c r="Q8" s="218"/>
      <c r="R8" s="219" t="e">
        <f t="shared" si="4"/>
        <v>#DIV/0!</v>
      </c>
      <c r="S8" s="229"/>
      <c r="T8" s="217"/>
      <c r="U8" s="218"/>
      <c r="V8" s="218"/>
      <c r="W8" s="219" t="e">
        <f t="shared" si="6"/>
        <v>#DIV/0!</v>
      </c>
      <c r="X8" s="220"/>
    </row>
    <row r="9" spans="1:24" s="6" customFormat="1" ht="9.9499999999999993" customHeight="1" x14ac:dyDescent="0.2">
      <c r="A9" s="232" t="s">
        <v>4</v>
      </c>
      <c r="B9" s="233" t="s">
        <v>60</v>
      </c>
      <c r="C9" s="234"/>
      <c r="D9" s="235" t="s">
        <v>25</v>
      </c>
      <c r="E9" s="42">
        <f t="shared" si="8"/>
        <v>38709230</v>
      </c>
      <c r="F9" s="43">
        <f t="shared" si="8"/>
        <v>39049252</v>
      </c>
      <c r="G9" s="43">
        <f t="shared" si="8"/>
        <v>19771306</v>
      </c>
      <c r="H9" s="26">
        <f t="shared" si="0"/>
        <v>50.631715045399595</v>
      </c>
      <c r="I9" s="230">
        <f>SUM(N9,S9)</f>
        <v>19348057.43</v>
      </c>
      <c r="J9" s="344">
        <v>5577930</v>
      </c>
      <c r="K9" s="345">
        <v>5577930</v>
      </c>
      <c r="L9" s="345">
        <v>2788965</v>
      </c>
      <c r="M9" s="219">
        <f t="shared" si="2"/>
        <v>50</v>
      </c>
      <c r="N9" s="347">
        <v>2781316</v>
      </c>
      <c r="O9" s="348">
        <v>33131300</v>
      </c>
      <c r="P9" s="345">
        <f>33303322+168000</f>
        <v>33471322</v>
      </c>
      <c r="Q9" s="345">
        <v>16982341</v>
      </c>
      <c r="R9" s="346">
        <f t="shared" si="4"/>
        <v>50.736989115637563</v>
      </c>
      <c r="S9" s="347">
        <v>16566741.43</v>
      </c>
      <c r="T9" s="348"/>
      <c r="U9" s="345"/>
      <c r="V9" s="345"/>
      <c r="W9" s="219" t="e">
        <f t="shared" si="6"/>
        <v>#DIV/0!</v>
      </c>
      <c r="X9" s="349"/>
    </row>
    <row r="10" spans="1:24" s="6" customFormat="1" ht="9.9499999999999993" customHeight="1" x14ac:dyDescent="0.2">
      <c r="A10" s="134" t="s">
        <v>5</v>
      </c>
      <c r="B10" s="526" t="s">
        <v>7</v>
      </c>
      <c r="C10" s="527"/>
      <c r="D10" s="20" t="s">
        <v>25</v>
      </c>
      <c r="E10" s="46">
        <f t="shared" si="8"/>
        <v>0</v>
      </c>
      <c r="F10" s="46">
        <f t="shared" si="8"/>
        <v>0</v>
      </c>
      <c r="G10" s="46">
        <f t="shared" si="8"/>
        <v>0</v>
      </c>
      <c r="H10" s="149" t="e">
        <f t="shared" si="0"/>
        <v>#DIV/0!</v>
      </c>
      <c r="I10" s="47">
        <f>SUM(N10,S10)</f>
        <v>0</v>
      </c>
      <c r="J10" s="31"/>
      <c r="K10" s="46"/>
      <c r="L10" s="46"/>
      <c r="M10" s="24" t="e">
        <f t="shared" si="2"/>
        <v>#DIV/0!</v>
      </c>
      <c r="N10" s="46"/>
      <c r="O10" s="46"/>
      <c r="P10" s="46"/>
      <c r="Q10" s="46"/>
      <c r="R10" s="362" t="e">
        <f t="shared" si="4"/>
        <v>#DIV/0!</v>
      </c>
      <c r="S10" s="47"/>
      <c r="T10" s="46"/>
      <c r="U10" s="46"/>
      <c r="V10" s="46"/>
      <c r="W10" s="362" t="e">
        <f t="shared" si="6"/>
        <v>#DIV/0!</v>
      </c>
      <c r="X10" s="46"/>
    </row>
    <row r="11" spans="1:24" s="6" customFormat="1" ht="9.9499999999999993" customHeight="1" x14ac:dyDescent="0.2">
      <c r="A11" s="134" t="s">
        <v>6</v>
      </c>
      <c r="B11" s="526" t="s">
        <v>9</v>
      </c>
      <c r="C11" s="527"/>
      <c r="D11" s="20" t="s">
        <v>25</v>
      </c>
      <c r="E11" s="29">
        <f t="shared" ref="E11:I11" si="9">SUM(E12:E32)</f>
        <v>43222130</v>
      </c>
      <c r="F11" s="29">
        <f t="shared" si="9"/>
        <v>43651452</v>
      </c>
      <c r="G11" s="29">
        <f t="shared" si="9"/>
        <v>22098278</v>
      </c>
      <c r="H11" s="24">
        <f t="shared" si="0"/>
        <v>50.62438243749601</v>
      </c>
      <c r="I11" s="30">
        <f t="shared" si="9"/>
        <v>22102389.41</v>
      </c>
      <c r="J11" s="29">
        <f t="shared" ref="J11" si="10">SUM(J12:J32)</f>
        <v>10090830</v>
      </c>
      <c r="K11" s="29">
        <f>SUM(K12:K32)</f>
        <v>10172130</v>
      </c>
      <c r="L11" s="29">
        <f>SUM(L12:L32)</f>
        <v>5108323</v>
      </c>
      <c r="M11" s="24">
        <f t="shared" si="2"/>
        <v>50.218813562154629</v>
      </c>
      <c r="N11" s="29">
        <f>SUM(N12:N32)</f>
        <v>5530267.9799999986</v>
      </c>
      <c r="O11" s="29">
        <f>SUM(O12:O32)</f>
        <v>33131300</v>
      </c>
      <c r="P11" s="29">
        <f>SUM(P12:P32)</f>
        <v>33479322</v>
      </c>
      <c r="Q11" s="29">
        <f>SUM(Q12:Q32)</f>
        <v>16989955</v>
      </c>
      <c r="R11" s="24">
        <f t="shared" si="4"/>
        <v>50.747607732319068</v>
      </c>
      <c r="S11" s="30">
        <f t="shared" ref="S11:V11" si="11">SUM(S12:S32)</f>
        <v>16572121.43</v>
      </c>
      <c r="T11" s="29">
        <f t="shared" si="11"/>
        <v>680000</v>
      </c>
      <c r="U11" s="29">
        <f t="shared" si="11"/>
        <v>680000</v>
      </c>
      <c r="V11" s="29">
        <f t="shared" si="11"/>
        <v>324283</v>
      </c>
      <c r="W11" s="24">
        <f t="shared" si="6"/>
        <v>47.688676470588234</v>
      </c>
      <c r="X11" s="29">
        <f t="shared" ref="X11" si="12">SUM(X12:X32)</f>
        <v>20430</v>
      </c>
    </row>
    <row r="12" spans="1:24" s="6" customFormat="1" ht="9.9499999999999993" customHeight="1" x14ac:dyDescent="0.2">
      <c r="A12" s="130" t="s">
        <v>8</v>
      </c>
      <c r="B12" s="528" t="s">
        <v>28</v>
      </c>
      <c r="C12" s="528"/>
      <c r="D12" s="131" t="s">
        <v>25</v>
      </c>
      <c r="E12" s="32">
        <f t="shared" ref="E12:I29" si="13">SUM(J12,O12)</f>
        <v>4787354</v>
      </c>
      <c r="F12" s="33">
        <f t="shared" si="13"/>
        <v>4786154</v>
      </c>
      <c r="G12" s="33">
        <f t="shared" si="13"/>
        <v>2863476</v>
      </c>
      <c r="H12" s="9">
        <f t="shared" si="0"/>
        <v>59.828329803010938</v>
      </c>
      <c r="I12" s="324">
        <f t="shared" si="13"/>
        <v>2739739.13</v>
      </c>
      <c r="J12" s="350">
        <v>4483354</v>
      </c>
      <c r="K12" s="351">
        <v>4482154</v>
      </c>
      <c r="L12" s="351">
        <v>2663143</v>
      </c>
      <c r="M12" s="219">
        <f t="shared" si="2"/>
        <v>59.416588542026894</v>
      </c>
      <c r="N12" s="352">
        <v>2566510.12</v>
      </c>
      <c r="O12" s="353">
        <v>304000</v>
      </c>
      <c r="P12" s="351">
        <v>304000</v>
      </c>
      <c r="Q12" s="351">
        <v>200333</v>
      </c>
      <c r="R12" s="341">
        <f t="shared" si="4"/>
        <v>65.899013157894743</v>
      </c>
      <c r="S12" s="352">
        <v>173229.01</v>
      </c>
      <c r="T12" s="353">
        <v>51000</v>
      </c>
      <c r="U12" s="351">
        <v>51000</v>
      </c>
      <c r="V12" s="351">
        <v>21490</v>
      </c>
      <c r="W12" s="219">
        <f t="shared" si="6"/>
        <v>42.137254901960787</v>
      </c>
      <c r="X12" s="354">
        <v>304</v>
      </c>
    </row>
    <row r="13" spans="1:24" s="6" customFormat="1" ht="9.9499999999999993" customHeight="1" x14ac:dyDescent="0.2">
      <c r="A13" s="135" t="s">
        <v>10</v>
      </c>
      <c r="B13" s="508" t="s">
        <v>29</v>
      </c>
      <c r="C13" s="508"/>
      <c r="D13" s="133" t="s">
        <v>25</v>
      </c>
      <c r="E13" s="38">
        <f t="shared" si="13"/>
        <v>2640000</v>
      </c>
      <c r="F13" s="39">
        <f t="shared" si="13"/>
        <v>2500000</v>
      </c>
      <c r="G13" s="39">
        <f t="shared" si="13"/>
        <v>1332819</v>
      </c>
      <c r="H13" s="10">
        <f t="shared" si="0"/>
        <v>53.312760000000004</v>
      </c>
      <c r="I13" s="229">
        <f t="shared" si="13"/>
        <v>1624417.92</v>
      </c>
      <c r="J13" s="240">
        <v>2640000</v>
      </c>
      <c r="K13" s="218">
        <v>2500000</v>
      </c>
      <c r="L13" s="218">
        <v>1332819</v>
      </c>
      <c r="M13" s="219">
        <f t="shared" si="2"/>
        <v>53.312760000000004</v>
      </c>
      <c r="N13" s="229">
        <v>1624417.92</v>
      </c>
      <c r="O13" s="217"/>
      <c r="P13" s="218"/>
      <c r="Q13" s="218"/>
      <c r="R13" s="219" t="e">
        <f t="shared" si="4"/>
        <v>#DIV/0!</v>
      </c>
      <c r="S13" s="229"/>
      <c r="T13" s="217">
        <v>490000</v>
      </c>
      <c r="U13" s="218">
        <v>435000</v>
      </c>
      <c r="V13" s="218">
        <v>174980</v>
      </c>
      <c r="W13" s="219">
        <f t="shared" si="6"/>
        <v>40.225287356321836</v>
      </c>
      <c r="X13" s="220"/>
    </row>
    <row r="14" spans="1:24" s="6" customFormat="1" ht="9.9499999999999993" customHeight="1" x14ac:dyDescent="0.2">
      <c r="A14" s="135" t="s">
        <v>11</v>
      </c>
      <c r="B14" s="236" t="s">
        <v>61</v>
      </c>
      <c r="C14" s="237"/>
      <c r="D14" s="133" t="s">
        <v>25</v>
      </c>
      <c r="E14" s="38">
        <f t="shared" si="13"/>
        <v>0</v>
      </c>
      <c r="F14" s="39">
        <f t="shared" si="13"/>
        <v>0</v>
      </c>
      <c r="G14" s="39">
        <f t="shared" si="13"/>
        <v>0</v>
      </c>
      <c r="H14" s="14" t="e">
        <f t="shared" si="0"/>
        <v>#DIV/0!</v>
      </c>
      <c r="I14" s="229">
        <f t="shared" si="13"/>
        <v>0</v>
      </c>
      <c r="J14" s="240"/>
      <c r="K14" s="218"/>
      <c r="L14" s="218"/>
      <c r="M14" s="219" t="e">
        <f t="shared" si="2"/>
        <v>#DIV/0!</v>
      </c>
      <c r="N14" s="229"/>
      <c r="O14" s="217"/>
      <c r="P14" s="218"/>
      <c r="Q14" s="218"/>
      <c r="R14" s="219" t="e">
        <f t="shared" si="4"/>
        <v>#DIV/0!</v>
      </c>
      <c r="S14" s="229"/>
      <c r="T14" s="217"/>
      <c r="U14" s="218"/>
      <c r="V14" s="218"/>
      <c r="W14" s="219" t="e">
        <f t="shared" si="6"/>
        <v>#DIV/0!</v>
      </c>
      <c r="X14" s="220"/>
    </row>
    <row r="15" spans="1:24" s="6" customFormat="1" ht="9.9499999999999993" customHeight="1" x14ac:dyDescent="0.2">
      <c r="A15" s="135" t="s">
        <v>12</v>
      </c>
      <c r="B15" s="511" t="s">
        <v>109</v>
      </c>
      <c r="C15" s="512"/>
      <c r="D15" s="133" t="s">
        <v>25</v>
      </c>
      <c r="E15" s="38">
        <f t="shared" si="13"/>
        <v>650000</v>
      </c>
      <c r="F15" s="39">
        <f t="shared" si="13"/>
        <v>790000</v>
      </c>
      <c r="G15" s="39">
        <f t="shared" si="13"/>
        <v>92743</v>
      </c>
      <c r="H15" s="10">
        <f t="shared" si="0"/>
        <v>11.739620253164556</v>
      </c>
      <c r="I15" s="229">
        <f t="shared" si="13"/>
        <v>225963.1</v>
      </c>
      <c r="J15" s="240">
        <v>650000</v>
      </c>
      <c r="K15" s="218">
        <v>790000</v>
      </c>
      <c r="L15" s="218">
        <v>92743</v>
      </c>
      <c r="M15" s="219">
        <f t="shared" si="2"/>
        <v>11.739620253164556</v>
      </c>
      <c r="N15" s="229">
        <v>225963.1</v>
      </c>
      <c r="O15" s="217"/>
      <c r="P15" s="218"/>
      <c r="Q15" s="218"/>
      <c r="R15" s="219" t="e">
        <f t="shared" si="4"/>
        <v>#DIV/0!</v>
      </c>
      <c r="S15" s="229"/>
      <c r="T15" s="217">
        <v>40000</v>
      </c>
      <c r="U15" s="218">
        <v>40000</v>
      </c>
      <c r="V15" s="218">
        <v>12440</v>
      </c>
      <c r="W15" s="219">
        <f t="shared" si="6"/>
        <v>31.1</v>
      </c>
      <c r="X15" s="220"/>
    </row>
    <row r="16" spans="1:24" s="6" customFormat="1" ht="9.9499999999999993" customHeight="1" x14ac:dyDescent="0.2">
      <c r="A16" s="135" t="s">
        <v>13</v>
      </c>
      <c r="B16" s="511" t="s">
        <v>30</v>
      </c>
      <c r="C16" s="512"/>
      <c r="D16" s="133" t="s">
        <v>25</v>
      </c>
      <c r="E16" s="38">
        <f t="shared" si="13"/>
        <v>115000</v>
      </c>
      <c r="F16" s="39">
        <f t="shared" si="13"/>
        <v>115000</v>
      </c>
      <c r="G16" s="39">
        <f t="shared" si="13"/>
        <v>72399</v>
      </c>
      <c r="H16" s="10">
        <f t="shared" si="0"/>
        <v>62.955652173913045</v>
      </c>
      <c r="I16" s="229">
        <f t="shared" si="13"/>
        <v>53929.08</v>
      </c>
      <c r="J16" s="240">
        <v>25000</v>
      </c>
      <c r="K16" s="218">
        <v>25000</v>
      </c>
      <c r="L16" s="218">
        <v>2819</v>
      </c>
      <c r="M16" s="219">
        <f t="shared" si="2"/>
        <v>11.276</v>
      </c>
      <c r="N16" s="229">
        <v>4767</v>
      </c>
      <c r="O16" s="217">
        <v>90000</v>
      </c>
      <c r="P16" s="218">
        <v>90000</v>
      </c>
      <c r="Q16" s="218">
        <v>69580</v>
      </c>
      <c r="R16" s="219">
        <f t="shared" si="4"/>
        <v>77.311111111111103</v>
      </c>
      <c r="S16" s="229">
        <v>49162.080000000002</v>
      </c>
      <c r="T16" s="217"/>
      <c r="U16" s="218"/>
      <c r="V16" s="218"/>
      <c r="W16" s="219" t="e">
        <f t="shared" si="6"/>
        <v>#DIV/0!</v>
      </c>
      <c r="X16" s="220"/>
    </row>
    <row r="17" spans="1:24" s="6" customFormat="1" ht="9.9499999999999993" customHeight="1" x14ac:dyDescent="0.2">
      <c r="A17" s="135" t="s">
        <v>14</v>
      </c>
      <c r="B17" s="236" t="s">
        <v>47</v>
      </c>
      <c r="C17" s="237"/>
      <c r="D17" s="133" t="s">
        <v>25</v>
      </c>
      <c r="E17" s="38">
        <f t="shared" si="13"/>
        <v>8000</v>
      </c>
      <c r="F17" s="39">
        <f t="shared" si="13"/>
        <v>8000</v>
      </c>
      <c r="G17" s="39">
        <f t="shared" si="13"/>
        <v>2619</v>
      </c>
      <c r="H17" s="10">
        <f t="shared" si="0"/>
        <v>32.737500000000004</v>
      </c>
      <c r="I17" s="229">
        <f t="shared" si="13"/>
        <v>6655</v>
      </c>
      <c r="J17" s="240">
        <v>8000</v>
      </c>
      <c r="K17" s="218">
        <v>8000</v>
      </c>
      <c r="L17" s="218">
        <v>2619</v>
      </c>
      <c r="M17" s="219">
        <f t="shared" si="2"/>
        <v>32.737500000000004</v>
      </c>
      <c r="N17" s="229">
        <v>6655</v>
      </c>
      <c r="O17" s="217"/>
      <c r="P17" s="218"/>
      <c r="Q17" s="218"/>
      <c r="R17" s="219" t="e">
        <f t="shared" si="4"/>
        <v>#DIV/0!</v>
      </c>
      <c r="S17" s="229"/>
      <c r="T17" s="217"/>
      <c r="U17" s="218"/>
      <c r="V17" s="218"/>
      <c r="W17" s="219" t="e">
        <f t="shared" si="6"/>
        <v>#DIV/0!</v>
      </c>
      <c r="X17" s="220"/>
    </row>
    <row r="18" spans="1:24" s="6" customFormat="1" ht="9.9499999999999993" customHeight="1" x14ac:dyDescent="0.2">
      <c r="A18" s="314" t="s">
        <v>15</v>
      </c>
      <c r="B18" s="636" t="s">
        <v>31</v>
      </c>
      <c r="C18" s="637"/>
      <c r="D18" s="133" t="s">
        <v>25</v>
      </c>
      <c r="E18" s="58">
        <f t="shared" si="13"/>
        <v>632000</v>
      </c>
      <c r="F18" s="59">
        <f t="shared" si="13"/>
        <v>632000</v>
      </c>
      <c r="G18" s="59">
        <f t="shared" si="13"/>
        <v>300016</v>
      </c>
      <c r="H18" s="10">
        <f t="shared" si="0"/>
        <v>47.470886075949366</v>
      </c>
      <c r="I18" s="272">
        <f t="shared" si="13"/>
        <v>308132.64</v>
      </c>
      <c r="J18" s="331">
        <v>570000</v>
      </c>
      <c r="K18" s="276">
        <v>570000</v>
      </c>
      <c r="L18" s="276">
        <v>255116</v>
      </c>
      <c r="M18" s="219">
        <f t="shared" si="2"/>
        <v>44.757192982456139</v>
      </c>
      <c r="N18" s="272">
        <v>287832.64</v>
      </c>
      <c r="O18" s="277">
        <v>62000</v>
      </c>
      <c r="P18" s="276">
        <v>62000</v>
      </c>
      <c r="Q18" s="276">
        <v>44900</v>
      </c>
      <c r="R18" s="219">
        <f t="shared" si="4"/>
        <v>72.41935483870968</v>
      </c>
      <c r="S18" s="272">
        <v>20300</v>
      </c>
      <c r="T18" s="277">
        <v>46000</v>
      </c>
      <c r="U18" s="276">
        <v>46000</v>
      </c>
      <c r="V18" s="276">
        <v>23362</v>
      </c>
      <c r="W18" s="219">
        <f t="shared" si="6"/>
        <v>50.786956521739135</v>
      </c>
      <c r="X18" s="307"/>
    </row>
    <row r="19" spans="1:24" s="11" customFormat="1" ht="9.9499999999999993" customHeight="1" x14ac:dyDescent="0.2">
      <c r="A19" s="314" t="s">
        <v>16</v>
      </c>
      <c r="B19" s="638" t="s">
        <v>32</v>
      </c>
      <c r="C19" s="638"/>
      <c r="D19" s="133" t="s">
        <v>25</v>
      </c>
      <c r="E19" s="58">
        <f t="shared" si="13"/>
        <v>24185600</v>
      </c>
      <c r="F19" s="59">
        <f t="shared" si="13"/>
        <v>24481600</v>
      </c>
      <c r="G19" s="59">
        <f t="shared" si="13"/>
        <v>12434407</v>
      </c>
      <c r="H19" s="10">
        <f t="shared" si="0"/>
        <v>50.790826579962086</v>
      </c>
      <c r="I19" s="272">
        <f t="shared" si="13"/>
        <v>12175963</v>
      </c>
      <c r="J19" s="332">
        <v>235600</v>
      </c>
      <c r="K19" s="276">
        <v>295600</v>
      </c>
      <c r="L19" s="276">
        <v>170548</v>
      </c>
      <c r="M19" s="219">
        <f t="shared" si="2"/>
        <v>57.695534506089309</v>
      </c>
      <c r="N19" s="272">
        <v>112559</v>
      </c>
      <c r="O19" s="277">
        <v>23950000</v>
      </c>
      <c r="P19" s="276">
        <f>24055000+131000</f>
        <v>24186000</v>
      </c>
      <c r="Q19" s="276">
        <v>12263859</v>
      </c>
      <c r="R19" s="219">
        <f t="shared" si="4"/>
        <v>50.706437608533861</v>
      </c>
      <c r="S19" s="272">
        <v>12063404</v>
      </c>
      <c r="T19" s="363">
        <v>53000</v>
      </c>
      <c r="U19" s="326">
        <v>53000</v>
      </c>
      <c r="V19" s="326">
        <v>37616</v>
      </c>
      <c r="W19" s="219">
        <f t="shared" si="6"/>
        <v>70.973584905660374</v>
      </c>
      <c r="X19" s="333">
        <v>20126</v>
      </c>
    </row>
    <row r="20" spans="1:24" s="6" customFormat="1" ht="9.9499999999999993" customHeight="1" x14ac:dyDescent="0.2">
      <c r="A20" s="314" t="s">
        <v>17</v>
      </c>
      <c r="B20" s="638" t="s">
        <v>48</v>
      </c>
      <c r="C20" s="638"/>
      <c r="D20" s="133" t="s">
        <v>25</v>
      </c>
      <c r="E20" s="58">
        <f t="shared" si="13"/>
        <v>8222600</v>
      </c>
      <c r="F20" s="59">
        <f t="shared" si="13"/>
        <v>8314000</v>
      </c>
      <c r="G20" s="59">
        <f t="shared" si="13"/>
        <v>4213686</v>
      </c>
      <c r="H20" s="10">
        <f t="shared" si="0"/>
        <v>50.68181380803464</v>
      </c>
      <c r="I20" s="272">
        <f t="shared" si="13"/>
        <v>4136631.34</v>
      </c>
      <c r="J20" s="331">
        <v>6600</v>
      </c>
      <c r="K20" s="276">
        <v>27000</v>
      </c>
      <c r="L20" s="276">
        <v>22108</v>
      </c>
      <c r="M20" s="219">
        <f t="shared" si="2"/>
        <v>81.881481481481472</v>
      </c>
      <c r="N20" s="272">
        <v>5005</v>
      </c>
      <c r="O20" s="277">
        <v>8216000</v>
      </c>
      <c r="P20" s="276">
        <f>8250000+37000</f>
        <v>8287000</v>
      </c>
      <c r="Q20" s="276">
        <v>4191578</v>
      </c>
      <c r="R20" s="219">
        <f t="shared" si="4"/>
        <v>50.580161699046698</v>
      </c>
      <c r="S20" s="272">
        <v>4131626.34</v>
      </c>
      <c r="T20" s="277"/>
      <c r="U20" s="276"/>
      <c r="V20" s="276"/>
      <c r="W20" s="219" t="e">
        <f t="shared" si="6"/>
        <v>#DIV/0!</v>
      </c>
      <c r="X20" s="307"/>
    </row>
    <row r="21" spans="1:24" s="6" customFormat="1" ht="9.9499999999999993" customHeight="1" x14ac:dyDescent="0.2">
      <c r="A21" s="314" t="s">
        <v>18</v>
      </c>
      <c r="B21" s="638" t="s">
        <v>49</v>
      </c>
      <c r="C21" s="638"/>
      <c r="D21" s="133" t="s">
        <v>25</v>
      </c>
      <c r="E21" s="58">
        <f t="shared" si="13"/>
        <v>364800</v>
      </c>
      <c r="F21" s="59">
        <f t="shared" si="13"/>
        <v>366722</v>
      </c>
      <c r="G21" s="59">
        <f t="shared" si="13"/>
        <v>194135</v>
      </c>
      <c r="H21" s="10">
        <f t="shared" si="0"/>
        <v>52.937920277485397</v>
      </c>
      <c r="I21" s="272">
        <f t="shared" si="13"/>
        <v>138020</v>
      </c>
      <c r="J21" s="331">
        <v>5500</v>
      </c>
      <c r="K21" s="276">
        <v>6400</v>
      </c>
      <c r="L21" s="276">
        <v>850</v>
      </c>
      <c r="M21" s="219">
        <f t="shared" si="2"/>
        <v>13.28125</v>
      </c>
      <c r="N21" s="272">
        <v>3620</v>
      </c>
      <c r="O21" s="277">
        <v>359300</v>
      </c>
      <c r="P21" s="276">
        <v>360322</v>
      </c>
      <c r="Q21" s="276">
        <v>193285</v>
      </c>
      <c r="R21" s="219">
        <f t="shared" si="4"/>
        <v>53.642297722592566</v>
      </c>
      <c r="S21" s="272">
        <v>134400</v>
      </c>
      <c r="T21" s="277"/>
      <c r="U21" s="276"/>
      <c r="V21" s="276"/>
      <c r="W21" s="219" t="e">
        <f t="shared" si="6"/>
        <v>#DIV/0!</v>
      </c>
      <c r="X21" s="307"/>
    </row>
    <row r="22" spans="1:24" s="6" customFormat="1" ht="9.9499999999999993" customHeight="1" x14ac:dyDescent="0.2">
      <c r="A22" s="314" t="s">
        <v>19</v>
      </c>
      <c r="B22" s="638" t="s">
        <v>62</v>
      </c>
      <c r="C22" s="638"/>
      <c r="D22" s="133" t="s">
        <v>25</v>
      </c>
      <c r="E22" s="58">
        <f t="shared" si="13"/>
        <v>0</v>
      </c>
      <c r="F22" s="59">
        <f t="shared" si="13"/>
        <v>0</v>
      </c>
      <c r="G22" s="59">
        <f t="shared" si="13"/>
        <v>0</v>
      </c>
      <c r="H22" s="14" t="e">
        <f t="shared" si="0"/>
        <v>#DIV/0!</v>
      </c>
      <c r="I22" s="272">
        <f t="shared" si="13"/>
        <v>0</v>
      </c>
      <c r="J22" s="331"/>
      <c r="K22" s="276"/>
      <c r="L22" s="276"/>
      <c r="M22" s="219" t="e">
        <f t="shared" si="2"/>
        <v>#DIV/0!</v>
      </c>
      <c r="N22" s="272"/>
      <c r="O22" s="277"/>
      <c r="P22" s="276"/>
      <c r="Q22" s="276"/>
      <c r="R22" s="219" t="e">
        <f t="shared" si="4"/>
        <v>#DIV/0!</v>
      </c>
      <c r="S22" s="272"/>
      <c r="T22" s="277"/>
      <c r="U22" s="276"/>
      <c r="V22" s="276"/>
      <c r="W22" s="219" t="e">
        <f t="shared" si="6"/>
        <v>#DIV/0!</v>
      </c>
      <c r="X22" s="307"/>
    </row>
    <row r="23" spans="1:24" s="6" customFormat="1" ht="9.9499999999999993" customHeight="1" x14ac:dyDescent="0.2">
      <c r="A23" s="314" t="s">
        <v>20</v>
      </c>
      <c r="B23" s="315" t="s">
        <v>101</v>
      </c>
      <c r="C23" s="315"/>
      <c r="D23" s="133" t="s">
        <v>25</v>
      </c>
      <c r="E23" s="58">
        <f t="shared" si="13"/>
        <v>0</v>
      </c>
      <c r="F23" s="59">
        <f t="shared" si="13"/>
        <v>0</v>
      </c>
      <c r="G23" s="59">
        <f t="shared" si="13"/>
        <v>0</v>
      </c>
      <c r="H23" s="14" t="e">
        <f t="shared" si="0"/>
        <v>#DIV/0!</v>
      </c>
      <c r="I23" s="272">
        <f t="shared" si="13"/>
        <v>0</v>
      </c>
      <c r="J23" s="331"/>
      <c r="K23" s="276"/>
      <c r="L23" s="276"/>
      <c r="M23" s="219" t="e">
        <f t="shared" si="2"/>
        <v>#DIV/0!</v>
      </c>
      <c r="N23" s="272"/>
      <c r="O23" s="277"/>
      <c r="P23" s="276"/>
      <c r="Q23" s="276"/>
      <c r="R23" s="219" t="e">
        <f t="shared" si="4"/>
        <v>#DIV/0!</v>
      </c>
      <c r="S23" s="272"/>
      <c r="T23" s="277"/>
      <c r="U23" s="276"/>
      <c r="V23" s="276"/>
      <c r="W23" s="219" t="e">
        <f t="shared" si="6"/>
        <v>#DIV/0!</v>
      </c>
      <c r="X23" s="307"/>
    </row>
    <row r="24" spans="1:24" s="6" customFormat="1" ht="9.9499999999999993" customHeight="1" x14ac:dyDescent="0.2">
      <c r="A24" s="314" t="s">
        <v>21</v>
      </c>
      <c r="B24" s="315" t="s">
        <v>110</v>
      </c>
      <c r="C24" s="315"/>
      <c r="D24" s="133" t="s">
        <v>25</v>
      </c>
      <c r="E24" s="58">
        <f t="shared" si="13"/>
        <v>0</v>
      </c>
      <c r="F24" s="59">
        <f t="shared" si="13"/>
        <v>0</v>
      </c>
      <c r="G24" s="59">
        <f t="shared" si="13"/>
        <v>0</v>
      </c>
      <c r="H24" s="14" t="e">
        <f t="shared" si="0"/>
        <v>#DIV/0!</v>
      </c>
      <c r="I24" s="272">
        <f t="shared" si="13"/>
        <v>0</v>
      </c>
      <c r="J24" s="331"/>
      <c r="K24" s="276"/>
      <c r="L24" s="276"/>
      <c r="M24" s="219" t="e">
        <f t="shared" si="2"/>
        <v>#DIV/0!</v>
      </c>
      <c r="N24" s="272"/>
      <c r="O24" s="277"/>
      <c r="P24" s="276"/>
      <c r="Q24" s="276"/>
      <c r="R24" s="219" t="e">
        <f t="shared" si="4"/>
        <v>#DIV/0!</v>
      </c>
      <c r="S24" s="272"/>
      <c r="T24" s="277"/>
      <c r="U24" s="326"/>
      <c r="V24" s="326"/>
      <c r="W24" s="219" t="e">
        <f t="shared" si="6"/>
        <v>#DIV/0!</v>
      </c>
      <c r="X24" s="333"/>
    </row>
    <row r="25" spans="1:24" s="13" customFormat="1" ht="9.9499999999999993" customHeight="1" x14ac:dyDescent="0.2">
      <c r="A25" s="314" t="s">
        <v>22</v>
      </c>
      <c r="B25" s="315" t="s">
        <v>63</v>
      </c>
      <c r="C25" s="315"/>
      <c r="D25" s="133" t="s">
        <v>25</v>
      </c>
      <c r="E25" s="58">
        <f t="shared" si="13"/>
        <v>25000</v>
      </c>
      <c r="F25" s="59">
        <f t="shared" si="13"/>
        <v>25000</v>
      </c>
      <c r="G25" s="59">
        <f t="shared" si="13"/>
        <v>9660</v>
      </c>
      <c r="H25" s="14">
        <f>G25/F25*100</f>
        <v>38.64</v>
      </c>
      <c r="I25" s="272">
        <f>SUM(N25,S25)</f>
        <v>14513.85</v>
      </c>
      <c r="J25" s="331">
        <v>25000</v>
      </c>
      <c r="K25" s="271">
        <v>25000</v>
      </c>
      <c r="L25" s="271">
        <v>9660</v>
      </c>
      <c r="M25" s="219">
        <f t="shared" si="2"/>
        <v>38.64</v>
      </c>
      <c r="N25" s="272">
        <v>14513.85</v>
      </c>
      <c r="O25" s="273"/>
      <c r="P25" s="271"/>
      <c r="Q25" s="271"/>
      <c r="R25" s="219" t="e">
        <f t="shared" si="4"/>
        <v>#DIV/0!</v>
      </c>
      <c r="S25" s="272"/>
      <c r="T25" s="273"/>
      <c r="U25" s="326"/>
      <c r="V25" s="326"/>
      <c r="W25" s="219" t="e">
        <f t="shared" si="6"/>
        <v>#DIV/0!</v>
      </c>
      <c r="X25" s="333"/>
    </row>
    <row r="26" spans="1:24" s="6" customFormat="1" ht="9.9499999999999993" customHeight="1" x14ac:dyDescent="0.2">
      <c r="A26" s="314" t="s">
        <v>23</v>
      </c>
      <c r="B26" s="636" t="s">
        <v>64</v>
      </c>
      <c r="C26" s="637"/>
      <c r="D26" s="133" t="s">
        <v>25</v>
      </c>
      <c r="E26" s="58">
        <f t="shared" si="13"/>
        <v>1172276</v>
      </c>
      <c r="F26" s="59">
        <f t="shared" si="13"/>
        <v>1172276</v>
      </c>
      <c r="G26" s="59">
        <f t="shared" si="13"/>
        <v>518563</v>
      </c>
      <c r="H26" s="14">
        <f t="shared" si="0"/>
        <v>44.235572510227968</v>
      </c>
      <c r="I26" s="272">
        <f t="shared" si="13"/>
        <v>0</v>
      </c>
      <c r="J26" s="331">
        <v>1172276</v>
      </c>
      <c r="K26" s="276">
        <v>1172276</v>
      </c>
      <c r="L26" s="276">
        <v>518563</v>
      </c>
      <c r="M26" s="219">
        <f t="shared" si="2"/>
        <v>44.235572510227968</v>
      </c>
      <c r="N26" s="274"/>
      <c r="O26" s="277"/>
      <c r="P26" s="276"/>
      <c r="Q26" s="276"/>
      <c r="R26" s="219" t="e">
        <f t="shared" si="4"/>
        <v>#DIV/0!</v>
      </c>
      <c r="S26" s="274"/>
      <c r="T26" s="278"/>
      <c r="U26" s="326">
        <v>55000</v>
      </c>
      <c r="V26" s="326">
        <v>54395</v>
      </c>
      <c r="W26" s="219">
        <f t="shared" si="6"/>
        <v>98.9</v>
      </c>
      <c r="X26" s="333"/>
    </row>
    <row r="27" spans="1:24" s="13" customFormat="1" ht="9.9499999999999993" customHeight="1" x14ac:dyDescent="0.2">
      <c r="A27" s="314" t="s">
        <v>44</v>
      </c>
      <c r="B27" s="316" t="s">
        <v>65</v>
      </c>
      <c r="C27" s="317"/>
      <c r="D27" s="133" t="s">
        <v>25</v>
      </c>
      <c r="E27" s="58">
        <f t="shared" si="13"/>
        <v>0</v>
      </c>
      <c r="F27" s="59">
        <f t="shared" si="13"/>
        <v>0</v>
      </c>
      <c r="G27" s="59">
        <f t="shared" si="13"/>
        <v>0</v>
      </c>
      <c r="H27" s="14" t="e">
        <f t="shared" si="0"/>
        <v>#DIV/0!</v>
      </c>
      <c r="I27" s="272">
        <f t="shared" si="13"/>
        <v>490578</v>
      </c>
      <c r="J27" s="331"/>
      <c r="K27" s="276"/>
      <c r="L27" s="276"/>
      <c r="M27" s="219" t="e">
        <f t="shared" si="2"/>
        <v>#DIV/0!</v>
      </c>
      <c r="N27" s="272">
        <v>490578</v>
      </c>
      <c r="O27" s="277"/>
      <c r="P27" s="276"/>
      <c r="Q27" s="276"/>
      <c r="R27" s="219" t="e">
        <f t="shared" si="4"/>
        <v>#DIV/0!</v>
      </c>
      <c r="S27" s="272"/>
      <c r="T27" s="278"/>
      <c r="U27" s="326"/>
      <c r="V27" s="326"/>
      <c r="W27" s="219" t="e">
        <f t="shared" si="6"/>
        <v>#DIV/0!</v>
      </c>
      <c r="X27" s="333"/>
    </row>
    <row r="28" spans="1:24" s="13" customFormat="1" ht="9.9499999999999993" customHeight="1" x14ac:dyDescent="0.2">
      <c r="A28" s="314" t="s">
        <v>50</v>
      </c>
      <c r="B28" s="316" t="s">
        <v>91</v>
      </c>
      <c r="C28" s="317"/>
      <c r="D28" s="133" t="s">
        <v>25</v>
      </c>
      <c r="E28" s="58">
        <f>SUM(J28,O28)</f>
        <v>418000</v>
      </c>
      <c r="F28" s="59">
        <f>SUM(K28,P28)</f>
        <v>458000</v>
      </c>
      <c r="G28" s="59">
        <f>SUM(L28,Q28)</f>
        <v>61826</v>
      </c>
      <c r="H28" s="14">
        <f>G28/F28*100</f>
        <v>13.499126637554584</v>
      </c>
      <c r="I28" s="272">
        <f>SUM(N28,S28)</f>
        <v>178954</v>
      </c>
      <c r="J28" s="331">
        <v>268000</v>
      </c>
      <c r="K28" s="276">
        <v>268000</v>
      </c>
      <c r="L28" s="276">
        <v>35406</v>
      </c>
      <c r="M28" s="219">
        <f t="shared" si="2"/>
        <v>13.211194029850745</v>
      </c>
      <c r="N28" s="272">
        <v>178954</v>
      </c>
      <c r="O28" s="277">
        <v>150000</v>
      </c>
      <c r="P28" s="276">
        <v>190000</v>
      </c>
      <c r="Q28" s="276">
        <v>26420</v>
      </c>
      <c r="R28" s="219">
        <f t="shared" si="4"/>
        <v>13.905263157894737</v>
      </c>
      <c r="S28" s="272"/>
      <c r="T28" s="278"/>
      <c r="U28" s="326"/>
      <c r="V28" s="326"/>
      <c r="W28" s="219" t="e">
        <f t="shared" si="6"/>
        <v>#DIV/0!</v>
      </c>
      <c r="X28" s="333"/>
    </row>
    <row r="29" spans="1:24" s="15" customFormat="1" ht="9.9499999999999993" customHeight="1" x14ac:dyDescent="0.2">
      <c r="A29" s="314" t="s">
        <v>51</v>
      </c>
      <c r="B29" s="316" t="s">
        <v>66</v>
      </c>
      <c r="C29" s="317"/>
      <c r="D29" s="133" t="s">
        <v>25</v>
      </c>
      <c r="E29" s="58">
        <f t="shared" si="13"/>
        <v>1500</v>
      </c>
      <c r="F29" s="59">
        <f t="shared" si="13"/>
        <v>1500</v>
      </c>
      <c r="G29" s="59">
        <f t="shared" si="13"/>
        <v>1114</v>
      </c>
      <c r="H29" s="14">
        <f t="shared" si="0"/>
        <v>74.266666666666666</v>
      </c>
      <c r="I29" s="272">
        <f t="shared" si="13"/>
        <v>8400</v>
      </c>
      <c r="J29" s="331">
        <v>1500</v>
      </c>
      <c r="K29" s="276">
        <v>1500</v>
      </c>
      <c r="L29" s="276">
        <v>1114</v>
      </c>
      <c r="M29" s="219">
        <f t="shared" si="2"/>
        <v>74.266666666666666</v>
      </c>
      <c r="N29" s="272">
        <v>8400</v>
      </c>
      <c r="O29" s="277"/>
      <c r="P29" s="276"/>
      <c r="Q29" s="276"/>
      <c r="R29" s="219" t="e">
        <f t="shared" si="4"/>
        <v>#DIV/0!</v>
      </c>
      <c r="S29" s="272"/>
      <c r="T29" s="278"/>
      <c r="U29" s="326"/>
      <c r="V29" s="326"/>
      <c r="W29" s="219" t="e">
        <f t="shared" si="6"/>
        <v>#DIV/0!</v>
      </c>
      <c r="X29" s="333"/>
    </row>
    <row r="30" spans="1:24" s="6" customFormat="1" ht="9.75" x14ac:dyDescent="0.2">
      <c r="A30" s="314" t="s">
        <v>53</v>
      </c>
      <c r="B30" s="316" t="s">
        <v>52</v>
      </c>
      <c r="C30" s="317"/>
      <c r="D30" s="133" t="s">
        <v>25</v>
      </c>
      <c r="E30" s="58">
        <f t="shared" ref="E30:G31" si="14">SUM(J30,O30)</f>
        <v>0</v>
      </c>
      <c r="F30" s="59">
        <f t="shared" si="14"/>
        <v>600</v>
      </c>
      <c r="G30" s="59">
        <f t="shared" si="14"/>
        <v>558</v>
      </c>
      <c r="H30" s="14">
        <f t="shared" si="0"/>
        <v>93</v>
      </c>
      <c r="I30" s="272">
        <f>SUM(N30,S30)</f>
        <v>0</v>
      </c>
      <c r="J30" s="331"/>
      <c r="K30" s="276">
        <v>600</v>
      </c>
      <c r="L30" s="276">
        <v>558</v>
      </c>
      <c r="M30" s="219">
        <f t="shared" si="2"/>
        <v>93</v>
      </c>
      <c r="N30" s="272"/>
      <c r="O30" s="277"/>
      <c r="P30" s="276"/>
      <c r="Q30" s="276"/>
      <c r="R30" s="219" t="e">
        <f t="shared" si="4"/>
        <v>#DIV/0!</v>
      </c>
      <c r="S30" s="272"/>
      <c r="T30" s="278"/>
      <c r="U30" s="326"/>
      <c r="V30" s="326"/>
      <c r="W30" s="219" t="e">
        <f t="shared" si="6"/>
        <v>#DIV/0!</v>
      </c>
      <c r="X30" s="333"/>
    </row>
    <row r="31" spans="1:24" s="318" customFormat="1" ht="9.75" x14ac:dyDescent="0.2">
      <c r="A31" s="314" t="s">
        <v>54</v>
      </c>
      <c r="B31" s="316" t="s">
        <v>67</v>
      </c>
      <c r="C31" s="317"/>
      <c r="D31" s="133" t="s">
        <v>25</v>
      </c>
      <c r="E31" s="58">
        <f t="shared" si="14"/>
        <v>0</v>
      </c>
      <c r="F31" s="59">
        <f t="shared" si="14"/>
        <v>0</v>
      </c>
      <c r="G31" s="59">
        <f t="shared" si="14"/>
        <v>0</v>
      </c>
      <c r="H31" s="14" t="e">
        <f t="shared" si="0"/>
        <v>#DIV/0!</v>
      </c>
      <c r="I31" s="272">
        <f>SUM(N31,S31)</f>
        <v>0</v>
      </c>
      <c r="J31" s="331"/>
      <c r="K31" s="327"/>
      <c r="L31" s="327"/>
      <c r="M31" s="219" t="e">
        <f t="shared" si="2"/>
        <v>#DIV/0!</v>
      </c>
      <c r="N31" s="334"/>
      <c r="O31" s="335"/>
      <c r="P31" s="327"/>
      <c r="Q31" s="327"/>
      <c r="R31" s="219" t="e">
        <f t="shared" si="4"/>
        <v>#DIV/0!</v>
      </c>
      <c r="S31" s="334"/>
      <c r="T31" s="336"/>
      <c r="U31" s="337"/>
      <c r="V31" s="337"/>
      <c r="W31" s="219" t="e">
        <f t="shared" si="6"/>
        <v>#DIV/0!</v>
      </c>
      <c r="X31" s="338"/>
    </row>
    <row r="32" spans="1:24" s="318" customFormat="1" ht="9.75" x14ac:dyDescent="0.2">
      <c r="A32" s="319" t="s">
        <v>55</v>
      </c>
      <c r="B32" s="320" t="s">
        <v>68</v>
      </c>
      <c r="C32" s="321"/>
      <c r="D32" s="235" t="s">
        <v>25</v>
      </c>
      <c r="E32" s="322">
        <f>SUM(J32,O32)</f>
        <v>0</v>
      </c>
      <c r="F32" s="323">
        <f>SUM(K32,P32)</f>
        <v>600</v>
      </c>
      <c r="G32" s="323">
        <f>SUM(L32,Q32)</f>
        <v>257</v>
      </c>
      <c r="H32" s="16">
        <f t="shared" si="0"/>
        <v>42.833333333333336</v>
      </c>
      <c r="I32" s="325">
        <f>SUM(N32,S32)</f>
        <v>492.35</v>
      </c>
      <c r="J32" s="355"/>
      <c r="K32" s="356">
        <v>600</v>
      </c>
      <c r="L32" s="356">
        <v>257</v>
      </c>
      <c r="M32" s="219">
        <f t="shared" si="2"/>
        <v>42.833333333333336</v>
      </c>
      <c r="N32" s="357">
        <v>492.35</v>
      </c>
      <c r="O32" s="358"/>
      <c r="P32" s="356"/>
      <c r="Q32" s="356"/>
      <c r="R32" s="219" t="e">
        <f t="shared" si="4"/>
        <v>#DIV/0!</v>
      </c>
      <c r="S32" s="357"/>
      <c r="T32" s="358"/>
      <c r="U32" s="359"/>
      <c r="V32" s="359"/>
      <c r="W32" s="219" t="e">
        <f t="shared" si="6"/>
        <v>#DIV/0!</v>
      </c>
      <c r="X32" s="360"/>
    </row>
    <row r="33" spans="1:24" s="23" customFormat="1" ht="9.75" x14ac:dyDescent="0.2">
      <c r="A33" s="134" t="s">
        <v>56</v>
      </c>
      <c r="B33" s="21" t="s">
        <v>102</v>
      </c>
      <c r="C33" s="22"/>
      <c r="D33" s="20" t="s">
        <v>25</v>
      </c>
      <c r="E33" s="29">
        <f>E6-E11</f>
        <v>0</v>
      </c>
      <c r="F33" s="29">
        <f>F6-F11</f>
        <v>0</v>
      </c>
      <c r="G33" s="29">
        <f>G6-G11</f>
        <v>327455</v>
      </c>
      <c r="H33" s="149" t="e">
        <f t="shared" si="0"/>
        <v>#DIV/0!</v>
      </c>
      <c r="I33" s="30">
        <f>I6-I11</f>
        <v>-203720.99000000209</v>
      </c>
      <c r="J33" s="29">
        <f>J6-J11</f>
        <v>0</v>
      </c>
      <c r="K33" s="29">
        <f>K6-K11</f>
        <v>0</v>
      </c>
      <c r="L33" s="29">
        <f>L6-L11</f>
        <v>327455</v>
      </c>
      <c r="M33" s="362" t="e">
        <f t="shared" si="2"/>
        <v>#DIV/0!</v>
      </c>
      <c r="N33" s="29">
        <f>N6-N11</f>
        <v>-203720.98999999836</v>
      </c>
      <c r="O33" s="29">
        <f>O6-O11</f>
        <v>0</v>
      </c>
      <c r="P33" s="29">
        <f>P6-P11</f>
        <v>0</v>
      </c>
      <c r="Q33" s="29">
        <f>Q6-Q11</f>
        <v>0</v>
      </c>
      <c r="R33" s="362" t="e">
        <f t="shared" si="4"/>
        <v>#DIV/0!</v>
      </c>
      <c r="S33" s="30">
        <f>S6-S11</f>
        <v>0</v>
      </c>
      <c r="T33" s="29">
        <f>T6-T11</f>
        <v>115000</v>
      </c>
      <c r="U33" s="361">
        <f>U6-U11</f>
        <v>115000</v>
      </c>
      <c r="V33" s="361">
        <f>V6-V11</f>
        <v>252178</v>
      </c>
      <c r="W33" s="362">
        <f t="shared" si="6"/>
        <v>219.28521739130434</v>
      </c>
      <c r="X33" s="361">
        <f>X6-X11</f>
        <v>453807</v>
      </c>
    </row>
    <row r="34" spans="1:24" s="4" customFormat="1" ht="9" x14ac:dyDescent="0.2">
      <c r="A34" s="224" t="s">
        <v>57</v>
      </c>
      <c r="B34" s="509" t="s">
        <v>24</v>
      </c>
      <c r="C34" s="510"/>
      <c r="D34" s="136" t="s">
        <v>25</v>
      </c>
      <c r="E34" s="306">
        <f>E19/E35/12</f>
        <v>23166.283524904215</v>
      </c>
      <c r="F34" s="150">
        <f t="shared" ref="F34" si="15">F19/F35/12</f>
        <v>23449.808429118773</v>
      </c>
      <c r="G34" s="150">
        <f>G19/G35/6</f>
        <v>23348.368258975515</v>
      </c>
      <c r="H34" s="12">
        <f t="shared" si="0"/>
        <v>99.56741578316138</v>
      </c>
      <c r="I34" s="328">
        <v>22976</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198">
        <v>87</v>
      </c>
      <c r="F35" s="199">
        <v>87</v>
      </c>
      <c r="G35" s="199">
        <v>88.76</v>
      </c>
      <c r="H35" s="261">
        <f t="shared" si="0"/>
        <v>102.02298850574714</v>
      </c>
      <c r="I35" s="329">
        <v>88</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91</v>
      </c>
      <c r="F36" s="201">
        <v>91</v>
      </c>
      <c r="G36" s="201">
        <v>93</v>
      </c>
      <c r="H36" s="259">
        <f t="shared" si="0"/>
        <v>102.19780219780219</v>
      </c>
      <c r="I36" s="330">
        <v>92</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3:A5"/>
    <mergeCell ref="O3:S3"/>
    <mergeCell ref="P4:R4"/>
    <mergeCell ref="B3:C5"/>
    <mergeCell ref="J4:J5"/>
    <mergeCell ref="E3:I3"/>
    <mergeCell ref="F4:H4"/>
    <mergeCell ref="E4:E5"/>
    <mergeCell ref="I4:I5"/>
    <mergeCell ref="D3:D5"/>
    <mergeCell ref="X4:X5"/>
    <mergeCell ref="T3:X3"/>
    <mergeCell ref="K4:M4"/>
    <mergeCell ref="N4:N5"/>
    <mergeCell ref="S4:S5"/>
    <mergeCell ref="O4:O5"/>
    <mergeCell ref="J3:N3"/>
    <mergeCell ref="A1:X1"/>
    <mergeCell ref="J34:X36"/>
    <mergeCell ref="B35:C35"/>
    <mergeCell ref="B36:C36"/>
    <mergeCell ref="B6:C6"/>
    <mergeCell ref="B7:C7"/>
    <mergeCell ref="B8:C8"/>
    <mergeCell ref="B10:C10"/>
    <mergeCell ref="B21:C21"/>
    <mergeCell ref="B11:C11"/>
    <mergeCell ref="B13:C13"/>
    <mergeCell ref="B15:C15"/>
    <mergeCell ref="B16:C16"/>
    <mergeCell ref="T4:T5"/>
    <mergeCell ref="U4:W4"/>
    <mergeCell ref="B22:C22"/>
    <mergeCell ref="B12:C12"/>
    <mergeCell ref="B34:C34"/>
    <mergeCell ref="B18:C18"/>
    <mergeCell ref="B19:C19"/>
    <mergeCell ref="B20:C20"/>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7"/>
  <sheetViews>
    <sheetView tabSelected="1" zoomScaleNormal="100" workbookViewId="0">
      <selection activeCell="A29" sqref="A29:I29"/>
    </sheetView>
  </sheetViews>
  <sheetFormatPr defaultRowHeight="12.75" x14ac:dyDescent="0.2"/>
  <cols>
    <col min="1" max="1" width="74.75" style="71" customWidth="1"/>
    <col min="2" max="9" width="23.75" style="71" customWidth="1"/>
    <col min="15" max="15" width="17.75" bestFit="1" customWidth="1"/>
  </cols>
  <sheetData>
    <row r="1" spans="1:14" ht="18.75" x14ac:dyDescent="0.3">
      <c r="A1" s="72" t="s">
        <v>84</v>
      </c>
      <c r="B1" s="70"/>
      <c r="C1" s="70"/>
      <c r="D1" s="70"/>
      <c r="E1" s="70"/>
      <c r="F1" s="70"/>
      <c r="G1" s="70"/>
      <c r="H1" s="70"/>
      <c r="I1" s="70"/>
    </row>
    <row r="2" spans="1:14" ht="11.25" customHeight="1" x14ac:dyDescent="0.2"/>
    <row r="3" spans="1:14" s="115" customFormat="1" ht="10.5" x14ac:dyDescent="0.15">
      <c r="A3" s="489" t="s">
        <v>125</v>
      </c>
      <c r="B3" s="489"/>
      <c r="C3" s="489"/>
      <c r="D3" s="489"/>
      <c r="E3" s="489"/>
      <c r="F3" s="489"/>
      <c r="G3" s="489"/>
      <c r="H3" s="489"/>
      <c r="I3" s="489"/>
    </row>
    <row r="4" spans="1:14" s="116" customFormat="1" ht="11.25" x14ac:dyDescent="0.2"/>
    <row r="5" spans="1:14" s="117" customFormat="1" ht="9.75" x14ac:dyDescent="0.2">
      <c r="A5" s="562" t="s">
        <v>69</v>
      </c>
      <c r="B5" s="563"/>
      <c r="C5" s="407" t="s">
        <v>25</v>
      </c>
      <c r="D5" s="564" t="s">
        <v>113</v>
      </c>
      <c r="E5" s="564"/>
      <c r="F5" s="564"/>
      <c r="G5" s="564"/>
      <c r="H5" s="564"/>
      <c r="I5" s="564"/>
    </row>
    <row r="6" spans="1:14" s="116" customFormat="1" ht="11.25" x14ac:dyDescent="0.2">
      <c r="A6" s="565" t="s">
        <v>70</v>
      </c>
      <c r="B6" s="566"/>
      <c r="C6" s="192">
        <v>1681766.51</v>
      </c>
      <c r="D6" s="473" t="s">
        <v>167</v>
      </c>
      <c r="E6" s="473"/>
      <c r="F6" s="473"/>
      <c r="G6" s="473"/>
      <c r="H6" s="473"/>
      <c r="I6" s="473"/>
    </row>
    <row r="7" spans="1:14" s="118" customFormat="1" ht="26.25" customHeight="1" x14ac:dyDescent="0.15">
      <c r="A7" s="565" t="s">
        <v>38</v>
      </c>
      <c r="B7" s="566"/>
      <c r="C7" s="192">
        <v>108774.25</v>
      </c>
      <c r="D7" s="473" t="s">
        <v>168</v>
      </c>
      <c r="E7" s="473"/>
      <c r="F7" s="473"/>
      <c r="G7" s="473"/>
      <c r="H7" s="473"/>
      <c r="I7" s="473"/>
    </row>
    <row r="8" spans="1:14" s="118" customFormat="1" ht="10.5" x14ac:dyDescent="0.15">
      <c r="A8" s="565" t="s">
        <v>71</v>
      </c>
      <c r="B8" s="566"/>
      <c r="C8" s="192">
        <v>4094470.6</v>
      </c>
      <c r="D8" s="606"/>
      <c r="E8" s="607"/>
      <c r="F8" s="607"/>
      <c r="G8" s="607"/>
      <c r="H8" s="607"/>
      <c r="I8" s="608"/>
    </row>
    <row r="9" spans="1:14" s="116" customFormat="1" ht="11.25" x14ac:dyDescent="0.2">
      <c r="C9" s="119"/>
    </row>
    <row r="10" spans="1:14" s="120" customFormat="1" ht="11.25" x14ac:dyDescent="0.2">
      <c r="A10" s="489" t="s">
        <v>134</v>
      </c>
      <c r="B10" s="489"/>
      <c r="C10" s="489"/>
      <c r="D10" s="489"/>
      <c r="E10" s="489"/>
      <c r="F10" s="489"/>
      <c r="G10" s="489"/>
      <c r="H10" s="489"/>
      <c r="I10" s="489"/>
    </row>
    <row r="11" spans="1:14" s="116" customFormat="1" ht="11.25" x14ac:dyDescent="0.2">
      <c r="C11" s="119"/>
    </row>
    <row r="12" spans="1:14" s="121" customFormat="1" ht="19.5" x14ac:dyDescent="0.15">
      <c r="A12" s="126" t="s">
        <v>93</v>
      </c>
      <c r="B12" s="126" t="s">
        <v>114</v>
      </c>
      <c r="C12" s="126" t="s">
        <v>94</v>
      </c>
      <c r="D12" s="126" t="s">
        <v>95</v>
      </c>
      <c r="E12" s="126" t="s">
        <v>115</v>
      </c>
      <c r="F12" s="126" t="s">
        <v>116</v>
      </c>
      <c r="G12" s="569" t="s">
        <v>96</v>
      </c>
      <c r="H12" s="569"/>
      <c r="I12" s="569"/>
    </row>
    <row r="13" spans="1:14" s="116" customFormat="1" ht="59.25" customHeight="1" x14ac:dyDescent="0.2">
      <c r="A13" s="428" t="s">
        <v>72</v>
      </c>
      <c r="B13" s="432">
        <v>19752.740000000002</v>
      </c>
      <c r="C13" s="432">
        <v>2436041.37</v>
      </c>
      <c r="D13" s="432">
        <v>2176187.2000000002</v>
      </c>
      <c r="E13" s="432">
        <v>279606.90999999997</v>
      </c>
      <c r="F13" s="193">
        <v>279606.90999999997</v>
      </c>
      <c r="G13" s="476" t="s">
        <v>269</v>
      </c>
      <c r="H13" s="639"/>
      <c r="I13" s="640"/>
    </row>
    <row r="14" spans="1:14" s="116" customFormat="1" ht="24" customHeight="1" x14ac:dyDescent="0.2">
      <c r="A14" s="429" t="s">
        <v>117</v>
      </c>
      <c r="B14" s="433">
        <v>1384725.93</v>
      </c>
      <c r="C14" s="433">
        <v>804077.4</v>
      </c>
      <c r="D14" s="433">
        <v>829474.75</v>
      </c>
      <c r="E14" s="433">
        <v>1359328.58</v>
      </c>
      <c r="F14" s="194">
        <v>1359328.58</v>
      </c>
      <c r="G14" s="482" t="s">
        <v>169</v>
      </c>
      <c r="H14" s="641"/>
      <c r="I14" s="642"/>
      <c r="N14" s="122"/>
    </row>
    <row r="15" spans="1:14" s="116" customFormat="1" ht="24.75" customHeight="1" x14ac:dyDescent="0.2">
      <c r="A15" s="429" t="s">
        <v>73</v>
      </c>
      <c r="B15" s="433">
        <v>50340.01</v>
      </c>
      <c r="C15" s="433">
        <v>0</v>
      </c>
      <c r="D15" s="433">
        <v>15220</v>
      </c>
      <c r="E15" s="433">
        <v>35120.01</v>
      </c>
      <c r="F15" s="194">
        <v>35120.01</v>
      </c>
      <c r="G15" s="482" t="s">
        <v>165</v>
      </c>
      <c r="H15" s="641"/>
      <c r="I15" s="642"/>
    </row>
    <row r="16" spans="1:14" s="116" customFormat="1" ht="14.25" customHeight="1" x14ac:dyDescent="0.2">
      <c r="A16" s="430" t="s">
        <v>97</v>
      </c>
      <c r="B16" s="434">
        <v>158508.04999999999</v>
      </c>
      <c r="C16" s="434">
        <v>186630.58</v>
      </c>
      <c r="D16" s="434">
        <v>138782</v>
      </c>
      <c r="E16" s="434">
        <v>206356.63</v>
      </c>
      <c r="F16" s="195">
        <v>206356.63</v>
      </c>
      <c r="G16" s="483" t="s">
        <v>166</v>
      </c>
      <c r="H16" s="643"/>
      <c r="I16" s="644"/>
    </row>
    <row r="17" spans="1:9" s="116" customFormat="1" ht="11.25" x14ac:dyDescent="0.2">
      <c r="A17" s="431" t="s">
        <v>34</v>
      </c>
      <c r="B17" s="125">
        <f>SUM(B13:B16)</f>
        <v>1613326.73</v>
      </c>
      <c r="C17" s="125">
        <f>SUM(C13:C16)</f>
        <v>3426749.35</v>
      </c>
      <c r="D17" s="125">
        <f>SUM(D13:D16)</f>
        <v>3159663.95</v>
      </c>
      <c r="E17" s="125">
        <f>SUM(E13:E16)</f>
        <v>1880412.13</v>
      </c>
      <c r="F17" s="125">
        <f>SUM(F13:F16)</f>
        <v>1880412.13</v>
      </c>
      <c r="G17" s="611"/>
      <c r="H17" s="611"/>
      <c r="I17" s="611"/>
    </row>
    <row r="18" spans="1:9" s="123" customFormat="1" ht="11.25" x14ac:dyDescent="0.2">
      <c r="A18" s="175"/>
      <c r="B18" s="175"/>
      <c r="C18" s="124"/>
      <c r="D18" s="175"/>
      <c r="E18" s="175"/>
      <c r="F18" s="175"/>
      <c r="G18" s="175"/>
      <c r="H18" s="175"/>
      <c r="I18" s="175"/>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23.25" customHeight="1" x14ac:dyDescent="0.2">
      <c r="A21" s="620" t="s">
        <v>270</v>
      </c>
      <c r="B21" s="621"/>
      <c r="C21" s="621"/>
      <c r="D21" s="621"/>
      <c r="E21" s="621"/>
      <c r="F21" s="621"/>
      <c r="G21" s="621"/>
      <c r="H21" s="621"/>
      <c r="I21" s="622"/>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170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35.25" customHeight="1" x14ac:dyDescent="0.15">
      <c r="A33" s="585" t="s">
        <v>172</v>
      </c>
      <c r="B33" s="586"/>
      <c r="C33" s="586"/>
      <c r="D33" s="586"/>
      <c r="E33" s="586"/>
      <c r="F33" s="586"/>
      <c r="G33" s="586"/>
      <c r="H33" s="586"/>
      <c r="I33" s="587"/>
    </row>
    <row r="34" spans="1:9" ht="13.5" customHeight="1" x14ac:dyDescent="0.15">
      <c r="A34" s="585" t="s">
        <v>173</v>
      </c>
      <c r="B34" s="586"/>
      <c r="C34" s="586"/>
      <c r="D34" s="586"/>
      <c r="E34" s="586"/>
      <c r="F34" s="586"/>
      <c r="G34" s="586"/>
      <c r="H34" s="586"/>
      <c r="I34" s="587"/>
    </row>
    <row r="35" spans="1:9" ht="10.5" x14ac:dyDescent="0.15">
      <c r="A35" s="623" t="s">
        <v>171</v>
      </c>
      <c r="B35" s="624"/>
      <c r="C35" s="624"/>
      <c r="D35" s="624"/>
      <c r="E35" s="624"/>
      <c r="F35" s="624"/>
      <c r="G35" s="624"/>
      <c r="H35" s="624"/>
      <c r="I35" s="625"/>
    </row>
    <row r="37" spans="1:9" s="118" customFormat="1" ht="11.25" customHeight="1" x14ac:dyDescent="0.2">
      <c r="A37" s="174"/>
      <c r="B37" s="174"/>
      <c r="C37" s="119"/>
      <c r="D37" s="174"/>
      <c r="E37" s="174"/>
      <c r="F37" s="174"/>
      <c r="G37" s="174"/>
      <c r="H37" s="174"/>
      <c r="I37" s="174"/>
    </row>
  </sheetData>
  <mergeCells count="26">
    <mergeCell ref="A29:I29"/>
    <mergeCell ref="A33:I33"/>
    <mergeCell ref="A35:I35"/>
    <mergeCell ref="A34:I34"/>
    <mergeCell ref="A31:I31"/>
    <mergeCell ref="G14:I14"/>
    <mergeCell ref="G15:I15"/>
    <mergeCell ref="G16:I16"/>
    <mergeCell ref="G17:I17"/>
    <mergeCell ref="A19:I19"/>
    <mergeCell ref="A25:I25"/>
    <mergeCell ref="A21:I21"/>
    <mergeCell ref="A23:I23"/>
    <mergeCell ref="A27:I27"/>
    <mergeCell ref="A3:I3"/>
    <mergeCell ref="A5:B5"/>
    <mergeCell ref="D5:I5"/>
    <mergeCell ref="A6:B6"/>
    <mergeCell ref="D6:I6"/>
    <mergeCell ref="G12:I12"/>
    <mergeCell ref="G13:I13"/>
    <mergeCell ref="A7:B7"/>
    <mergeCell ref="D7:I7"/>
    <mergeCell ref="A8:B8"/>
    <mergeCell ref="D8:I8"/>
    <mergeCell ref="A10:I10"/>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9" width="11" customWidth="1"/>
    <col min="10" max="10" width="11.5" customWidth="1"/>
    <col min="11"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529" t="s">
        <v>84</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39995080</v>
      </c>
      <c r="F6" s="29">
        <f>SUM(F7:F9)</f>
        <v>40036192</v>
      </c>
      <c r="G6" s="29">
        <f>SUM(G7:G9)</f>
        <v>25146858.220000003</v>
      </c>
      <c r="H6" s="24">
        <f t="shared" ref="H6:H36" si="0">G6/F6*100</f>
        <v>62.810314777189603</v>
      </c>
      <c r="I6" s="29">
        <f>SUM(I7:I9)</f>
        <v>39593480</v>
      </c>
      <c r="J6" s="29">
        <f>SUM(J7:J9)</f>
        <v>13615580</v>
      </c>
      <c r="K6" s="29">
        <f t="shared" ref="K6:X6" si="1">SUM(K7:K9)</f>
        <v>13656692</v>
      </c>
      <c r="L6" s="29">
        <f t="shared" si="1"/>
        <v>7504558.2200000007</v>
      </c>
      <c r="M6" s="24">
        <f t="shared" ref="M6:M33" si="2">L6/K6*100</f>
        <v>54.951508169035378</v>
      </c>
      <c r="N6" s="30">
        <f t="shared" si="1"/>
        <v>14107547</v>
      </c>
      <c r="O6" s="29">
        <f t="shared" si="1"/>
        <v>26379500</v>
      </c>
      <c r="P6" s="29">
        <f t="shared" si="1"/>
        <v>26379500</v>
      </c>
      <c r="Q6" s="29">
        <f t="shared" si="1"/>
        <v>17642300</v>
      </c>
      <c r="R6" s="24">
        <f t="shared" ref="R6:R32" si="3">Q6/P6*100</f>
        <v>66.878826361379097</v>
      </c>
      <c r="S6" s="29">
        <f t="shared" si="1"/>
        <v>25485933</v>
      </c>
      <c r="T6" s="29">
        <f t="shared" si="1"/>
        <v>3168000</v>
      </c>
      <c r="U6" s="29">
        <f t="shared" si="1"/>
        <v>3168000</v>
      </c>
      <c r="V6" s="29">
        <f t="shared" si="1"/>
        <v>1112641.6399999999</v>
      </c>
      <c r="W6" s="24">
        <f t="shared" ref="W6:W32" si="4">V6/U6*100</f>
        <v>35.12126388888889</v>
      </c>
      <c r="X6" s="29">
        <f t="shared" si="1"/>
        <v>3103718</v>
      </c>
    </row>
    <row r="7" spans="1:24" s="6" customFormat="1" ht="9.9499999999999993" customHeight="1" x14ac:dyDescent="0.2">
      <c r="A7" s="130" t="s">
        <v>2</v>
      </c>
      <c r="B7" s="522" t="s">
        <v>45</v>
      </c>
      <c r="C7" s="523"/>
      <c r="D7" s="131" t="s">
        <v>25</v>
      </c>
      <c r="E7" s="32">
        <f t="shared" ref="E7:G10" si="5">SUM(J7,O7)</f>
        <v>6488000</v>
      </c>
      <c r="F7" s="33">
        <f t="shared" si="5"/>
        <v>6503053</v>
      </c>
      <c r="G7" s="33">
        <f t="shared" si="5"/>
        <v>3924031.36</v>
      </c>
      <c r="H7" s="9">
        <f t="shared" si="0"/>
        <v>60.341371352809212</v>
      </c>
      <c r="I7" s="34">
        <f>SUM(N7,S7)</f>
        <v>7088855</v>
      </c>
      <c r="J7" s="262">
        <v>6488000</v>
      </c>
      <c r="K7" s="35">
        <v>6503053</v>
      </c>
      <c r="L7" s="35">
        <v>3924031.36</v>
      </c>
      <c r="M7" s="9">
        <f t="shared" si="2"/>
        <v>60.341371352809212</v>
      </c>
      <c r="N7" s="302">
        <v>7088855</v>
      </c>
      <c r="O7" s="263"/>
      <c r="P7" s="35"/>
      <c r="Q7" s="35"/>
      <c r="R7" s="9" t="e">
        <f t="shared" si="3"/>
        <v>#DIV/0!</v>
      </c>
      <c r="S7" s="302"/>
      <c r="T7" s="263">
        <v>3168000</v>
      </c>
      <c r="U7" s="35">
        <f>2618000+550000</f>
        <v>3168000</v>
      </c>
      <c r="V7" s="35">
        <v>1112641.6399999999</v>
      </c>
      <c r="W7" s="9">
        <f t="shared" si="4"/>
        <v>35.12126388888889</v>
      </c>
      <c r="X7" s="65">
        <v>3103718</v>
      </c>
    </row>
    <row r="8" spans="1:24" s="6" customFormat="1" ht="9.9499999999999993" customHeight="1" x14ac:dyDescent="0.2">
      <c r="A8" s="132" t="s">
        <v>3</v>
      </c>
      <c r="B8" s="524" t="s">
        <v>46</v>
      </c>
      <c r="C8" s="525"/>
      <c r="D8" s="133" t="s">
        <v>25</v>
      </c>
      <c r="E8" s="38">
        <f t="shared" si="5"/>
        <v>6000</v>
      </c>
      <c r="F8" s="39">
        <f t="shared" si="5"/>
        <v>6000</v>
      </c>
      <c r="G8" s="39">
        <f t="shared" si="5"/>
        <v>784.74</v>
      </c>
      <c r="H8" s="10">
        <f t="shared" si="0"/>
        <v>13.078999999999999</v>
      </c>
      <c r="I8" s="40">
        <f>SUM(N8,S8)</f>
        <v>2097</v>
      </c>
      <c r="J8" s="243">
        <v>6000</v>
      </c>
      <c r="K8" s="218">
        <v>6000</v>
      </c>
      <c r="L8" s="218">
        <v>784.74</v>
      </c>
      <c r="M8" s="219">
        <f t="shared" si="2"/>
        <v>13.078999999999999</v>
      </c>
      <c r="N8" s="229">
        <v>2097</v>
      </c>
      <c r="O8" s="217"/>
      <c r="P8" s="218"/>
      <c r="Q8" s="218"/>
      <c r="R8" s="219" t="e">
        <f t="shared" si="3"/>
        <v>#DIV/0!</v>
      </c>
      <c r="S8" s="229"/>
      <c r="T8" s="217"/>
      <c r="U8" s="218"/>
      <c r="V8" s="218"/>
      <c r="W8" s="219" t="e">
        <f t="shared" si="4"/>
        <v>#DIV/0!</v>
      </c>
      <c r="X8" s="220"/>
    </row>
    <row r="9" spans="1:24" s="6" customFormat="1" ht="9.9499999999999993" customHeight="1" x14ac:dyDescent="0.2">
      <c r="A9" s="232" t="s">
        <v>4</v>
      </c>
      <c r="B9" s="233" t="s">
        <v>60</v>
      </c>
      <c r="C9" s="234"/>
      <c r="D9" s="235" t="s">
        <v>25</v>
      </c>
      <c r="E9" s="42">
        <f t="shared" si="5"/>
        <v>33501080</v>
      </c>
      <c r="F9" s="43">
        <f t="shared" si="5"/>
        <v>33527139</v>
      </c>
      <c r="G9" s="43">
        <f t="shared" si="5"/>
        <v>21222042.120000001</v>
      </c>
      <c r="H9" s="26">
        <f t="shared" si="0"/>
        <v>63.298100443345319</v>
      </c>
      <c r="I9" s="44">
        <f>SUM(N9,S9)</f>
        <v>32502528</v>
      </c>
      <c r="J9" s="244">
        <f>7121580</f>
        <v>7121580</v>
      </c>
      <c r="K9" s="264">
        <f>7121580+26059</f>
        <v>7147639</v>
      </c>
      <c r="L9" s="264">
        <v>3579742.12</v>
      </c>
      <c r="M9" s="265">
        <f t="shared" si="2"/>
        <v>50.082861207735874</v>
      </c>
      <c r="N9" s="230">
        <v>7016595</v>
      </c>
      <c r="O9" s="221">
        <v>26379500</v>
      </c>
      <c r="P9" s="264">
        <v>26379500</v>
      </c>
      <c r="Q9" s="264">
        <v>17642300</v>
      </c>
      <c r="R9" s="265">
        <f t="shared" si="3"/>
        <v>66.878826361379097</v>
      </c>
      <c r="S9" s="230">
        <v>25485933</v>
      </c>
      <c r="T9" s="221"/>
      <c r="U9" s="264"/>
      <c r="V9" s="264"/>
      <c r="W9" s="265" t="e">
        <f t="shared" si="4"/>
        <v>#DIV/0!</v>
      </c>
      <c r="X9" s="222"/>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9.9499999999999993" customHeight="1" x14ac:dyDescent="0.2">
      <c r="A11" s="134" t="s">
        <v>6</v>
      </c>
      <c r="B11" s="526" t="s">
        <v>9</v>
      </c>
      <c r="C11" s="527"/>
      <c r="D11" s="20" t="s">
        <v>25</v>
      </c>
      <c r="E11" s="29">
        <f>SUM(E12:E31)</f>
        <v>39995080</v>
      </c>
      <c r="F11" s="29">
        <f>SUM(F12:F31)</f>
        <v>40036192</v>
      </c>
      <c r="G11" s="29">
        <f>SUM(G12:G31)</f>
        <v>19370620.809999999</v>
      </c>
      <c r="H11" s="24">
        <f t="shared" si="0"/>
        <v>48.382775289917682</v>
      </c>
      <c r="I11" s="30">
        <f>SUM(I12:I31)</f>
        <v>37285222</v>
      </c>
      <c r="J11" s="29">
        <f>SUM(J12:J31)</f>
        <v>13615580</v>
      </c>
      <c r="K11" s="29">
        <f>SUM(K12:K31)</f>
        <v>13656692</v>
      </c>
      <c r="L11" s="29">
        <f>SUM(L12:L31)</f>
        <v>5822791.4800000004</v>
      </c>
      <c r="M11" s="24">
        <f t="shared" si="2"/>
        <v>42.63691002184131</v>
      </c>
      <c r="N11" s="30">
        <f>SUM(N12:N31)</f>
        <v>11789941</v>
      </c>
      <c r="O11" s="29">
        <f>SUM(O12:O31)</f>
        <v>26379500</v>
      </c>
      <c r="P11" s="29">
        <f>SUM(P12:P31)</f>
        <v>26379500</v>
      </c>
      <c r="Q11" s="29">
        <f>SUM(Q12:Q31)</f>
        <v>13547829.33</v>
      </c>
      <c r="R11" s="24">
        <f t="shared" si="3"/>
        <v>51.357415151917209</v>
      </c>
      <c r="S11" s="30">
        <f>SUM(S12:S31)</f>
        <v>25495281</v>
      </c>
      <c r="T11" s="29">
        <f>SUM(T12:T31)</f>
        <v>3079000</v>
      </c>
      <c r="U11" s="29">
        <f>SUM(U12:U31)</f>
        <v>3079000</v>
      </c>
      <c r="V11" s="29">
        <f>SUM(V12:V31)</f>
        <v>1003867.4199999999</v>
      </c>
      <c r="W11" s="24">
        <f t="shared" si="4"/>
        <v>32.603683663527114</v>
      </c>
      <c r="X11" s="29">
        <f>SUM(X12:X31)</f>
        <v>2975935</v>
      </c>
    </row>
    <row r="12" spans="1:24" s="6" customFormat="1" ht="9.9499999999999993" customHeight="1" x14ac:dyDescent="0.2">
      <c r="A12" s="130" t="s">
        <v>8</v>
      </c>
      <c r="B12" s="528" t="s">
        <v>28</v>
      </c>
      <c r="C12" s="528"/>
      <c r="D12" s="131" t="s">
        <v>25</v>
      </c>
      <c r="E12" s="32">
        <f t="shared" ref="E12:I29" si="6">SUM(J12,O12)</f>
        <v>5700980</v>
      </c>
      <c r="F12" s="33">
        <f t="shared" si="6"/>
        <v>5620980</v>
      </c>
      <c r="G12" s="33">
        <f t="shared" si="6"/>
        <v>3182028.35</v>
      </c>
      <c r="H12" s="9">
        <f t="shared" si="0"/>
        <v>56.609850061733013</v>
      </c>
      <c r="I12" s="34">
        <f t="shared" si="6"/>
        <v>5299610</v>
      </c>
      <c r="J12" s="266">
        <v>5450980</v>
      </c>
      <c r="K12" s="48">
        <v>5370980</v>
      </c>
      <c r="L12" s="48">
        <v>2988793.35</v>
      </c>
      <c r="M12" s="9">
        <f t="shared" si="2"/>
        <v>55.647076511176728</v>
      </c>
      <c r="N12" s="303">
        <v>5138205</v>
      </c>
      <c r="O12" s="267">
        <v>250000</v>
      </c>
      <c r="P12" s="48">
        <v>250000</v>
      </c>
      <c r="Q12" s="48">
        <v>193235</v>
      </c>
      <c r="R12" s="9">
        <f t="shared" si="3"/>
        <v>77.293999999999997</v>
      </c>
      <c r="S12" s="304">
        <v>161405</v>
      </c>
      <c r="T12" s="267">
        <v>1580000</v>
      </c>
      <c r="U12" s="48">
        <v>1580000</v>
      </c>
      <c r="V12" s="48">
        <v>489940.61</v>
      </c>
      <c r="W12" s="9">
        <f t="shared" si="4"/>
        <v>31.008899367088606</v>
      </c>
      <c r="X12" s="52">
        <v>1461170</v>
      </c>
    </row>
    <row r="13" spans="1:24" s="6" customFormat="1" ht="9.9499999999999993" customHeight="1" x14ac:dyDescent="0.2">
      <c r="A13" s="135" t="s">
        <v>10</v>
      </c>
      <c r="B13" s="508" t="s">
        <v>29</v>
      </c>
      <c r="C13" s="508"/>
      <c r="D13" s="133" t="s">
        <v>25</v>
      </c>
      <c r="E13" s="38">
        <f t="shared" si="6"/>
        <v>3620000</v>
      </c>
      <c r="F13" s="39">
        <f t="shared" si="6"/>
        <v>3620000</v>
      </c>
      <c r="G13" s="39">
        <f t="shared" si="6"/>
        <v>652706.13</v>
      </c>
      <c r="H13" s="10">
        <f t="shared" si="0"/>
        <v>18.030556077348066</v>
      </c>
      <c r="I13" s="40">
        <f t="shared" si="6"/>
        <v>1999341</v>
      </c>
      <c r="J13" s="240">
        <v>3620000</v>
      </c>
      <c r="K13" s="218">
        <v>3620000</v>
      </c>
      <c r="L13" s="218">
        <v>652706.13</v>
      </c>
      <c r="M13" s="219">
        <f t="shared" si="2"/>
        <v>18.030556077348066</v>
      </c>
      <c r="N13" s="229">
        <v>1999341</v>
      </c>
      <c r="O13" s="217"/>
      <c r="P13" s="218"/>
      <c r="Q13" s="218"/>
      <c r="R13" s="219" t="e">
        <f t="shared" si="3"/>
        <v>#DIV/0!</v>
      </c>
      <c r="S13" s="229"/>
      <c r="T13" s="217">
        <v>470000</v>
      </c>
      <c r="U13" s="218">
        <v>470000</v>
      </c>
      <c r="V13" s="218">
        <v>175964.64</v>
      </c>
      <c r="W13" s="219">
        <f t="shared" si="4"/>
        <v>37.439285106382982</v>
      </c>
      <c r="X13" s="220">
        <v>471450</v>
      </c>
    </row>
    <row r="14" spans="1:24" s="6" customFormat="1" ht="9.9499999999999993" customHeight="1" x14ac:dyDescent="0.2">
      <c r="A14" s="135" t="s">
        <v>11</v>
      </c>
      <c r="B14" s="236" t="s">
        <v>61</v>
      </c>
      <c r="C14" s="237"/>
      <c r="D14" s="133" t="s">
        <v>25</v>
      </c>
      <c r="E14" s="38">
        <f t="shared" si="6"/>
        <v>0</v>
      </c>
      <c r="F14" s="39">
        <f t="shared" si="6"/>
        <v>0</v>
      </c>
      <c r="G14" s="39">
        <f t="shared" si="6"/>
        <v>0</v>
      </c>
      <c r="H14" s="10" t="e">
        <f t="shared" si="0"/>
        <v>#DIV/0!</v>
      </c>
      <c r="I14" s="40">
        <f t="shared" si="6"/>
        <v>0</v>
      </c>
      <c r="J14" s="240"/>
      <c r="K14" s="218"/>
      <c r="L14" s="218"/>
      <c r="M14" s="219" t="e">
        <f t="shared" si="2"/>
        <v>#DIV/0!</v>
      </c>
      <c r="N14" s="229"/>
      <c r="O14" s="217"/>
      <c r="P14" s="218"/>
      <c r="Q14" s="218"/>
      <c r="R14" s="219" t="e">
        <f t="shared" si="3"/>
        <v>#DIV/0!</v>
      </c>
      <c r="S14" s="229"/>
      <c r="T14" s="217"/>
      <c r="U14" s="218"/>
      <c r="V14" s="218"/>
      <c r="W14" s="219" t="e">
        <f t="shared" si="4"/>
        <v>#DIV/0!</v>
      </c>
      <c r="X14" s="220"/>
    </row>
    <row r="15" spans="1:24" s="6" customFormat="1" ht="9.9499999999999993" customHeight="1" x14ac:dyDescent="0.2">
      <c r="A15" s="135" t="s">
        <v>12</v>
      </c>
      <c r="B15" s="511" t="s">
        <v>109</v>
      </c>
      <c r="C15" s="512"/>
      <c r="D15" s="133" t="s">
        <v>25</v>
      </c>
      <c r="E15" s="38">
        <f t="shared" si="6"/>
        <v>490100</v>
      </c>
      <c r="F15" s="39">
        <f t="shared" si="6"/>
        <v>490100</v>
      </c>
      <c r="G15" s="39">
        <f t="shared" si="6"/>
        <v>202778.14</v>
      </c>
      <c r="H15" s="10">
        <f t="shared" si="0"/>
        <v>41.374850030606005</v>
      </c>
      <c r="I15" s="40">
        <f t="shared" si="6"/>
        <v>846119</v>
      </c>
      <c r="J15" s="240">
        <v>490100</v>
      </c>
      <c r="K15" s="218">
        <v>490100</v>
      </c>
      <c r="L15" s="218">
        <v>202778.14</v>
      </c>
      <c r="M15" s="219">
        <f t="shared" si="2"/>
        <v>41.374850030606005</v>
      </c>
      <c r="N15" s="229">
        <v>846119</v>
      </c>
      <c r="O15" s="217"/>
      <c r="P15" s="218"/>
      <c r="Q15" s="218"/>
      <c r="R15" s="219" t="e">
        <f t="shared" si="3"/>
        <v>#DIV/0!</v>
      </c>
      <c r="S15" s="229"/>
      <c r="T15" s="217">
        <v>47000</v>
      </c>
      <c r="U15" s="218">
        <v>47000</v>
      </c>
      <c r="V15" s="218">
        <v>17296.490000000002</v>
      </c>
      <c r="W15" s="219">
        <f t="shared" si="4"/>
        <v>36.801042553191493</v>
      </c>
      <c r="X15" s="220">
        <v>48707</v>
      </c>
    </row>
    <row r="16" spans="1:24" s="6" customFormat="1" ht="9.9499999999999993" customHeight="1" x14ac:dyDescent="0.2">
      <c r="A16" s="135" t="s">
        <v>13</v>
      </c>
      <c r="B16" s="511" t="s">
        <v>30</v>
      </c>
      <c r="C16" s="512"/>
      <c r="D16" s="133" t="s">
        <v>25</v>
      </c>
      <c r="E16" s="38">
        <f t="shared" si="6"/>
        <v>70000</v>
      </c>
      <c r="F16" s="39">
        <f t="shared" si="6"/>
        <v>70000</v>
      </c>
      <c r="G16" s="39">
        <f t="shared" si="6"/>
        <v>28640</v>
      </c>
      <c r="H16" s="10">
        <f t="shared" si="0"/>
        <v>40.914285714285711</v>
      </c>
      <c r="I16" s="40">
        <f t="shared" si="6"/>
        <v>29932</v>
      </c>
      <c r="J16" s="240">
        <v>10000</v>
      </c>
      <c r="K16" s="218">
        <v>10000</v>
      </c>
      <c r="L16" s="218">
        <v>959</v>
      </c>
      <c r="M16" s="219">
        <f t="shared" si="2"/>
        <v>9.59</v>
      </c>
      <c r="N16" s="229">
        <v>10198</v>
      </c>
      <c r="O16" s="217">
        <v>60000</v>
      </c>
      <c r="P16" s="218">
        <v>60000</v>
      </c>
      <c r="Q16" s="218">
        <v>27681</v>
      </c>
      <c r="R16" s="219">
        <f t="shared" si="3"/>
        <v>46.134999999999998</v>
      </c>
      <c r="S16" s="229">
        <v>19734</v>
      </c>
      <c r="T16" s="217"/>
      <c r="U16" s="218"/>
      <c r="V16" s="218"/>
      <c r="W16" s="219" t="e">
        <f t="shared" si="4"/>
        <v>#DIV/0!</v>
      </c>
      <c r="X16" s="220"/>
    </row>
    <row r="17" spans="1:24" s="6" customFormat="1" ht="9.9499999999999993" customHeight="1" x14ac:dyDescent="0.2">
      <c r="A17" s="135" t="s">
        <v>14</v>
      </c>
      <c r="B17" s="236" t="s">
        <v>47</v>
      </c>
      <c r="C17" s="237"/>
      <c r="D17" s="133" t="s">
        <v>25</v>
      </c>
      <c r="E17" s="38">
        <f t="shared" si="6"/>
        <v>1000</v>
      </c>
      <c r="F17" s="39">
        <f t="shared" si="6"/>
        <v>1000</v>
      </c>
      <c r="G17" s="39">
        <f t="shared" si="6"/>
        <v>329</v>
      </c>
      <c r="H17" s="10">
        <f t="shared" si="0"/>
        <v>32.9</v>
      </c>
      <c r="I17" s="40">
        <f t="shared" si="6"/>
        <v>974</v>
      </c>
      <c r="J17" s="240">
        <v>1000</v>
      </c>
      <c r="K17" s="218">
        <v>1000</v>
      </c>
      <c r="L17" s="218">
        <v>329</v>
      </c>
      <c r="M17" s="219">
        <f t="shared" si="2"/>
        <v>32.9</v>
      </c>
      <c r="N17" s="229">
        <v>974</v>
      </c>
      <c r="O17" s="217"/>
      <c r="P17" s="218"/>
      <c r="Q17" s="218"/>
      <c r="R17" s="219" t="e">
        <f t="shared" si="3"/>
        <v>#DIV/0!</v>
      </c>
      <c r="S17" s="229"/>
      <c r="T17" s="217"/>
      <c r="U17" s="218"/>
      <c r="V17" s="218"/>
      <c r="W17" s="219" t="e">
        <f t="shared" si="4"/>
        <v>#DIV/0!</v>
      </c>
      <c r="X17" s="220"/>
    </row>
    <row r="18" spans="1:24" s="6" customFormat="1" ht="9.9499999999999993" customHeight="1" x14ac:dyDescent="0.2">
      <c r="A18" s="135" t="s">
        <v>15</v>
      </c>
      <c r="B18" s="511" t="s">
        <v>31</v>
      </c>
      <c r="C18" s="512"/>
      <c r="D18" s="133" t="s">
        <v>25</v>
      </c>
      <c r="E18" s="38">
        <f t="shared" si="6"/>
        <v>1070000</v>
      </c>
      <c r="F18" s="39">
        <f t="shared" si="6"/>
        <v>1070000</v>
      </c>
      <c r="G18" s="39">
        <f t="shared" si="6"/>
        <v>437881.99</v>
      </c>
      <c r="H18" s="10">
        <f t="shared" si="0"/>
        <v>40.923550467289722</v>
      </c>
      <c r="I18" s="40">
        <f t="shared" si="6"/>
        <v>943620</v>
      </c>
      <c r="J18" s="240">
        <v>870000</v>
      </c>
      <c r="K18" s="218">
        <v>870000</v>
      </c>
      <c r="L18" s="218">
        <v>344173.99</v>
      </c>
      <c r="M18" s="219">
        <f t="shared" si="2"/>
        <v>39.56022873563218</v>
      </c>
      <c r="N18" s="229">
        <v>809415</v>
      </c>
      <c r="O18" s="217">
        <v>200000</v>
      </c>
      <c r="P18" s="218">
        <v>200000</v>
      </c>
      <c r="Q18" s="218">
        <v>93708</v>
      </c>
      <c r="R18" s="219">
        <f t="shared" si="3"/>
        <v>46.853999999999999</v>
      </c>
      <c r="S18" s="229">
        <v>134205</v>
      </c>
      <c r="T18" s="217">
        <v>55000</v>
      </c>
      <c r="U18" s="218">
        <v>55000</v>
      </c>
      <c r="V18" s="218">
        <v>10819.35</v>
      </c>
      <c r="W18" s="219">
        <f t="shared" si="4"/>
        <v>19.671545454545456</v>
      </c>
      <c r="X18" s="220">
        <v>44089</v>
      </c>
    </row>
    <row r="19" spans="1:24" s="11" customFormat="1" ht="9.9499999999999993" customHeight="1" x14ac:dyDescent="0.2">
      <c r="A19" s="135" t="s">
        <v>16</v>
      </c>
      <c r="B19" s="508" t="s">
        <v>32</v>
      </c>
      <c r="C19" s="508"/>
      <c r="D19" s="133" t="s">
        <v>25</v>
      </c>
      <c r="E19" s="38">
        <f t="shared" si="6"/>
        <v>20045600</v>
      </c>
      <c r="F19" s="39">
        <f t="shared" si="6"/>
        <v>20045600</v>
      </c>
      <c r="G19" s="39">
        <f t="shared" si="6"/>
        <v>10263173</v>
      </c>
      <c r="H19" s="10">
        <f t="shared" si="0"/>
        <v>51.199130981362494</v>
      </c>
      <c r="I19" s="40">
        <f t="shared" si="6"/>
        <v>19545685</v>
      </c>
      <c r="J19" s="241">
        <v>1139600</v>
      </c>
      <c r="K19" s="218">
        <v>1139600</v>
      </c>
      <c r="L19" s="218">
        <v>553859</v>
      </c>
      <c r="M19" s="219">
        <f t="shared" si="2"/>
        <v>48.601175851175846</v>
      </c>
      <c r="N19" s="229">
        <v>1112859</v>
      </c>
      <c r="O19" s="217">
        <f>18881000+25000</f>
        <v>18906000</v>
      </c>
      <c r="P19" s="218">
        <v>18906000</v>
      </c>
      <c r="Q19" s="218">
        <v>9709314</v>
      </c>
      <c r="R19" s="219">
        <f t="shared" si="3"/>
        <v>51.35572834020946</v>
      </c>
      <c r="S19" s="229">
        <v>18432826</v>
      </c>
      <c r="T19" s="268">
        <v>628000</v>
      </c>
      <c r="U19" s="269">
        <v>628000</v>
      </c>
      <c r="V19" s="269">
        <v>189064</v>
      </c>
      <c r="W19" s="219">
        <f t="shared" si="4"/>
        <v>30.10573248407643</v>
      </c>
      <c r="X19" s="270">
        <v>562791</v>
      </c>
    </row>
    <row r="20" spans="1:24" s="6" customFormat="1" ht="9.9499999999999993" customHeight="1" x14ac:dyDescent="0.2">
      <c r="A20" s="135" t="s">
        <v>17</v>
      </c>
      <c r="B20" s="508" t="s">
        <v>48</v>
      </c>
      <c r="C20" s="508"/>
      <c r="D20" s="133" t="s">
        <v>25</v>
      </c>
      <c r="E20" s="38">
        <f t="shared" si="6"/>
        <v>6779040</v>
      </c>
      <c r="F20" s="39">
        <f t="shared" si="6"/>
        <v>6779040</v>
      </c>
      <c r="G20" s="39">
        <f t="shared" si="6"/>
        <v>3488534.33</v>
      </c>
      <c r="H20" s="10">
        <f t="shared" si="0"/>
        <v>51.460595158016474</v>
      </c>
      <c r="I20" s="40">
        <f t="shared" si="6"/>
        <v>6634567</v>
      </c>
      <c r="J20" s="240">
        <v>351000</v>
      </c>
      <c r="K20" s="218">
        <v>351000</v>
      </c>
      <c r="L20" s="218">
        <v>159660.93</v>
      </c>
      <c r="M20" s="219">
        <f t="shared" si="2"/>
        <v>45.487444444444442</v>
      </c>
      <c r="N20" s="229">
        <v>341842</v>
      </c>
      <c r="O20" s="217">
        <v>6428040</v>
      </c>
      <c r="P20" s="218">
        <v>6428040</v>
      </c>
      <c r="Q20" s="218">
        <v>3328873.4</v>
      </c>
      <c r="R20" s="219">
        <f t="shared" si="3"/>
        <v>51.786756149619471</v>
      </c>
      <c r="S20" s="229">
        <v>6292725</v>
      </c>
      <c r="T20" s="217">
        <v>210000</v>
      </c>
      <c r="U20" s="218">
        <v>210000</v>
      </c>
      <c r="V20" s="276">
        <v>63041.3</v>
      </c>
      <c r="W20" s="219">
        <f t="shared" si="4"/>
        <v>30.019666666666666</v>
      </c>
      <c r="X20" s="220">
        <v>189432</v>
      </c>
    </row>
    <row r="21" spans="1:24" s="6" customFormat="1" ht="9.9499999999999993" customHeight="1" x14ac:dyDescent="0.2">
      <c r="A21" s="135" t="s">
        <v>18</v>
      </c>
      <c r="B21" s="508" t="s">
        <v>49</v>
      </c>
      <c r="C21" s="508"/>
      <c r="D21" s="133" t="s">
        <v>25</v>
      </c>
      <c r="E21" s="38">
        <f t="shared" si="6"/>
        <v>317960</v>
      </c>
      <c r="F21" s="39">
        <f t="shared" si="6"/>
        <v>317960</v>
      </c>
      <c r="G21" s="39">
        <f t="shared" si="6"/>
        <v>168805.13</v>
      </c>
      <c r="H21" s="10">
        <f t="shared" si="0"/>
        <v>53.09005220782489</v>
      </c>
      <c r="I21" s="40">
        <f t="shared" si="6"/>
        <v>233308</v>
      </c>
      <c r="J21" s="240">
        <v>35000</v>
      </c>
      <c r="K21" s="218">
        <v>35000</v>
      </c>
      <c r="L21" s="218">
        <v>16177.2</v>
      </c>
      <c r="M21" s="219">
        <f t="shared" si="2"/>
        <v>46.220571428571432</v>
      </c>
      <c r="N21" s="229">
        <v>28300</v>
      </c>
      <c r="O21" s="217">
        <v>282960</v>
      </c>
      <c r="P21" s="218">
        <v>282960</v>
      </c>
      <c r="Q21" s="218">
        <v>152627.93</v>
      </c>
      <c r="R21" s="219">
        <f t="shared" si="3"/>
        <v>53.939754735651682</v>
      </c>
      <c r="S21" s="229">
        <v>205008</v>
      </c>
      <c r="T21" s="217">
        <v>6000</v>
      </c>
      <c r="U21" s="218">
        <v>6000</v>
      </c>
      <c r="V21" s="218">
        <v>3021.95</v>
      </c>
      <c r="W21" s="219">
        <f t="shared" si="4"/>
        <v>50.365833333333335</v>
      </c>
      <c r="X21" s="220">
        <v>5440</v>
      </c>
    </row>
    <row r="22" spans="1:24" s="6" customFormat="1" ht="9.9499999999999993" customHeight="1" x14ac:dyDescent="0.2">
      <c r="A22" s="135" t="s">
        <v>19</v>
      </c>
      <c r="B22" s="508" t="s">
        <v>62</v>
      </c>
      <c r="C22" s="508"/>
      <c r="D22" s="133" t="s">
        <v>25</v>
      </c>
      <c r="E22" s="38">
        <f t="shared" si="6"/>
        <v>0</v>
      </c>
      <c r="F22" s="39">
        <f t="shared" si="6"/>
        <v>0</v>
      </c>
      <c r="G22" s="39">
        <f t="shared" si="6"/>
        <v>0</v>
      </c>
      <c r="H22" s="10" t="e">
        <f t="shared" si="0"/>
        <v>#DIV/0!</v>
      </c>
      <c r="I22" s="40">
        <f t="shared" si="6"/>
        <v>0</v>
      </c>
      <c r="J22" s="240"/>
      <c r="K22" s="218"/>
      <c r="L22" s="218"/>
      <c r="M22" s="219" t="e">
        <f t="shared" si="2"/>
        <v>#DIV/0!</v>
      </c>
      <c r="N22" s="229"/>
      <c r="O22" s="217"/>
      <c r="P22" s="218"/>
      <c r="Q22" s="218"/>
      <c r="R22" s="219" t="e">
        <f t="shared" si="3"/>
        <v>#DIV/0!</v>
      </c>
      <c r="S22" s="229"/>
      <c r="T22" s="217">
        <v>3000</v>
      </c>
      <c r="U22" s="218">
        <v>3000</v>
      </c>
      <c r="V22" s="218">
        <v>2500</v>
      </c>
      <c r="W22" s="219">
        <f t="shared" si="4"/>
        <v>83.333333333333343</v>
      </c>
      <c r="X22" s="220">
        <v>3000</v>
      </c>
    </row>
    <row r="23" spans="1:24" s="6" customFormat="1" ht="9.9499999999999993" customHeight="1" x14ac:dyDescent="0.2">
      <c r="A23" s="135" t="s">
        <v>20</v>
      </c>
      <c r="B23" s="223" t="s">
        <v>101</v>
      </c>
      <c r="C23" s="223"/>
      <c r="D23" s="133" t="s">
        <v>25</v>
      </c>
      <c r="E23" s="38">
        <f t="shared" si="6"/>
        <v>0</v>
      </c>
      <c r="F23" s="39">
        <f t="shared" si="6"/>
        <v>12053</v>
      </c>
      <c r="G23" s="39">
        <f t="shared" si="6"/>
        <v>11850</v>
      </c>
      <c r="H23" s="10">
        <f t="shared" si="0"/>
        <v>98.315772006969212</v>
      </c>
      <c r="I23" s="40">
        <f t="shared" si="6"/>
        <v>6000</v>
      </c>
      <c r="J23" s="240"/>
      <c r="K23" s="218">
        <v>12053</v>
      </c>
      <c r="L23" s="218">
        <v>11850</v>
      </c>
      <c r="M23" s="219">
        <f t="shared" si="2"/>
        <v>98.315772006969212</v>
      </c>
      <c r="N23" s="229">
        <v>6000</v>
      </c>
      <c r="O23" s="217"/>
      <c r="P23" s="218"/>
      <c r="Q23" s="218"/>
      <c r="R23" s="219" t="e">
        <f t="shared" si="3"/>
        <v>#DIV/0!</v>
      </c>
      <c r="S23" s="229"/>
      <c r="T23" s="217"/>
      <c r="U23" s="218"/>
      <c r="V23" s="218"/>
      <c r="W23" s="219" t="e">
        <f t="shared" si="4"/>
        <v>#DIV/0!</v>
      </c>
      <c r="X23" s="220"/>
    </row>
    <row r="24" spans="1:24" s="6" customFormat="1" ht="9.9499999999999993" customHeight="1" x14ac:dyDescent="0.2">
      <c r="A24" s="135" t="s">
        <v>21</v>
      </c>
      <c r="B24" s="223" t="s">
        <v>110</v>
      </c>
      <c r="C24" s="223"/>
      <c r="D24" s="133" t="s">
        <v>25</v>
      </c>
      <c r="E24" s="38">
        <f t="shared" si="6"/>
        <v>0</v>
      </c>
      <c r="F24" s="39">
        <f t="shared" si="6"/>
        <v>0</v>
      </c>
      <c r="G24" s="39">
        <f t="shared" si="6"/>
        <v>0</v>
      </c>
      <c r="H24" s="10" t="e">
        <f t="shared" si="0"/>
        <v>#DIV/0!</v>
      </c>
      <c r="I24" s="40">
        <f t="shared" si="6"/>
        <v>0</v>
      </c>
      <c r="J24" s="240"/>
      <c r="K24" s="218"/>
      <c r="L24" s="218"/>
      <c r="M24" s="219" t="e">
        <f t="shared" si="2"/>
        <v>#DIV/0!</v>
      </c>
      <c r="N24" s="229"/>
      <c r="O24" s="217"/>
      <c r="P24" s="218"/>
      <c r="Q24" s="218"/>
      <c r="R24" s="219" t="e">
        <f t="shared" si="3"/>
        <v>#DIV/0!</v>
      </c>
      <c r="S24" s="229"/>
      <c r="T24" s="217"/>
      <c r="U24" s="218"/>
      <c r="V24" s="218"/>
      <c r="W24" s="219" t="e">
        <f t="shared" si="4"/>
        <v>#DIV/0!</v>
      </c>
      <c r="X24" s="220"/>
    </row>
    <row r="25" spans="1:24" s="13" customFormat="1" ht="9.9499999999999993" customHeight="1" x14ac:dyDescent="0.2">
      <c r="A25" s="135" t="s">
        <v>22</v>
      </c>
      <c r="B25" s="223" t="s">
        <v>63</v>
      </c>
      <c r="C25" s="223"/>
      <c r="D25" s="133" t="s">
        <v>25</v>
      </c>
      <c r="E25" s="38">
        <f t="shared" si="6"/>
        <v>0</v>
      </c>
      <c r="F25" s="39">
        <f t="shared" si="6"/>
        <v>0</v>
      </c>
      <c r="G25" s="39">
        <f t="shared" si="6"/>
        <v>0</v>
      </c>
      <c r="H25" s="14" t="e">
        <f>G25/F25*100</f>
        <v>#DIV/0!</v>
      </c>
      <c r="I25" s="40">
        <f>SUM(N25,S25)</f>
        <v>0</v>
      </c>
      <c r="J25" s="240"/>
      <c r="K25" s="271"/>
      <c r="L25" s="271"/>
      <c r="M25" s="219" t="e">
        <f>L25/K25*100</f>
        <v>#DIV/0!</v>
      </c>
      <c r="N25" s="272"/>
      <c r="O25" s="273"/>
      <c r="P25" s="271"/>
      <c r="Q25" s="271"/>
      <c r="R25" s="219" t="e">
        <f>Q25/P25*100</f>
        <v>#DIV/0!</v>
      </c>
      <c r="S25" s="274"/>
      <c r="T25" s="273"/>
      <c r="U25" s="271"/>
      <c r="V25" s="271"/>
      <c r="W25" s="219" t="e">
        <f>V25/U25*100</f>
        <v>#DIV/0!</v>
      </c>
      <c r="X25" s="275"/>
    </row>
    <row r="26" spans="1:24" s="6" customFormat="1" ht="9.9499999999999993" customHeight="1" x14ac:dyDescent="0.2">
      <c r="A26" s="135" t="s">
        <v>23</v>
      </c>
      <c r="B26" s="511" t="s">
        <v>64</v>
      </c>
      <c r="C26" s="512"/>
      <c r="D26" s="133" t="s">
        <v>25</v>
      </c>
      <c r="E26" s="38">
        <f t="shared" si="6"/>
        <v>1457900</v>
      </c>
      <c r="F26" s="39">
        <f t="shared" si="6"/>
        <v>1483959</v>
      </c>
      <c r="G26" s="39">
        <f t="shared" si="6"/>
        <v>751829.21</v>
      </c>
      <c r="H26" s="10">
        <f t="shared" si="0"/>
        <v>50.663745426928905</v>
      </c>
      <c r="I26" s="40">
        <f t="shared" si="6"/>
        <v>1302788</v>
      </c>
      <c r="J26" s="240">
        <v>1457900</v>
      </c>
      <c r="K26" s="276">
        <v>1483959</v>
      </c>
      <c r="L26" s="276">
        <v>751829.21</v>
      </c>
      <c r="M26" s="219">
        <f>L26/K26*100</f>
        <v>50.663745426928905</v>
      </c>
      <c r="N26" s="272">
        <v>1302788</v>
      </c>
      <c r="O26" s="277"/>
      <c r="P26" s="276"/>
      <c r="Q26" s="276"/>
      <c r="R26" s="219" t="e">
        <f>Q26/P26*100</f>
        <v>#DIV/0!</v>
      </c>
      <c r="S26" s="272"/>
      <c r="T26" s="278">
        <v>71000</v>
      </c>
      <c r="U26" s="279">
        <v>71000</v>
      </c>
      <c r="V26" s="279">
        <v>49651.19</v>
      </c>
      <c r="W26" s="219">
        <f>V26/U26*100</f>
        <v>69.931253521126763</v>
      </c>
      <c r="X26" s="280">
        <v>187852</v>
      </c>
    </row>
    <row r="27" spans="1:24" s="13" customFormat="1" ht="9.9499999999999993" customHeight="1" x14ac:dyDescent="0.2">
      <c r="A27" s="135" t="s">
        <v>44</v>
      </c>
      <c r="B27" s="236" t="s">
        <v>65</v>
      </c>
      <c r="C27" s="237"/>
      <c r="D27" s="133" t="s">
        <v>25</v>
      </c>
      <c r="E27" s="38">
        <f t="shared" si="6"/>
        <v>0</v>
      </c>
      <c r="F27" s="39">
        <f t="shared" si="6"/>
        <v>0</v>
      </c>
      <c r="G27" s="39">
        <f t="shared" si="6"/>
        <v>0</v>
      </c>
      <c r="H27" s="14" t="e">
        <f t="shared" si="0"/>
        <v>#DIV/0!</v>
      </c>
      <c r="I27" s="40">
        <f t="shared" si="6"/>
        <v>38785</v>
      </c>
      <c r="J27" s="240"/>
      <c r="K27" s="276"/>
      <c r="L27" s="276"/>
      <c r="M27" s="219" t="e">
        <f t="shared" si="2"/>
        <v>#DIV/0!</v>
      </c>
      <c r="N27" s="229">
        <v>38785</v>
      </c>
      <c r="O27" s="277"/>
      <c r="P27" s="276"/>
      <c r="Q27" s="276"/>
      <c r="R27" s="219" t="e">
        <f t="shared" si="3"/>
        <v>#DIV/0!</v>
      </c>
      <c r="S27" s="272"/>
      <c r="T27" s="278"/>
      <c r="U27" s="279"/>
      <c r="V27" s="279"/>
      <c r="W27" s="219" t="e">
        <f t="shared" si="4"/>
        <v>#DIV/0!</v>
      </c>
      <c r="X27" s="280"/>
    </row>
    <row r="28" spans="1:24" s="13" customFormat="1" ht="9.9499999999999993" customHeight="1" x14ac:dyDescent="0.2">
      <c r="A28" s="135" t="s">
        <v>50</v>
      </c>
      <c r="B28" s="236" t="s">
        <v>91</v>
      </c>
      <c r="C28" s="237"/>
      <c r="D28" s="133" t="s">
        <v>25</v>
      </c>
      <c r="E28" s="38">
        <f>SUM(J28,O28)</f>
        <v>312500</v>
      </c>
      <c r="F28" s="39">
        <f>SUM(K28,P28)</f>
        <v>395500</v>
      </c>
      <c r="G28" s="39">
        <f>SUM(L28,Q28)</f>
        <v>173043.8</v>
      </c>
      <c r="H28" s="14">
        <f>G28/F28*100</f>
        <v>43.753173198482934</v>
      </c>
      <c r="I28" s="40">
        <f>SUM(N28,S28)</f>
        <v>342950</v>
      </c>
      <c r="J28" s="240">
        <v>60000</v>
      </c>
      <c r="K28" s="276">
        <v>143000</v>
      </c>
      <c r="L28" s="276">
        <v>130653.8</v>
      </c>
      <c r="M28" s="219">
        <f>L28/K28*100</f>
        <v>91.366293706293717</v>
      </c>
      <c r="N28" s="229">
        <v>93572</v>
      </c>
      <c r="O28" s="277">
        <v>252500</v>
      </c>
      <c r="P28" s="276">
        <v>252500</v>
      </c>
      <c r="Q28" s="276">
        <v>42390</v>
      </c>
      <c r="R28" s="219">
        <f>Q28/P28*100</f>
        <v>16.788118811881191</v>
      </c>
      <c r="S28" s="272">
        <v>249378</v>
      </c>
      <c r="T28" s="278">
        <v>7000</v>
      </c>
      <c r="U28" s="279">
        <v>7000</v>
      </c>
      <c r="V28" s="279">
        <v>1331.2</v>
      </c>
      <c r="W28" s="219">
        <f>V28/U28*100</f>
        <v>19.017142857142858</v>
      </c>
      <c r="X28" s="280"/>
    </row>
    <row r="29" spans="1:24" s="15" customFormat="1" ht="9.9499999999999993" customHeight="1" x14ac:dyDescent="0.2">
      <c r="A29" s="135" t="s">
        <v>51</v>
      </c>
      <c r="B29" s="236" t="s">
        <v>66</v>
      </c>
      <c r="C29" s="237"/>
      <c r="D29" s="133" t="s">
        <v>25</v>
      </c>
      <c r="E29" s="38">
        <f t="shared" si="6"/>
        <v>130000</v>
      </c>
      <c r="F29" s="39">
        <f t="shared" si="6"/>
        <v>130000</v>
      </c>
      <c r="G29" s="39">
        <f t="shared" si="6"/>
        <v>9021.73</v>
      </c>
      <c r="H29" s="14">
        <f t="shared" si="0"/>
        <v>6.9397923076923078</v>
      </c>
      <c r="I29" s="40">
        <f t="shared" si="6"/>
        <v>61543</v>
      </c>
      <c r="J29" s="240">
        <v>130000</v>
      </c>
      <c r="K29" s="276">
        <v>130000</v>
      </c>
      <c r="L29" s="276">
        <v>9021.73</v>
      </c>
      <c r="M29" s="219">
        <f t="shared" si="2"/>
        <v>6.9397923076923078</v>
      </c>
      <c r="N29" s="272">
        <v>61543</v>
      </c>
      <c r="O29" s="277"/>
      <c r="P29" s="276"/>
      <c r="Q29" s="276"/>
      <c r="R29" s="219" t="e">
        <f t="shared" si="3"/>
        <v>#DIV/0!</v>
      </c>
      <c r="S29" s="272"/>
      <c r="T29" s="278">
        <v>2000</v>
      </c>
      <c r="U29" s="279">
        <v>2000</v>
      </c>
      <c r="V29" s="279">
        <v>1236.69</v>
      </c>
      <c r="W29" s="219">
        <f t="shared" si="4"/>
        <v>61.834500000000006</v>
      </c>
      <c r="X29" s="280">
        <v>2004</v>
      </c>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40">
        <f>SUM(N30,S30)</f>
        <v>0</v>
      </c>
      <c r="J30" s="240"/>
      <c r="K30" s="276"/>
      <c r="L30" s="276"/>
      <c r="M30" s="219" t="e">
        <f t="shared" si="2"/>
        <v>#DIV/0!</v>
      </c>
      <c r="N30" s="272"/>
      <c r="O30" s="277"/>
      <c r="P30" s="276"/>
      <c r="Q30" s="276"/>
      <c r="R30" s="219" t="e">
        <f t="shared" si="3"/>
        <v>#DIV/0!</v>
      </c>
      <c r="S30" s="272"/>
      <c r="T30" s="278"/>
      <c r="U30" s="279"/>
      <c r="V30" s="279"/>
      <c r="W30" s="219" t="e">
        <f t="shared" si="4"/>
        <v>#DIV/0!</v>
      </c>
      <c r="X30" s="280"/>
    </row>
    <row r="31" spans="1:24" s="23" customFormat="1" ht="9.75" x14ac:dyDescent="0.2">
      <c r="A31" s="135" t="s">
        <v>54</v>
      </c>
      <c r="B31" s="236" t="s">
        <v>67</v>
      </c>
      <c r="C31" s="237"/>
      <c r="D31" s="133" t="s">
        <v>25</v>
      </c>
      <c r="E31" s="38">
        <f t="shared" si="7"/>
        <v>0</v>
      </c>
      <c r="F31" s="39">
        <f t="shared" si="7"/>
        <v>0</v>
      </c>
      <c r="G31" s="39">
        <f t="shared" si="7"/>
        <v>0</v>
      </c>
      <c r="H31" s="14" t="e">
        <f t="shared" si="0"/>
        <v>#DIV/0!</v>
      </c>
      <c r="I31" s="40">
        <f>SUM(N31,S31)</f>
        <v>0</v>
      </c>
      <c r="J31" s="240"/>
      <c r="K31" s="281"/>
      <c r="L31" s="281"/>
      <c r="M31" s="219" t="e">
        <f t="shared" si="2"/>
        <v>#DIV/0!</v>
      </c>
      <c r="N31" s="282"/>
      <c r="O31" s="283"/>
      <c r="P31" s="281"/>
      <c r="Q31" s="281"/>
      <c r="R31" s="219" t="e">
        <f t="shared" si="3"/>
        <v>#DIV/0!</v>
      </c>
      <c r="S31" s="282"/>
      <c r="T31" s="284"/>
      <c r="U31" s="285"/>
      <c r="V31" s="285"/>
      <c r="W31" s="219" t="e">
        <f t="shared" si="4"/>
        <v>#DIV/0!</v>
      </c>
      <c r="X31" s="286"/>
    </row>
    <row r="32" spans="1:24" s="23" customFormat="1" ht="9.75" x14ac:dyDescent="0.2">
      <c r="A32" s="238" t="s">
        <v>55</v>
      </c>
      <c r="B32" s="233" t="s">
        <v>68</v>
      </c>
      <c r="C32" s="239"/>
      <c r="D32" s="235" t="s">
        <v>25</v>
      </c>
      <c r="E32" s="42">
        <f>SUM(J32,O32)</f>
        <v>0</v>
      </c>
      <c r="F32" s="43">
        <f>SUM(K32,P32)</f>
        <v>0</v>
      </c>
      <c r="G32" s="43">
        <f>SUM(L32,Q32)</f>
        <v>10450</v>
      </c>
      <c r="H32" s="16" t="e">
        <f t="shared" si="0"/>
        <v>#DIV/0!</v>
      </c>
      <c r="I32" s="44">
        <f>SUM(N32,S32)</f>
        <v>0</v>
      </c>
      <c r="J32" s="287"/>
      <c r="K32" s="288"/>
      <c r="L32" s="288">
        <v>10450</v>
      </c>
      <c r="M32" s="265" t="e">
        <f t="shared" si="2"/>
        <v>#DIV/0!</v>
      </c>
      <c r="N32" s="289"/>
      <c r="O32" s="290"/>
      <c r="P32" s="288"/>
      <c r="Q32" s="288"/>
      <c r="R32" s="265" t="e">
        <f t="shared" si="3"/>
        <v>#DIV/0!</v>
      </c>
      <c r="S32" s="289"/>
      <c r="T32" s="290"/>
      <c r="U32" s="288"/>
      <c r="V32" s="288"/>
      <c r="W32" s="265" t="e">
        <f t="shared" si="4"/>
        <v>#DIV/0!</v>
      </c>
      <c r="X32" s="291"/>
    </row>
    <row r="33" spans="1:24" s="23" customFormat="1" ht="9.75" x14ac:dyDescent="0.2">
      <c r="A33" s="134" t="s">
        <v>56</v>
      </c>
      <c r="B33" s="21" t="s">
        <v>102</v>
      </c>
      <c r="C33" s="22"/>
      <c r="D33" s="20" t="s">
        <v>25</v>
      </c>
      <c r="E33" s="29">
        <f>E6-E11</f>
        <v>0</v>
      </c>
      <c r="F33" s="29">
        <f>F6-F11</f>
        <v>0</v>
      </c>
      <c r="G33" s="29">
        <f>G6-G11</f>
        <v>5776237.4100000039</v>
      </c>
      <c r="H33" s="25" t="e">
        <f t="shared" si="0"/>
        <v>#DIV/0!</v>
      </c>
      <c r="I33" s="29">
        <f>I6-I11</f>
        <v>2308258</v>
      </c>
      <c r="J33" s="29">
        <f>J6-J11</f>
        <v>0</v>
      </c>
      <c r="K33" s="29">
        <f>K6-K11</f>
        <v>0</v>
      </c>
      <c r="L33" s="29">
        <f>L6-L11</f>
        <v>1681766.7400000002</v>
      </c>
      <c r="M33" s="19" t="e">
        <f t="shared" si="2"/>
        <v>#DIV/0!</v>
      </c>
      <c r="N33" s="29">
        <f>N6-N11</f>
        <v>2317606</v>
      </c>
      <c r="O33" s="29">
        <f>O6-O11</f>
        <v>0</v>
      </c>
      <c r="P33" s="29">
        <f>P6-P11</f>
        <v>0</v>
      </c>
      <c r="Q33" s="29">
        <f>Q6-Q11</f>
        <v>4094470.67</v>
      </c>
      <c r="R33" s="19" t="e">
        <f>Q33/P33*100</f>
        <v>#DIV/0!</v>
      </c>
      <c r="S33" s="29">
        <f>S6-S11</f>
        <v>-9348</v>
      </c>
      <c r="T33" s="29">
        <f>T6-T11</f>
        <v>89000</v>
      </c>
      <c r="U33" s="29">
        <f>U6-U11</f>
        <v>89000</v>
      </c>
      <c r="V33" s="29">
        <f>V6-V11</f>
        <v>108774.21999999997</v>
      </c>
      <c r="W33" s="19">
        <f>V33/U33*100</f>
        <v>122.21822471910109</v>
      </c>
      <c r="X33" s="29">
        <f>X6-X11</f>
        <v>127783</v>
      </c>
    </row>
    <row r="34" spans="1:24" s="4" customFormat="1" ht="9" x14ac:dyDescent="0.2">
      <c r="A34" s="224" t="s">
        <v>57</v>
      </c>
      <c r="B34" s="509" t="s">
        <v>24</v>
      </c>
      <c r="C34" s="510"/>
      <c r="D34" s="136" t="s">
        <v>25</v>
      </c>
      <c r="E34" s="196">
        <v>23500</v>
      </c>
      <c r="F34" s="197">
        <v>23500</v>
      </c>
      <c r="G34" s="197">
        <v>22679</v>
      </c>
      <c r="H34" s="12">
        <f t="shared" si="0"/>
        <v>96.506382978723408</v>
      </c>
      <c r="I34" s="256">
        <v>21754</v>
      </c>
      <c r="J34" s="612"/>
      <c r="K34" s="613"/>
      <c r="L34" s="613"/>
      <c r="M34" s="613"/>
      <c r="N34" s="613"/>
      <c r="O34" s="613"/>
      <c r="P34" s="613"/>
      <c r="Q34" s="613"/>
      <c r="R34" s="613"/>
      <c r="S34" s="613"/>
      <c r="T34" s="613"/>
      <c r="U34" s="613"/>
      <c r="V34" s="613"/>
      <c r="W34" s="613"/>
      <c r="X34" s="614"/>
    </row>
    <row r="35" spans="1:24" s="4" customFormat="1" ht="9" x14ac:dyDescent="0.2">
      <c r="A35" s="137" t="s">
        <v>58</v>
      </c>
      <c r="B35" s="498" t="s">
        <v>33</v>
      </c>
      <c r="C35" s="499"/>
      <c r="D35" s="137" t="s">
        <v>26</v>
      </c>
      <c r="E35" s="198">
        <v>71</v>
      </c>
      <c r="F35" s="199">
        <v>71</v>
      </c>
      <c r="G35" s="199">
        <v>70.94</v>
      </c>
      <c r="H35" s="261">
        <f t="shared" si="0"/>
        <v>99.91549295774648</v>
      </c>
      <c r="I35" s="301">
        <v>73</v>
      </c>
      <c r="J35" s="612"/>
      <c r="K35" s="613"/>
      <c r="L35" s="613"/>
      <c r="M35" s="613"/>
      <c r="N35" s="613"/>
      <c r="O35" s="613"/>
      <c r="P35" s="613"/>
      <c r="Q35" s="613"/>
      <c r="R35" s="613"/>
      <c r="S35" s="613"/>
      <c r="T35" s="613"/>
      <c r="U35" s="613"/>
      <c r="V35" s="613"/>
      <c r="W35" s="613"/>
      <c r="X35" s="614"/>
    </row>
    <row r="36" spans="1:24" s="4" customFormat="1" ht="9" x14ac:dyDescent="0.2">
      <c r="A36" s="225" t="s">
        <v>59</v>
      </c>
      <c r="B36" s="500" t="s">
        <v>27</v>
      </c>
      <c r="C36" s="501"/>
      <c r="D36" s="226" t="s">
        <v>26</v>
      </c>
      <c r="E36" s="200">
        <v>74</v>
      </c>
      <c r="F36" s="201">
        <v>74</v>
      </c>
      <c r="G36" s="201">
        <v>74</v>
      </c>
      <c r="H36" s="259">
        <f t="shared" si="0"/>
        <v>100</v>
      </c>
      <c r="I36" s="260">
        <v>74</v>
      </c>
      <c r="J36" s="615"/>
      <c r="K36" s="616"/>
      <c r="L36" s="616"/>
      <c r="M36" s="616"/>
      <c r="N36" s="616"/>
      <c r="O36" s="616"/>
      <c r="P36" s="616"/>
      <c r="Q36" s="616"/>
      <c r="R36" s="616"/>
      <c r="S36" s="616"/>
      <c r="T36" s="616"/>
      <c r="U36" s="616"/>
      <c r="V36" s="616"/>
      <c r="W36" s="616"/>
      <c r="X36" s="61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4"/>
  <sheetViews>
    <sheetView tabSelected="1" zoomScaleNormal="100" workbookViewId="0">
      <selection activeCell="A29" sqref="A29:I29"/>
    </sheetView>
  </sheetViews>
  <sheetFormatPr defaultRowHeight="12.75" x14ac:dyDescent="0.2"/>
  <cols>
    <col min="1" max="1" width="74.75" style="71" customWidth="1"/>
    <col min="2" max="9" width="23.75" style="71" customWidth="1"/>
  </cols>
  <sheetData>
    <row r="1" spans="1:14" ht="18.75" x14ac:dyDescent="0.3">
      <c r="A1" s="72" t="s">
        <v>85</v>
      </c>
      <c r="B1" s="70"/>
      <c r="C1" s="70"/>
      <c r="D1" s="70"/>
      <c r="E1" s="70"/>
      <c r="F1" s="70"/>
      <c r="G1" s="70"/>
      <c r="H1" s="70"/>
      <c r="I1" s="70"/>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06" t="s">
        <v>25</v>
      </c>
      <c r="D5" s="472" t="s">
        <v>113</v>
      </c>
      <c r="E5" s="472"/>
      <c r="F5" s="472"/>
      <c r="G5" s="472"/>
      <c r="H5" s="472"/>
      <c r="I5" s="472"/>
    </row>
    <row r="6" spans="1:14" s="102" customFormat="1" ht="45.75" customHeight="1" x14ac:dyDescent="0.2">
      <c r="A6" s="467" t="s">
        <v>70</v>
      </c>
      <c r="B6" s="468"/>
      <c r="C6" s="180">
        <v>145783.99</v>
      </c>
      <c r="D6" s="473" t="s">
        <v>157</v>
      </c>
      <c r="E6" s="473"/>
      <c r="F6" s="473"/>
      <c r="G6" s="473"/>
      <c r="H6" s="473"/>
      <c r="I6" s="473"/>
    </row>
    <row r="7" spans="1:14" s="104" customFormat="1" ht="25.5" customHeight="1" x14ac:dyDescent="0.15">
      <c r="A7" s="467" t="s">
        <v>38</v>
      </c>
      <c r="B7" s="468"/>
      <c r="C7" s="180">
        <v>78563.66</v>
      </c>
      <c r="D7" s="473" t="s">
        <v>158</v>
      </c>
      <c r="E7" s="474"/>
      <c r="F7" s="474"/>
      <c r="G7" s="474"/>
      <c r="H7" s="474"/>
      <c r="I7" s="474"/>
    </row>
    <row r="8" spans="1:14" s="104" customFormat="1" ht="10.5" x14ac:dyDescent="0.15">
      <c r="A8" s="467" t="s">
        <v>71</v>
      </c>
      <c r="B8" s="468"/>
      <c r="C8" s="180">
        <v>0</v>
      </c>
      <c r="D8" s="591"/>
      <c r="E8" s="592"/>
      <c r="F8" s="592"/>
      <c r="G8" s="592"/>
      <c r="H8" s="592"/>
      <c r="I8" s="593"/>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72" customHeight="1" x14ac:dyDescent="0.2">
      <c r="A13" s="205" t="s">
        <v>72</v>
      </c>
      <c r="B13" s="422">
        <v>7780.84</v>
      </c>
      <c r="C13" s="422">
        <v>1830526.1</v>
      </c>
      <c r="D13" s="422">
        <v>1524738.27</v>
      </c>
      <c r="E13" s="422">
        <f>B13+C13-D13</f>
        <v>313568.67000000016</v>
      </c>
      <c r="F13" s="423">
        <v>313568.67</v>
      </c>
      <c r="G13" s="645" t="s">
        <v>159</v>
      </c>
      <c r="H13" s="645"/>
      <c r="I13" s="645"/>
    </row>
    <row r="14" spans="1:14" s="102" customFormat="1" ht="24" customHeight="1" x14ac:dyDescent="0.2">
      <c r="A14" s="207" t="s">
        <v>117</v>
      </c>
      <c r="B14" s="424">
        <v>144641.60999999999</v>
      </c>
      <c r="C14" s="424">
        <v>454537</v>
      </c>
      <c r="D14" s="424">
        <v>387988</v>
      </c>
      <c r="E14" s="422">
        <f t="shared" ref="E14:E16" si="0">B14+C14-D14</f>
        <v>211190.61</v>
      </c>
      <c r="F14" s="425">
        <v>211190.61</v>
      </c>
      <c r="G14" s="473" t="s">
        <v>160</v>
      </c>
      <c r="H14" s="473"/>
      <c r="I14" s="473"/>
      <c r="N14" s="109"/>
    </row>
    <row r="15" spans="1:14" s="102" customFormat="1" ht="22.5" customHeight="1" x14ac:dyDescent="0.2">
      <c r="A15" s="207" t="s">
        <v>73</v>
      </c>
      <c r="B15" s="424">
        <v>41270.78</v>
      </c>
      <c r="C15" s="424">
        <v>10000</v>
      </c>
      <c r="D15" s="424">
        <v>0</v>
      </c>
      <c r="E15" s="422">
        <f t="shared" si="0"/>
        <v>51270.78</v>
      </c>
      <c r="F15" s="425">
        <v>51270.78</v>
      </c>
      <c r="G15" s="473" t="s">
        <v>161</v>
      </c>
      <c r="H15" s="473"/>
      <c r="I15" s="473"/>
    </row>
    <row r="16" spans="1:14" s="102" customFormat="1" ht="103.5" customHeight="1" x14ac:dyDescent="0.2">
      <c r="A16" s="209" t="s">
        <v>97</v>
      </c>
      <c r="B16" s="426">
        <v>134640.5</v>
      </c>
      <c r="C16" s="426">
        <v>118100</v>
      </c>
      <c r="D16" s="426">
        <v>100275.5</v>
      </c>
      <c r="E16" s="422">
        <f t="shared" si="0"/>
        <v>152465</v>
      </c>
      <c r="F16" s="427">
        <v>62588</v>
      </c>
      <c r="G16" s="646" t="s">
        <v>156</v>
      </c>
      <c r="H16" s="646"/>
      <c r="I16" s="646"/>
    </row>
    <row r="17" spans="1:9" s="102" customFormat="1" ht="11.25" x14ac:dyDescent="0.2">
      <c r="A17" s="371" t="s">
        <v>34</v>
      </c>
      <c r="B17" s="184">
        <f>SUM(B13:B16)</f>
        <v>328333.73</v>
      </c>
      <c r="C17" s="184">
        <f t="shared" ref="C17:F17" si="1">SUM(C13:C16)</f>
        <v>2413163.1</v>
      </c>
      <c r="D17" s="184">
        <f t="shared" si="1"/>
        <v>2013001.77</v>
      </c>
      <c r="E17" s="184">
        <f t="shared" si="1"/>
        <v>728495.06000000017</v>
      </c>
      <c r="F17" s="184">
        <f t="shared" si="1"/>
        <v>638618.06000000006</v>
      </c>
      <c r="G17" s="466"/>
      <c r="H17" s="466"/>
      <c r="I17" s="466"/>
    </row>
    <row r="18" spans="1:9" s="81" customFormat="1" ht="11.25" x14ac:dyDescent="0.2">
      <c r="A18" s="179"/>
      <c r="B18" s="179"/>
      <c r="C18" s="113"/>
      <c r="D18" s="179"/>
      <c r="E18" s="179"/>
      <c r="F18" s="179"/>
      <c r="G18" s="179"/>
      <c r="H18" s="179"/>
      <c r="I18" s="179"/>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23.25" customHeight="1" x14ac:dyDescent="0.2">
      <c r="A21" s="620" t="s">
        <v>271</v>
      </c>
      <c r="B21" s="621"/>
      <c r="C21" s="621"/>
      <c r="D21" s="621"/>
      <c r="E21" s="621"/>
      <c r="F21" s="621"/>
      <c r="G21" s="621"/>
      <c r="H21" s="621"/>
      <c r="I21" s="622"/>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162</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35.25" customHeight="1" x14ac:dyDescent="0.15">
      <c r="A33" s="585" t="s">
        <v>163</v>
      </c>
      <c r="B33" s="586"/>
      <c r="C33" s="586"/>
      <c r="D33" s="586"/>
      <c r="E33" s="586"/>
      <c r="F33" s="586"/>
      <c r="G33" s="586"/>
      <c r="H33" s="586"/>
      <c r="I33" s="587"/>
    </row>
    <row r="34" spans="1:9" ht="10.5" x14ac:dyDescent="0.15">
      <c r="A34" s="623" t="s">
        <v>164</v>
      </c>
      <c r="B34" s="624"/>
      <c r="C34" s="624"/>
      <c r="D34" s="624"/>
      <c r="E34" s="624"/>
      <c r="F34" s="624"/>
      <c r="G34" s="624"/>
      <c r="H34" s="624"/>
      <c r="I34" s="625"/>
    </row>
  </sheetData>
  <mergeCells count="25">
    <mergeCell ref="A29:I29"/>
    <mergeCell ref="A33:I33"/>
    <mergeCell ref="A34:I34"/>
    <mergeCell ref="A31:I31"/>
    <mergeCell ref="A3:I3"/>
    <mergeCell ref="A5:B5"/>
    <mergeCell ref="D5:I5"/>
    <mergeCell ref="A6:B6"/>
    <mergeCell ref="D6:I6"/>
    <mergeCell ref="D7:I7"/>
    <mergeCell ref="D8:I8"/>
    <mergeCell ref="A10:I10"/>
    <mergeCell ref="A7:B7"/>
    <mergeCell ref="A25:I25"/>
    <mergeCell ref="A8:B8"/>
    <mergeCell ref="A19:I19"/>
    <mergeCell ref="G17:I17"/>
    <mergeCell ref="A21:I21"/>
    <mergeCell ref="A23:I23"/>
    <mergeCell ref="A27:I27"/>
    <mergeCell ref="G12:I12"/>
    <mergeCell ref="G13:I13"/>
    <mergeCell ref="G14:I14"/>
    <mergeCell ref="G15:I15"/>
    <mergeCell ref="G16:I16"/>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529" t="s">
        <v>85</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30171452</v>
      </c>
      <c r="F6" s="29">
        <f>SUM(F7:F9)</f>
        <v>30559435</v>
      </c>
      <c r="G6" s="29">
        <f>SUM(G7:G9)</f>
        <v>15388711.699999999</v>
      </c>
      <c r="H6" s="24">
        <f t="shared" ref="H6:H36" si="0">G6/F6*100</f>
        <v>50.356663007676673</v>
      </c>
      <c r="I6" s="29">
        <f>SUM(I7:I9)</f>
        <v>14668716</v>
      </c>
      <c r="J6" s="29">
        <f>SUM(J7:J9)</f>
        <v>7662530</v>
      </c>
      <c r="K6" s="29">
        <f t="shared" ref="K6:X6" si="1">SUM(K7:K9)</f>
        <v>8050513</v>
      </c>
      <c r="L6" s="29">
        <f t="shared" si="1"/>
        <v>4554592.7</v>
      </c>
      <c r="M6" s="24">
        <f t="shared" ref="M6:M32" si="2">L6/K6*100</f>
        <v>56.575185953988274</v>
      </c>
      <c r="N6" s="30">
        <f t="shared" si="1"/>
        <v>4241888</v>
      </c>
      <c r="O6" s="29">
        <f t="shared" si="1"/>
        <v>22508922</v>
      </c>
      <c r="P6" s="29">
        <f t="shared" si="1"/>
        <v>22508922</v>
      </c>
      <c r="Q6" s="29">
        <f t="shared" si="1"/>
        <v>10834119</v>
      </c>
      <c r="R6" s="24">
        <f t="shared" ref="R6:R33" si="3">Q6/P6*100</f>
        <v>48.132553837984773</v>
      </c>
      <c r="S6" s="29">
        <f t="shared" si="1"/>
        <v>10426828</v>
      </c>
      <c r="T6" s="29">
        <f t="shared" si="1"/>
        <v>600100</v>
      </c>
      <c r="U6" s="29">
        <f t="shared" si="1"/>
        <v>694400</v>
      </c>
      <c r="V6" s="29">
        <f t="shared" si="1"/>
        <v>421695</v>
      </c>
      <c r="W6" s="24">
        <f t="shared" ref="W6:W33" si="4">V6/U6*100</f>
        <v>60.727966589861751</v>
      </c>
      <c r="X6" s="29">
        <f t="shared" si="1"/>
        <v>379451</v>
      </c>
    </row>
    <row r="7" spans="1:24" s="6" customFormat="1" ht="9.9499999999999993" customHeight="1" x14ac:dyDescent="0.2">
      <c r="A7" s="130" t="s">
        <v>2</v>
      </c>
      <c r="B7" s="522" t="s">
        <v>45</v>
      </c>
      <c r="C7" s="523"/>
      <c r="D7" s="131" t="s">
        <v>25</v>
      </c>
      <c r="E7" s="32">
        <f>SUM(J7,O7)</f>
        <v>3496000</v>
      </c>
      <c r="F7" s="33">
        <f>SUM(K7,P7)</f>
        <v>3861735</v>
      </c>
      <c r="G7" s="33">
        <f t="shared" ref="E7:G10" si="5">SUM(L7,Q7)</f>
        <v>2453978.5</v>
      </c>
      <c r="H7" s="9">
        <f t="shared" si="0"/>
        <v>63.546009759861818</v>
      </c>
      <c r="I7" s="34">
        <f>SUM(N7,S7)</f>
        <v>2179084</v>
      </c>
      <c r="J7" s="262">
        <v>3496000</v>
      </c>
      <c r="K7" s="35">
        <v>3861735</v>
      </c>
      <c r="L7" s="35">
        <v>2453978.5</v>
      </c>
      <c r="M7" s="9">
        <f t="shared" si="2"/>
        <v>63.546009759861818</v>
      </c>
      <c r="N7" s="302">
        <v>2179084</v>
      </c>
      <c r="O7" s="263"/>
      <c r="P7" s="35"/>
      <c r="Q7" s="35"/>
      <c r="R7" s="9" t="e">
        <f t="shared" si="3"/>
        <v>#DIV/0!</v>
      </c>
      <c r="S7" s="302"/>
      <c r="T7" s="263">
        <v>600100</v>
      </c>
      <c r="U7" s="35">
        <v>694400</v>
      </c>
      <c r="V7" s="35">
        <v>421695</v>
      </c>
      <c r="W7" s="9">
        <f t="shared" si="4"/>
        <v>60.727966589861751</v>
      </c>
      <c r="X7" s="65">
        <v>379451</v>
      </c>
    </row>
    <row r="8" spans="1:24" s="6" customFormat="1" ht="9.9499999999999993" customHeight="1" x14ac:dyDescent="0.2">
      <c r="A8" s="132" t="s">
        <v>3</v>
      </c>
      <c r="B8" s="524" t="s">
        <v>46</v>
      </c>
      <c r="C8" s="525"/>
      <c r="D8" s="133" t="s">
        <v>25</v>
      </c>
      <c r="E8" s="38">
        <f t="shared" si="5"/>
        <v>5000</v>
      </c>
      <c r="F8" s="39">
        <f t="shared" si="5"/>
        <v>1200</v>
      </c>
      <c r="G8" s="39">
        <f t="shared" si="5"/>
        <v>905.2</v>
      </c>
      <c r="H8" s="10">
        <f t="shared" si="0"/>
        <v>75.433333333333337</v>
      </c>
      <c r="I8" s="40">
        <f>SUM(N8,S8)</f>
        <v>2518</v>
      </c>
      <c r="J8" s="243">
        <v>5000</v>
      </c>
      <c r="K8" s="218">
        <v>1200</v>
      </c>
      <c r="L8" s="218">
        <v>905.2</v>
      </c>
      <c r="M8" s="219">
        <f t="shared" si="2"/>
        <v>75.433333333333337</v>
      </c>
      <c r="N8" s="229">
        <v>2518</v>
      </c>
      <c r="O8" s="217"/>
      <c r="P8" s="218"/>
      <c r="Q8" s="218"/>
      <c r="R8" s="219" t="e">
        <f t="shared" si="3"/>
        <v>#DIV/0!</v>
      </c>
      <c r="S8" s="229"/>
      <c r="T8" s="217"/>
      <c r="U8" s="218"/>
      <c r="V8" s="218"/>
      <c r="W8" s="219" t="e">
        <f t="shared" si="4"/>
        <v>#DIV/0!</v>
      </c>
      <c r="X8" s="220"/>
    </row>
    <row r="9" spans="1:24" s="6" customFormat="1" ht="9.9499999999999993" customHeight="1" x14ac:dyDescent="0.2">
      <c r="A9" s="232" t="s">
        <v>4</v>
      </c>
      <c r="B9" s="233" t="s">
        <v>60</v>
      </c>
      <c r="C9" s="234"/>
      <c r="D9" s="235" t="s">
        <v>25</v>
      </c>
      <c r="E9" s="42">
        <f t="shared" si="5"/>
        <v>26670452</v>
      </c>
      <c r="F9" s="43">
        <f t="shared" si="5"/>
        <v>26696500</v>
      </c>
      <c r="G9" s="43">
        <f t="shared" si="5"/>
        <v>12933828</v>
      </c>
      <c r="H9" s="26">
        <f t="shared" si="0"/>
        <v>48.447654186878431</v>
      </c>
      <c r="I9" s="44">
        <f>SUM(N9,S9)</f>
        <v>12487114</v>
      </c>
      <c r="J9" s="244">
        <v>4161530</v>
      </c>
      <c r="K9" s="264">
        <v>4187578</v>
      </c>
      <c r="L9" s="264">
        <v>2099709</v>
      </c>
      <c r="M9" s="265">
        <f t="shared" si="2"/>
        <v>50.141370501039027</v>
      </c>
      <c r="N9" s="230">
        <v>2060286</v>
      </c>
      <c r="O9" s="221">
        <v>22508922</v>
      </c>
      <c r="P9" s="264">
        <v>22508922</v>
      </c>
      <c r="Q9" s="264">
        <v>10834119</v>
      </c>
      <c r="R9" s="265">
        <f t="shared" si="3"/>
        <v>48.132553837984773</v>
      </c>
      <c r="S9" s="230">
        <v>10426828</v>
      </c>
      <c r="T9" s="221"/>
      <c r="U9" s="264"/>
      <c r="V9" s="264"/>
      <c r="W9" s="265" t="e">
        <f t="shared" si="4"/>
        <v>#DIV/0!</v>
      </c>
      <c r="X9" s="222"/>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9.9499999999999993" customHeight="1" x14ac:dyDescent="0.2">
      <c r="A11" s="134" t="s">
        <v>6</v>
      </c>
      <c r="B11" s="526" t="s">
        <v>9</v>
      </c>
      <c r="C11" s="527"/>
      <c r="D11" s="20" t="s">
        <v>25</v>
      </c>
      <c r="E11" s="29">
        <f>SUM(E12:E31)</f>
        <v>30171452</v>
      </c>
      <c r="F11" s="29">
        <f>SUM(F12:F31)</f>
        <v>30559435</v>
      </c>
      <c r="G11" s="29">
        <f>SUM(G12:G31)</f>
        <v>15242927.710000001</v>
      </c>
      <c r="H11" s="24">
        <f t="shared" si="0"/>
        <v>49.879612335764719</v>
      </c>
      <c r="I11" s="30">
        <f>SUM(I12:I31)</f>
        <v>14583774</v>
      </c>
      <c r="J11" s="29">
        <f>SUM(J12:J31)</f>
        <v>7662530</v>
      </c>
      <c r="K11" s="29">
        <f>SUM(K12:K31)</f>
        <v>8050513</v>
      </c>
      <c r="L11" s="29">
        <f>SUM(L12:L31)</f>
        <v>4408808.71</v>
      </c>
      <c r="M11" s="24">
        <f t="shared" si="2"/>
        <v>54.764320112271101</v>
      </c>
      <c r="N11" s="30">
        <f>SUM(N12:N31)</f>
        <v>4156946</v>
      </c>
      <c r="O11" s="29">
        <f>SUM(O12:O31)</f>
        <v>22508922</v>
      </c>
      <c r="P11" s="29">
        <f>SUM(P12:P31)</f>
        <v>22508922</v>
      </c>
      <c r="Q11" s="29">
        <f>SUM(Q12:Q31)</f>
        <v>10834119</v>
      </c>
      <c r="R11" s="24">
        <f t="shared" si="3"/>
        <v>48.132553837984773</v>
      </c>
      <c r="S11" s="30">
        <f>SUM(S12:S31)</f>
        <v>10426828</v>
      </c>
      <c r="T11" s="29">
        <f>SUM(T12:T31)</f>
        <v>529687</v>
      </c>
      <c r="U11" s="29">
        <f>SUM(U12:U31)</f>
        <v>623987</v>
      </c>
      <c r="V11" s="29">
        <f>SUM(V12:V31)</f>
        <v>343131.33999999997</v>
      </c>
      <c r="W11" s="24">
        <f t="shared" si="4"/>
        <v>54.990142422838929</v>
      </c>
      <c r="X11" s="29">
        <f>SUM(X12:X31)</f>
        <v>289787</v>
      </c>
    </row>
    <row r="12" spans="1:24" s="6" customFormat="1" ht="9.9499999999999993" customHeight="1" x14ac:dyDescent="0.2">
      <c r="A12" s="130" t="s">
        <v>8</v>
      </c>
      <c r="B12" s="528" t="s">
        <v>28</v>
      </c>
      <c r="C12" s="528"/>
      <c r="D12" s="131" t="s">
        <v>25</v>
      </c>
      <c r="E12" s="32">
        <f t="shared" ref="E12:I29" si="6">SUM(J12,O12)</f>
        <v>3857101</v>
      </c>
      <c r="F12" s="33">
        <f t="shared" si="6"/>
        <v>4215437</v>
      </c>
      <c r="G12" s="33">
        <f t="shared" si="6"/>
        <v>2570654.73</v>
      </c>
      <c r="H12" s="9">
        <f t="shared" si="0"/>
        <v>60.981927377873276</v>
      </c>
      <c r="I12" s="34">
        <f t="shared" si="6"/>
        <v>2321900</v>
      </c>
      <c r="J12" s="266">
        <v>3602301</v>
      </c>
      <c r="K12" s="48">
        <v>3960637</v>
      </c>
      <c r="L12" s="48">
        <v>2485243.73</v>
      </c>
      <c r="M12" s="9">
        <f t="shared" si="2"/>
        <v>62.748586401631854</v>
      </c>
      <c r="N12" s="303">
        <v>2241161</v>
      </c>
      <c r="O12" s="267">
        <v>254800</v>
      </c>
      <c r="P12" s="48">
        <v>254800</v>
      </c>
      <c r="Q12" s="48">
        <v>85411</v>
      </c>
      <c r="R12" s="9">
        <f t="shared" si="3"/>
        <v>33.520800627943487</v>
      </c>
      <c r="S12" s="304">
        <v>80739</v>
      </c>
      <c r="T12" s="267">
        <v>190908</v>
      </c>
      <c r="U12" s="48">
        <v>250908</v>
      </c>
      <c r="V12" s="48">
        <v>159778.9</v>
      </c>
      <c r="W12" s="9">
        <f t="shared" si="4"/>
        <v>63.680273247564841</v>
      </c>
      <c r="X12" s="52">
        <v>118772</v>
      </c>
    </row>
    <row r="13" spans="1:24" s="6" customFormat="1" ht="9.9499999999999993" customHeight="1" x14ac:dyDescent="0.2">
      <c r="A13" s="135" t="s">
        <v>10</v>
      </c>
      <c r="B13" s="508" t="s">
        <v>29</v>
      </c>
      <c r="C13" s="508"/>
      <c r="D13" s="133" t="s">
        <v>25</v>
      </c>
      <c r="E13" s="38">
        <f t="shared" si="6"/>
        <v>2191000</v>
      </c>
      <c r="F13" s="39">
        <f t="shared" si="6"/>
        <v>2191000</v>
      </c>
      <c r="G13" s="39">
        <f t="shared" si="6"/>
        <v>1120040.8700000001</v>
      </c>
      <c r="H13" s="10">
        <f t="shared" si="0"/>
        <v>51.120076220903698</v>
      </c>
      <c r="I13" s="40">
        <f t="shared" si="6"/>
        <v>992233</v>
      </c>
      <c r="J13" s="240">
        <v>2191000</v>
      </c>
      <c r="K13" s="218">
        <v>2191000</v>
      </c>
      <c r="L13" s="218">
        <v>1120040.8700000001</v>
      </c>
      <c r="M13" s="219">
        <f t="shared" si="2"/>
        <v>51.120076220903698</v>
      </c>
      <c r="N13" s="229">
        <v>992233</v>
      </c>
      <c r="O13" s="217"/>
      <c r="P13" s="218"/>
      <c r="Q13" s="218"/>
      <c r="R13" s="219" t="e">
        <f t="shared" si="3"/>
        <v>#DIV/0!</v>
      </c>
      <c r="S13" s="229"/>
      <c r="T13" s="217">
        <v>93121</v>
      </c>
      <c r="U13" s="218">
        <v>103121</v>
      </c>
      <c r="V13" s="218">
        <v>54700.4</v>
      </c>
      <c r="W13" s="219">
        <f t="shared" si="4"/>
        <v>53.044869619185228</v>
      </c>
      <c r="X13" s="220">
        <v>61373</v>
      </c>
    </row>
    <row r="14" spans="1:24" s="6" customFormat="1" ht="9.9499999999999993" customHeight="1" x14ac:dyDescent="0.2">
      <c r="A14" s="135" t="s">
        <v>11</v>
      </c>
      <c r="B14" s="236" t="s">
        <v>61</v>
      </c>
      <c r="C14" s="237"/>
      <c r="D14" s="133" t="s">
        <v>25</v>
      </c>
      <c r="E14" s="38">
        <f t="shared" si="6"/>
        <v>0</v>
      </c>
      <c r="F14" s="39">
        <f t="shared" si="6"/>
        <v>0</v>
      </c>
      <c r="G14" s="39">
        <f t="shared" si="6"/>
        <v>0</v>
      </c>
      <c r="H14" s="10" t="e">
        <f t="shared" si="0"/>
        <v>#DIV/0!</v>
      </c>
      <c r="I14" s="40">
        <f t="shared" si="6"/>
        <v>0</v>
      </c>
      <c r="J14" s="240"/>
      <c r="K14" s="218"/>
      <c r="L14" s="218"/>
      <c r="M14" s="219" t="e">
        <f t="shared" si="2"/>
        <v>#DIV/0!</v>
      </c>
      <c r="N14" s="229"/>
      <c r="O14" s="217"/>
      <c r="P14" s="218"/>
      <c r="Q14" s="218"/>
      <c r="R14" s="219" t="e">
        <f t="shared" si="3"/>
        <v>#DIV/0!</v>
      </c>
      <c r="S14" s="229"/>
      <c r="T14" s="217"/>
      <c r="U14" s="218"/>
      <c r="V14" s="218"/>
      <c r="W14" s="219" t="e">
        <f t="shared" si="4"/>
        <v>#DIV/0!</v>
      </c>
      <c r="X14" s="220"/>
    </row>
    <row r="15" spans="1:24" s="6" customFormat="1" ht="9.9499999999999993" customHeight="1" x14ac:dyDescent="0.2">
      <c r="A15" s="135" t="s">
        <v>12</v>
      </c>
      <c r="B15" s="511" t="s">
        <v>109</v>
      </c>
      <c r="C15" s="512"/>
      <c r="D15" s="133" t="s">
        <v>25</v>
      </c>
      <c r="E15" s="38">
        <f t="shared" si="6"/>
        <v>440000</v>
      </c>
      <c r="F15" s="39">
        <f t="shared" si="6"/>
        <v>441235</v>
      </c>
      <c r="G15" s="39">
        <f t="shared" si="6"/>
        <v>52400.800000000003</v>
      </c>
      <c r="H15" s="10">
        <f t="shared" si="0"/>
        <v>11.875939125409364</v>
      </c>
      <c r="I15" s="40">
        <f t="shared" si="6"/>
        <v>256461</v>
      </c>
      <c r="J15" s="240">
        <v>440000</v>
      </c>
      <c r="K15" s="218">
        <v>441235</v>
      </c>
      <c r="L15" s="218">
        <v>52400.800000000003</v>
      </c>
      <c r="M15" s="219">
        <f t="shared" si="2"/>
        <v>11.875939125409364</v>
      </c>
      <c r="N15" s="229">
        <v>256461</v>
      </c>
      <c r="O15" s="217"/>
      <c r="P15" s="218"/>
      <c r="Q15" s="218"/>
      <c r="R15" s="219" t="e">
        <f t="shared" si="3"/>
        <v>#DIV/0!</v>
      </c>
      <c r="S15" s="229"/>
      <c r="T15" s="217">
        <v>21000</v>
      </c>
      <c r="U15" s="218">
        <v>21000</v>
      </c>
      <c r="V15" s="218">
        <v>7707.2</v>
      </c>
      <c r="W15" s="219">
        <f t="shared" si="4"/>
        <v>36.70095238095238</v>
      </c>
      <c r="X15" s="220">
        <v>11190</v>
      </c>
    </row>
    <row r="16" spans="1:24" s="6" customFormat="1" ht="9.9499999999999993" customHeight="1" x14ac:dyDescent="0.2">
      <c r="A16" s="135" t="s">
        <v>13</v>
      </c>
      <c r="B16" s="511" t="s">
        <v>30</v>
      </c>
      <c r="C16" s="512"/>
      <c r="D16" s="133" t="s">
        <v>25</v>
      </c>
      <c r="E16" s="38">
        <f t="shared" si="6"/>
        <v>49000</v>
      </c>
      <c r="F16" s="39">
        <f t="shared" si="6"/>
        <v>47000</v>
      </c>
      <c r="G16" s="39">
        <f t="shared" si="6"/>
        <v>34126</v>
      </c>
      <c r="H16" s="10">
        <f t="shared" si="0"/>
        <v>72.608510638297872</v>
      </c>
      <c r="I16" s="40">
        <f t="shared" si="6"/>
        <v>34342</v>
      </c>
      <c r="J16" s="240">
        <v>4000</v>
      </c>
      <c r="K16" s="218">
        <v>2000</v>
      </c>
      <c r="L16" s="218"/>
      <c r="M16" s="219">
        <f t="shared" si="2"/>
        <v>0</v>
      </c>
      <c r="N16" s="229">
        <v>276</v>
      </c>
      <c r="O16" s="217">
        <v>45000</v>
      </c>
      <c r="P16" s="218">
        <v>45000</v>
      </c>
      <c r="Q16" s="218">
        <v>34126</v>
      </c>
      <c r="R16" s="219">
        <f t="shared" si="3"/>
        <v>75.835555555555558</v>
      </c>
      <c r="S16" s="229">
        <v>34066</v>
      </c>
      <c r="T16" s="217"/>
      <c r="U16" s="218"/>
      <c r="V16" s="218"/>
      <c r="W16" s="219" t="e">
        <f t="shared" si="4"/>
        <v>#DIV/0!</v>
      </c>
      <c r="X16" s="220"/>
    </row>
    <row r="17" spans="1:24" s="6" customFormat="1" ht="9.9499999999999993" customHeight="1" x14ac:dyDescent="0.2">
      <c r="A17" s="135" t="s">
        <v>14</v>
      </c>
      <c r="B17" s="236" t="s">
        <v>47</v>
      </c>
      <c r="C17" s="237"/>
      <c r="D17" s="133" t="s">
        <v>25</v>
      </c>
      <c r="E17" s="38">
        <f t="shared" si="6"/>
        <v>3000</v>
      </c>
      <c r="F17" s="39">
        <f t="shared" si="6"/>
        <v>3000</v>
      </c>
      <c r="G17" s="39">
        <f t="shared" si="6"/>
        <v>496</v>
      </c>
      <c r="H17" s="10">
        <f t="shared" si="0"/>
        <v>16.533333333333331</v>
      </c>
      <c r="I17" s="40">
        <f t="shared" si="6"/>
        <v>1028</v>
      </c>
      <c r="J17" s="240">
        <v>3000</v>
      </c>
      <c r="K17" s="218">
        <v>3000</v>
      </c>
      <c r="L17" s="218">
        <v>496</v>
      </c>
      <c r="M17" s="219">
        <f t="shared" si="2"/>
        <v>16.533333333333331</v>
      </c>
      <c r="N17" s="229">
        <v>1028</v>
      </c>
      <c r="O17" s="217"/>
      <c r="P17" s="218"/>
      <c r="Q17" s="218"/>
      <c r="R17" s="219" t="e">
        <f t="shared" si="3"/>
        <v>#DIV/0!</v>
      </c>
      <c r="S17" s="229"/>
      <c r="T17" s="217"/>
      <c r="U17" s="218"/>
      <c r="V17" s="218"/>
      <c r="W17" s="219" t="e">
        <f t="shared" si="4"/>
        <v>#DIV/0!</v>
      </c>
      <c r="X17" s="220"/>
    </row>
    <row r="18" spans="1:24" s="6" customFormat="1" ht="9.9499999999999993" customHeight="1" x14ac:dyDescent="0.2">
      <c r="A18" s="135" t="s">
        <v>15</v>
      </c>
      <c r="B18" s="511" t="s">
        <v>31</v>
      </c>
      <c r="C18" s="512"/>
      <c r="D18" s="133" t="s">
        <v>25</v>
      </c>
      <c r="E18" s="38">
        <f t="shared" si="6"/>
        <v>529100</v>
      </c>
      <c r="F18" s="39">
        <f t="shared" si="6"/>
        <v>511104</v>
      </c>
      <c r="G18" s="39">
        <f t="shared" si="6"/>
        <v>261246.41</v>
      </c>
      <c r="H18" s="10">
        <f t="shared" si="0"/>
        <v>51.114139196719258</v>
      </c>
      <c r="I18" s="40">
        <f t="shared" si="6"/>
        <v>354513</v>
      </c>
      <c r="J18" s="240">
        <v>358100</v>
      </c>
      <c r="K18" s="218">
        <v>340104</v>
      </c>
      <c r="L18" s="218">
        <v>174923.41</v>
      </c>
      <c r="M18" s="219">
        <f t="shared" si="2"/>
        <v>51.432329522734221</v>
      </c>
      <c r="N18" s="229">
        <v>203304</v>
      </c>
      <c r="O18" s="217">
        <v>171000</v>
      </c>
      <c r="P18" s="218">
        <v>171000</v>
      </c>
      <c r="Q18" s="218">
        <v>86323</v>
      </c>
      <c r="R18" s="219">
        <f t="shared" si="3"/>
        <v>50.481286549707605</v>
      </c>
      <c r="S18" s="229">
        <v>151209</v>
      </c>
      <c r="T18" s="217">
        <v>19871</v>
      </c>
      <c r="U18" s="218">
        <v>25526</v>
      </c>
      <c r="V18" s="218">
        <v>11091.74</v>
      </c>
      <c r="W18" s="219">
        <f t="shared" si="4"/>
        <v>43.452714878946956</v>
      </c>
      <c r="X18" s="220">
        <v>21865</v>
      </c>
    </row>
    <row r="19" spans="1:24" s="11" customFormat="1" ht="9.9499999999999993" customHeight="1" x14ac:dyDescent="0.2">
      <c r="A19" s="135" t="s">
        <v>16</v>
      </c>
      <c r="B19" s="508" t="s">
        <v>32</v>
      </c>
      <c r="C19" s="508"/>
      <c r="D19" s="133" t="s">
        <v>25</v>
      </c>
      <c r="E19" s="38">
        <f t="shared" si="6"/>
        <v>16337496</v>
      </c>
      <c r="F19" s="39">
        <f t="shared" si="6"/>
        <v>16337496</v>
      </c>
      <c r="G19" s="39">
        <f t="shared" si="6"/>
        <v>7895103</v>
      </c>
      <c r="H19" s="10">
        <f t="shared" si="0"/>
        <v>48.325049322123782</v>
      </c>
      <c r="I19" s="40">
        <f t="shared" si="6"/>
        <v>7424263</v>
      </c>
      <c r="J19" s="241">
        <v>129982</v>
      </c>
      <c r="K19" s="218">
        <v>129982</v>
      </c>
      <c r="L19" s="218">
        <v>79510</v>
      </c>
      <c r="M19" s="219">
        <f t="shared" si="2"/>
        <v>61.170008154975307</v>
      </c>
      <c r="N19" s="229">
        <v>46810</v>
      </c>
      <c r="O19" s="217">
        <v>16207514</v>
      </c>
      <c r="P19" s="218">
        <v>16207514</v>
      </c>
      <c r="Q19" s="218">
        <v>7815593</v>
      </c>
      <c r="R19" s="219">
        <f t="shared" si="3"/>
        <v>48.222034545211564</v>
      </c>
      <c r="S19" s="229">
        <v>7377453</v>
      </c>
      <c r="T19" s="268">
        <v>127608</v>
      </c>
      <c r="U19" s="269">
        <v>127608</v>
      </c>
      <c r="V19" s="269">
        <v>62645</v>
      </c>
      <c r="W19" s="219">
        <f t="shared" si="4"/>
        <v>49.091749733559027</v>
      </c>
      <c r="X19" s="270">
        <v>54431</v>
      </c>
    </row>
    <row r="20" spans="1:24" s="6" customFormat="1" ht="9.9499999999999993" customHeight="1" x14ac:dyDescent="0.2">
      <c r="A20" s="135" t="s">
        <v>17</v>
      </c>
      <c r="B20" s="508" t="s">
        <v>48</v>
      </c>
      <c r="C20" s="508"/>
      <c r="D20" s="133" t="s">
        <v>25</v>
      </c>
      <c r="E20" s="38">
        <f t="shared" si="6"/>
        <v>5622455</v>
      </c>
      <c r="F20" s="39">
        <f t="shared" si="6"/>
        <v>5621815</v>
      </c>
      <c r="G20" s="39">
        <f t="shared" si="6"/>
        <v>2718665</v>
      </c>
      <c r="H20" s="10">
        <f t="shared" si="0"/>
        <v>48.3592042783336</v>
      </c>
      <c r="I20" s="40">
        <f t="shared" si="6"/>
        <v>2525159</v>
      </c>
      <c r="J20" s="240">
        <v>60229</v>
      </c>
      <c r="K20" s="218">
        <v>59589</v>
      </c>
      <c r="L20" s="218">
        <v>35457</v>
      </c>
      <c r="M20" s="219">
        <f t="shared" si="2"/>
        <v>59.502592760408803</v>
      </c>
      <c r="N20" s="229">
        <v>18941</v>
      </c>
      <c r="O20" s="217">
        <v>5562226</v>
      </c>
      <c r="P20" s="218">
        <v>5562226</v>
      </c>
      <c r="Q20" s="218">
        <v>2683208</v>
      </c>
      <c r="R20" s="219">
        <f t="shared" si="3"/>
        <v>48.239823408829487</v>
      </c>
      <c r="S20" s="229">
        <v>2506218</v>
      </c>
      <c r="T20" s="217">
        <v>43923</v>
      </c>
      <c r="U20" s="218">
        <v>43923</v>
      </c>
      <c r="V20" s="218">
        <v>21555</v>
      </c>
      <c r="W20" s="219">
        <f t="shared" si="4"/>
        <v>49.074516767980327</v>
      </c>
      <c r="X20" s="220">
        <v>18742</v>
      </c>
    </row>
    <row r="21" spans="1:24" s="6" customFormat="1" ht="9.9499999999999993" customHeight="1" x14ac:dyDescent="0.2">
      <c r="A21" s="135" t="s">
        <v>18</v>
      </c>
      <c r="B21" s="508" t="s">
        <v>49</v>
      </c>
      <c r="C21" s="508"/>
      <c r="D21" s="133" t="s">
        <v>25</v>
      </c>
      <c r="E21" s="38">
        <f t="shared" si="6"/>
        <v>268882</v>
      </c>
      <c r="F21" s="39">
        <f t="shared" si="6"/>
        <v>269522</v>
      </c>
      <c r="G21" s="39">
        <f t="shared" si="6"/>
        <v>130306</v>
      </c>
      <c r="H21" s="10">
        <f t="shared" si="0"/>
        <v>48.347073708268709</v>
      </c>
      <c r="I21" s="40">
        <f t="shared" si="6"/>
        <v>88485</v>
      </c>
      <c r="J21" s="240">
        <v>500</v>
      </c>
      <c r="K21" s="218">
        <v>1140</v>
      </c>
      <c r="L21" s="218">
        <v>848</v>
      </c>
      <c r="M21" s="219">
        <f t="shared" si="2"/>
        <v>74.385964912280699</v>
      </c>
      <c r="N21" s="229"/>
      <c r="O21" s="217">
        <v>268382</v>
      </c>
      <c r="P21" s="218">
        <v>268382</v>
      </c>
      <c r="Q21" s="218">
        <v>129458</v>
      </c>
      <c r="R21" s="219">
        <f t="shared" si="3"/>
        <v>48.236468913712542</v>
      </c>
      <c r="S21" s="229">
        <v>88485</v>
      </c>
      <c r="T21" s="217">
        <v>1276</v>
      </c>
      <c r="U21" s="218">
        <v>1921</v>
      </c>
      <c r="V21" s="218">
        <v>943</v>
      </c>
      <c r="W21" s="219">
        <f t="shared" si="4"/>
        <v>49.089016137428423</v>
      </c>
      <c r="X21" s="220">
        <v>544</v>
      </c>
    </row>
    <row r="22" spans="1:24" s="6" customFormat="1" ht="9.9499999999999993" customHeight="1" x14ac:dyDescent="0.2">
      <c r="A22" s="135" t="s">
        <v>19</v>
      </c>
      <c r="B22" s="508" t="s">
        <v>62</v>
      </c>
      <c r="C22" s="508"/>
      <c r="D22" s="133" t="s">
        <v>25</v>
      </c>
      <c r="E22" s="38">
        <f t="shared" si="6"/>
        <v>0</v>
      </c>
      <c r="F22" s="39">
        <f t="shared" si="6"/>
        <v>0</v>
      </c>
      <c r="G22" s="39">
        <f t="shared" si="6"/>
        <v>0</v>
      </c>
      <c r="H22" s="10" t="e">
        <f t="shared" si="0"/>
        <v>#DIV/0!</v>
      </c>
      <c r="I22" s="40">
        <f t="shared" si="6"/>
        <v>0</v>
      </c>
      <c r="J22" s="240"/>
      <c r="K22" s="218"/>
      <c r="L22" s="218"/>
      <c r="M22" s="219" t="e">
        <f t="shared" si="2"/>
        <v>#DIV/0!</v>
      </c>
      <c r="N22" s="229"/>
      <c r="O22" s="217"/>
      <c r="P22" s="218"/>
      <c r="Q22" s="218"/>
      <c r="R22" s="219" t="e">
        <f t="shared" si="3"/>
        <v>#DIV/0!</v>
      </c>
      <c r="S22" s="229"/>
      <c r="T22" s="217"/>
      <c r="U22" s="218"/>
      <c r="V22" s="218"/>
      <c r="W22" s="219" t="e">
        <f t="shared" si="4"/>
        <v>#DIV/0!</v>
      </c>
      <c r="X22" s="220"/>
    </row>
    <row r="23" spans="1:24" s="6" customFormat="1" ht="9.9499999999999993" customHeight="1" x14ac:dyDescent="0.2">
      <c r="A23" s="135" t="s">
        <v>20</v>
      </c>
      <c r="B23" s="223" t="s">
        <v>101</v>
      </c>
      <c r="C23" s="223"/>
      <c r="D23" s="133" t="s">
        <v>25</v>
      </c>
      <c r="E23" s="38">
        <f t="shared" si="6"/>
        <v>0</v>
      </c>
      <c r="F23" s="39">
        <f t="shared" si="6"/>
        <v>18209</v>
      </c>
      <c r="G23" s="39">
        <f t="shared" si="6"/>
        <v>18209</v>
      </c>
      <c r="H23" s="10">
        <f t="shared" si="0"/>
        <v>100</v>
      </c>
      <c r="I23" s="40">
        <f t="shared" si="6"/>
        <v>22</v>
      </c>
      <c r="J23" s="240"/>
      <c r="K23" s="218">
        <v>18209</v>
      </c>
      <c r="L23" s="218">
        <v>18209</v>
      </c>
      <c r="M23" s="219">
        <f t="shared" si="2"/>
        <v>100</v>
      </c>
      <c r="N23" s="229">
        <v>22</v>
      </c>
      <c r="O23" s="217"/>
      <c r="P23" s="218"/>
      <c r="Q23" s="218"/>
      <c r="R23" s="219" t="e">
        <f t="shared" si="3"/>
        <v>#DIV/0!</v>
      </c>
      <c r="S23" s="229"/>
      <c r="T23" s="217"/>
      <c r="U23" s="218"/>
      <c r="V23" s="218"/>
      <c r="W23" s="219" t="e">
        <f t="shared" si="4"/>
        <v>#DIV/0!</v>
      </c>
      <c r="X23" s="220"/>
    </row>
    <row r="24" spans="1:24" s="6" customFormat="1" ht="9.9499999999999993" customHeight="1" x14ac:dyDescent="0.2">
      <c r="A24" s="135" t="s">
        <v>21</v>
      </c>
      <c r="B24" s="223" t="s">
        <v>110</v>
      </c>
      <c r="C24" s="223"/>
      <c r="D24" s="133" t="s">
        <v>25</v>
      </c>
      <c r="E24" s="38">
        <f t="shared" si="6"/>
        <v>0</v>
      </c>
      <c r="F24" s="39">
        <f t="shared" si="6"/>
        <v>0</v>
      </c>
      <c r="G24" s="39">
        <f t="shared" si="6"/>
        <v>0</v>
      </c>
      <c r="H24" s="10" t="e">
        <f t="shared" si="0"/>
        <v>#DIV/0!</v>
      </c>
      <c r="I24" s="40">
        <f t="shared" si="6"/>
        <v>0</v>
      </c>
      <c r="J24" s="240"/>
      <c r="K24" s="218"/>
      <c r="L24" s="218"/>
      <c r="M24" s="219" t="e">
        <f t="shared" si="2"/>
        <v>#DIV/0!</v>
      </c>
      <c r="N24" s="229"/>
      <c r="O24" s="217"/>
      <c r="P24" s="218"/>
      <c r="Q24" s="218"/>
      <c r="R24" s="219" t="e">
        <f t="shared" si="3"/>
        <v>#DIV/0!</v>
      </c>
      <c r="S24" s="229"/>
      <c r="T24" s="217"/>
      <c r="U24" s="218"/>
      <c r="V24" s="218"/>
      <c r="W24" s="219" t="e">
        <f t="shared" si="4"/>
        <v>#DIV/0!</v>
      </c>
      <c r="X24" s="220"/>
    </row>
    <row r="25" spans="1:24" s="13" customFormat="1" ht="9.9499999999999993" customHeight="1" x14ac:dyDescent="0.2">
      <c r="A25" s="135" t="s">
        <v>22</v>
      </c>
      <c r="B25" s="223" t="s">
        <v>63</v>
      </c>
      <c r="C25" s="223"/>
      <c r="D25" s="133" t="s">
        <v>25</v>
      </c>
      <c r="E25" s="38">
        <f t="shared" si="6"/>
        <v>20000</v>
      </c>
      <c r="F25" s="39">
        <f t="shared" si="6"/>
        <v>20000</v>
      </c>
      <c r="G25" s="39">
        <f t="shared" si="6"/>
        <v>6885</v>
      </c>
      <c r="H25" s="14">
        <f>G25/F25*100</f>
        <v>34.424999999999997</v>
      </c>
      <c r="I25" s="40">
        <f>SUM(N25,S25)</f>
        <v>8225</v>
      </c>
      <c r="J25" s="240">
        <v>20000</v>
      </c>
      <c r="K25" s="271">
        <v>20000</v>
      </c>
      <c r="L25" s="271">
        <v>6885</v>
      </c>
      <c r="M25" s="219">
        <f t="shared" si="2"/>
        <v>34.424999999999997</v>
      </c>
      <c r="N25" s="272">
        <v>8225</v>
      </c>
      <c r="O25" s="273"/>
      <c r="P25" s="271"/>
      <c r="Q25" s="271"/>
      <c r="R25" s="219" t="e">
        <f t="shared" si="3"/>
        <v>#DIV/0!</v>
      </c>
      <c r="S25" s="274"/>
      <c r="T25" s="273"/>
      <c r="U25" s="271"/>
      <c r="V25" s="271"/>
      <c r="W25" s="219" t="e">
        <f t="shared" si="4"/>
        <v>#DIV/0!</v>
      </c>
      <c r="X25" s="275"/>
    </row>
    <row r="26" spans="1:24" s="6" customFormat="1" ht="9.9499999999999993" customHeight="1" x14ac:dyDescent="0.2">
      <c r="A26" s="135" t="s">
        <v>23</v>
      </c>
      <c r="B26" s="511" t="s">
        <v>64</v>
      </c>
      <c r="C26" s="512"/>
      <c r="D26" s="133" t="s">
        <v>25</v>
      </c>
      <c r="E26" s="38">
        <f t="shared" si="6"/>
        <v>850901</v>
      </c>
      <c r="F26" s="39">
        <f t="shared" si="6"/>
        <v>876949</v>
      </c>
      <c r="G26" s="39">
        <f t="shared" si="6"/>
        <v>429826.9</v>
      </c>
      <c r="H26" s="10">
        <f t="shared" si="0"/>
        <v>49.013899325958526</v>
      </c>
      <c r="I26" s="40">
        <f t="shared" si="6"/>
        <v>383540</v>
      </c>
      <c r="J26" s="240">
        <v>850901</v>
      </c>
      <c r="K26" s="276">
        <v>876949</v>
      </c>
      <c r="L26" s="276">
        <v>429826.9</v>
      </c>
      <c r="M26" s="219">
        <f>L26/K26*100</f>
        <v>49.013899325958526</v>
      </c>
      <c r="N26" s="272">
        <v>383540</v>
      </c>
      <c r="O26" s="277"/>
      <c r="P26" s="276"/>
      <c r="Q26" s="276"/>
      <c r="R26" s="219" t="e">
        <f>Q26/P26*100</f>
        <v>#DIV/0!</v>
      </c>
      <c r="S26" s="272"/>
      <c r="T26" s="277">
        <v>31980</v>
      </c>
      <c r="U26" s="276">
        <v>49980</v>
      </c>
      <c r="V26" s="276">
        <v>24710.1</v>
      </c>
      <c r="W26" s="219">
        <f>V26/U26*100</f>
        <v>49.439975990396157</v>
      </c>
      <c r="X26" s="307"/>
    </row>
    <row r="27" spans="1:24" s="13" customFormat="1" ht="9.9499999999999993" customHeight="1" x14ac:dyDescent="0.2">
      <c r="A27" s="135" t="s">
        <v>44</v>
      </c>
      <c r="B27" s="236" t="s">
        <v>65</v>
      </c>
      <c r="C27" s="237"/>
      <c r="D27" s="133" t="s">
        <v>25</v>
      </c>
      <c r="E27" s="38">
        <f t="shared" si="6"/>
        <v>0</v>
      </c>
      <c r="F27" s="39">
        <f t="shared" si="6"/>
        <v>0</v>
      </c>
      <c r="G27" s="39">
        <f t="shared" si="6"/>
        <v>0</v>
      </c>
      <c r="H27" s="14" t="e">
        <f t="shared" si="0"/>
        <v>#DIV/0!</v>
      </c>
      <c r="I27" s="40">
        <f t="shared" si="6"/>
        <v>0</v>
      </c>
      <c r="J27" s="240"/>
      <c r="K27" s="276"/>
      <c r="L27" s="276"/>
      <c r="M27" s="219" t="e">
        <f t="shared" si="2"/>
        <v>#DIV/0!</v>
      </c>
      <c r="N27" s="229"/>
      <c r="O27" s="277"/>
      <c r="P27" s="276"/>
      <c r="Q27" s="276"/>
      <c r="R27" s="219" t="e">
        <f t="shared" si="3"/>
        <v>#DIV/0!</v>
      </c>
      <c r="S27" s="272"/>
      <c r="T27" s="277"/>
      <c r="U27" s="276"/>
      <c r="V27" s="279"/>
      <c r="W27" s="219" t="e">
        <f t="shared" si="4"/>
        <v>#DIV/0!</v>
      </c>
      <c r="X27" s="307">
        <v>2280</v>
      </c>
    </row>
    <row r="28" spans="1:24" s="13" customFormat="1" ht="9.9499999999999993" customHeight="1" x14ac:dyDescent="0.2">
      <c r="A28" s="135" t="s">
        <v>50</v>
      </c>
      <c r="B28" s="236" t="s">
        <v>91</v>
      </c>
      <c r="C28" s="237"/>
      <c r="D28" s="133" t="s">
        <v>25</v>
      </c>
      <c r="E28" s="38">
        <f>SUM(J28,O28)</f>
        <v>0</v>
      </c>
      <c r="F28" s="39">
        <f>SUM(K28,P28)</f>
        <v>4151</v>
      </c>
      <c r="G28" s="39">
        <f>SUM(L28,Q28)</f>
        <v>4151</v>
      </c>
      <c r="H28" s="14">
        <f>G28/F28*100</f>
        <v>100</v>
      </c>
      <c r="I28" s="40">
        <f>SUM(N28,S28)</f>
        <v>192786</v>
      </c>
      <c r="J28" s="240"/>
      <c r="K28" s="276">
        <v>4151</v>
      </c>
      <c r="L28" s="276">
        <v>4151</v>
      </c>
      <c r="M28" s="219">
        <f>L28/K28*100</f>
        <v>100</v>
      </c>
      <c r="N28" s="229">
        <v>4128</v>
      </c>
      <c r="O28" s="277"/>
      <c r="P28" s="276"/>
      <c r="Q28" s="276"/>
      <c r="R28" s="219" t="e">
        <f>Q28/P28*100</f>
        <v>#DIV/0!</v>
      </c>
      <c r="S28" s="272">
        <v>188658</v>
      </c>
      <c r="T28" s="277"/>
      <c r="U28" s="276"/>
      <c r="V28" s="279"/>
      <c r="W28" s="219" t="e">
        <f>V28/U28*100</f>
        <v>#DIV/0!</v>
      </c>
      <c r="X28" s="307">
        <v>590</v>
      </c>
    </row>
    <row r="29" spans="1:24" s="15" customFormat="1" ht="9.9499999999999993" customHeight="1" x14ac:dyDescent="0.2">
      <c r="A29" s="135" t="s">
        <v>51</v>
      </c>
      <c r="B29" s="236" t="s">
        <v>66</v>
      </c>
      <c r="C29" s="237"/>
      <c r="D29" s="133" t="s">
        <v>25</v>
      </c>
      <c r="E29" s="38">
        <f t="shared" si="6"/>
        <v>2517</v>
      </c>
      <c r="F29" s="39">
        <f t="shared" si="6"/>
        <v>2517</v>
      </c>
      <c r="G29" s="39">
        <f t="shared" si="6"/>
        <v>817</v>
      </c>
      <c r="H29" s="14">
        <f t="shared" si="0"/>
        <v>32.45927691696464</v>
      </c>
      <c r="I29" s="40">
        <f t="shared" si="6"/>
        <v>817</v>
      </c>
      <c r="J29" s="240">
        <v>2517</v>
      </c>
      <c r="K29" s="276">
        <v>2517</v>
      </c>
      <c r="L29" s="276">
        <v>817</v>
      </c>
      <c r="M29" s="219">
        <f t="shared" si="2"/>
        <v>32.45927691696464</v>
      </c>
      <c r="N29" s="272">
        <v>817</v>
      </c>
      <c r="O29" s="277"/>
      <c r="P29" s="276"/>
      <c r="Q29" s="276"/>
      <c r="R29" s="219" t="e">
        <f t="shared" si="3"/>
        <v>#DIV/0!</v>
      </c>
      <c r="S29" s="272"/>
      <c r="T29" s="277"/>
      <c r="U29" s="276"/>
      <c r="V29" s="279"/>
      <c r="W29" s="219" t="e">
        <f t="shared" si="4"/>
        <v>#DIV/0!</v>
      </c>
      <c r="X29" s="307"/>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40">
        <f>SUM(N30,S30)</f>
        <v>0</v>
      </c>
      <c r="J30" s="240"/>
      <c r="K30" s="276"/>
      <c r="L30" s="276"/>
      <c r="M30" s="219" t="e">
        <f t="shared" si="2"/>
        <v>#DIV/0!</v>
      </c>
      <c r="N30" s="272"/>
      <c r="O30" s="277"/>
      <c r="P30" s="276"/>
      <c r="Q30" s="276"/>
      <c r="R30" s="219" t="e">
        <f t="shared" si="3"/>
        <v>#DIV/0!</v>
      </c>
      <c r="S30" s="272"/>
      <c r="T30" s="277"/>
      <c r="U30" s="276"/>
      <c r="V30" s="279"/>
      <c r="W30" s="219" t="e">
        <f t="shared" si="4"/>
        <v>#DIV/0!</v>
      </c>
      <c r="X30" s="307"/>
    </row>
    <row r="31" spans="1:24" s="23" customFormat="1" ht="9.75" x14ac:dyDescent="0.2">
      <c r="A31" s="135" t="s">
        <v>54</v>
      </c>
      <c r="B31" s="236" t="s">
        <v>67</v>
      </c>
      <c r="C31" s="237"/>
      <c r="D31" s="133" t="s">
        <v>25</v>
      </c>
      <c r="E31" s="38">
        <f t="shared" si="7"/>
        <v>0</v>
      </c>
      <c r="F31" s="39">
        <f t="shared" si="7"/>
        <v>0</v>
      </c>
      <c r="G31" s="39">
        <f t="shared" si="7"/>
        <v>0</v>
      </c>
      <c r="H31" s="14" t="e">
        <f t="shared" si="0"/>
        <v>#DIV/0!</v>
      </c>
      <c r="I31" s="40">
        <f>SUM(N31,S31)</f>
        <v>0</v>
      </c>
      <c r="J31" s="240"/>
      <c r="K31" s="281"/>
      <c r="L31" s="281"/>
      <c r="M31" s="219" t="e">
        <f t="shared" si="2"/>
        <v>#DIV/0!</v>
      </c>
      <c r="N31" s="282"/>
      <c r="O31" s="283"/>
      <c r="P31" s="281"/>
      <c r="Q31" s="281"/>
      <c r="R31" s="219" t="e">
        <f t="shared" si="3"/>
        <v>#DIV/0!</v>
      </c>
      <c r="S31" s="282"/>
      <c r="T31" s="283"/>
      <c r="U31" s="285"/>
      <c r="V31" s="285"/>
      <c r="W31" s="219" t="e">
        <f t="shared" si="4"/>
        <v>#DIV/0!</v>
      </c>
      <c r="X31" s="312"/>
    </row>
    <row r="32" spans="1:24" s="23" customFormat="1" ht="9.75" x14ac:dyDescent="0.2">
      <c r="A32" s="238" t="s">
        <v>55</v>
      </c>
      <c r="B32" s="233" t="s">
        <v>68</v>
      </c>
      <c r="C32" s="239"/>
      <c r="D32" s="235" t="s">
        <v>25</v>
      </c>
      <c r="E32" s="42">
        <f>SUM(J32,O32)</f>
        <v>0</v>
      </c>
      <c r="F32" s="43">
        <f>SUM(K32,P32)</f>
        <v>0</v>
      </c>
      <c r="G32" s="43">
        <f>SUM(L32,Q32)</f>
        <v>0</v>
      </c>
      <c r="H32" s="16" t="e">
        <f t="shared" si="0"/>
        <v>#DIV/0!</v>
      </c>
      <c r="I32" s="44">
        <f>SUM(N32,S32)</f>
        <v>0</v>
      </c>
      <c r="J32" s="287"/>
      <c r="K32" s="288"/>
      <c r="L32" s="288"/>
      <c r="M32" s="265" t="e">
        <f t="shared" si="2"/>
        <v>#DIV/0!</v>
      </c>
      <c r="N32" s="289"/>
      <c r="O32" s="290"/>
      <c r="P32" s="288"/>
      <c r="Q32" s="288"/>
      <c r="R32" s="265" t="e">
        <f t="shared" si="3"/>
        <v>#DIV/0!</v>
      </c>
      <c r="S32" s="289"/>
      <c r="T32" s="309"/>
      <c r="U32" s="288"/>
      <c r="V32" s="288"/>
      <c r="W32" s="265" t="e">
        <f t="shared" si="4"/>
        <v>#DIV/0!</v>
      </c>
      <c r="X32" s="313"/>
    </row>
    <row r="33" spans="1:24" s="23" customFormat="1" ht="9.75" x14ac:dyDescent="0.2">
      <c r="A33" s="134" t="s">
        <v>56</v>
      </c>
      <c r="B33" s="21" t="s">
        <v>102</v>
      </c>
      <c r="C33" s="22"/>
      <c r="D33" s="20" t="s">
        <v>25</v>
      </c>
      <c r="E33" s="29">
        <f>E6-E11</f>
        <v>0</v>
      </c>
      <c r="F33" s="29">
        <f>F6-F11</f>
        <v>0</v>
      </c>
      <c r="G33" s="29">
        <f>G6-G11</f>
        <v>145783.98999999836</v>
      </c>
      <c r="H33" s="25" t="e">
        <f t="shared" si="0"/>
        <v>#DIV/0!</v>
      </c>
      <c r="I33" s="29">
        <f>I6-I11</f>
        <v>84942</v>
      </c>
      <c r="J33" s="29">
        <f>J6-J11</f>
        <v>0</v>
      </c>
      <c r="K33" s="29">
        <f>K6-K11</f>
        <v>0</v>
      </c>
      <c r="L33" s="29">
        <f>L6-L11</f>
        <v>145783.99000000022</v>
      </c>
      <c r="M33" s="19" t="e">
        <f>L33/K33*100</f>
        <v>#DIV/0!</v>
      </c>
      <c r="N33" s="29">
        <f>N6-N11</f>
        <v>84942</v>
      </c>
      <c r="O33" s="29">
        <f>O6-O11</f>
        <v>0</v>
      </c>
      <c r="P33" s="29">
        <f>P6-P11</f>
        <v>0</v>
      </c>
      <c r="Q33" s="29">
        <f>Q6-Q11</f>
        <v>0</v>
      </c>
      <c r="R33" s="19" t="e">
        <f t="shared" si="3"/>
        <v>#DIV/0!</v>
      </c>
      <c r="S33" s="29">
        <f>S6-S11</f>
        <v>0</v>
      </c>
      <c r="T33" s="29">
        <f>T6-T11</f>
        <v>70413</v>
      </c>
      <c r="U33" s="29">
        <f>U6-U11</f>
        <v>70413</v>
      </c>
      <c r="V33" s="29">
        <f>V6-V11</f>
        <v>78563.660000000033</v>
      </c>
      <c r="W33" s="19">
        <f t="shared" si="4"/>
        <v>111.5755045233125</v>
      </c>
      <c r="X33" s="29">
        <f>X6-X11</f>
        <v>89664</v>
      </c>
    </row>
    <row r="34" spans="1:24" s="4" customFormat="1" ht="9" x14ac:dyDescent="0.2">
      <c r="A34" s="224" t="s">
        <v>57</v>
      </c>
      <c r="B34" s="509" t="s">
        <v>24</v>
      </c>
      <c r="C34" s="510"/>
      <c r="D34" s="136" t="s">
        <v>25</v>
      </c>
      <c r="E34" s="196">
        <v>22951</v>
      </c>
      <c r="F34" s="197">
        <v>22874</v>
      </c>
      <c r="G34" s="197">
        <v>23784</v>
      </c>
      <c r="H34" s="12">
        <f t="shared" si="0"/>
        <v>103.97831599195592</v>
      </c>
      <c r="I34" s="256">
        <v>23382</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198">
        <v>59.32</v>
      </c>
      <c r="F35" s="199">
        <v>59.52</v>
      </c>
      <c r="G35" s="199">
        <v>55.325000000000003</v>
      </c>
      <c r="H35" s="261">
        <f t="shared" si="0"/>
        <v>92.951948924731184</v>
      </c>
      <c r="I35" s="301">
        <v>53</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64</v>
      </c>
      <c r="F36" s="201">
        <v>63</v>
      </c>
      <c r="G36" s="201">
        <v>61.795000000000002</v>
      </c>
      <c r="H36" s="259">
        <f t="shared" si="0"/>
        <v>98.087301587301596</v>
      </c>
      <c r="I36" s="260">
        <v>59</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7"/>
  <sheetViews>
    <sheetView tabSelected="1" zoomScaleNormal="100" workbookViewId="0">
      <selection activeCell="A29" sqref="A29:I29"/>
    </sheetView>
  </sheetViews>
  <sheetFormatPr defaultRowHeight="12.75" x14ac:dyDescent="0.2"/>
  <cols>
    <col min="1" max="1" width="74.75" style="71" customWidth="1"/>
    <col min="2" max="9" width="23.75" style="71" customWidth="1"/>
    <col min="13" max="13" width="17.75" bestFit="1" customWidth="1"/>
    <col min="15" max="15" width="15.5" bestFit="1" customWidth="1"/>
  </cols>
  <sheetData>
    <row r="1" spans="1:14" ht="18.75" x14ac:dyDescent="0.3">
      <c r="A1" s="72" t="s">
        <v>86</v>
      </c>
      <c r="B1" s="70"/>
      <c r="C1" s="70"/>
      <c r="D1" s="70"/>
      <c r="E1" s="70"/>
      <c r="F1" s="70"/>
      <c r="G1" s="70"/>
      <c r="H1" s="70"/>
      <c r="I1" s="70"/>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06" t="s">
        <v>25</v>
      </c>
      <c r="D5" s="472" t="s">
        <v>113</v>
      </c>
      <c r="E5" s="472"/>
      <c r="F5" s="472"/>
      <c r="G5" s="472"/>
      <c r="H5" s="472"/>
      <c r="I5" s="472"/>
    </row>
    <row r="6" spans="1:14" s="102" customFormat="1" ht="41.25" customHeight="1" x14ac:dyDescent="0.2">
      <c r="A6" s="647" t="s">
        <v>70</v>
      </c>
      <c r="B6" s="648"/>
      <c r="C6" s="413">
        <v>-139425.24</v>
      </c>
      <c r="D6" s="652" t="s">
        <v>146</v>
      </c>
      <c r="E6" s="653"/>
      <c r="F6" s="653"/>
      <c r="G6" s="653"/>
      <c r="H6" s="653"/>
      <c r="I6" s="654"/>
      <c r="J6" s="414"/>
    </row>
    <row r="7" spans="1:14" s="104" customFormat="1" ht="23.25" customHeight="1" x14ac:dyDescent="0.15">
      <c r="A7" s="655" t="s">
        <v>38</v>
      </c>
      <c r="B7" s="468"/>
      <c r="C7" s="413">
        <v>226551.21</v>
      </c>
      <c r="D7" s="656" t="s">
        <v>147</v>
      </c>
      <c r="E7" s="657"/>
      <c r="F7" s="657"/>
      <c r="G7" s="657"/>
      <c r="H7" s="657"/>
      <c r="I7" s="658"/>
      <c r="J7" s="414"/>
    </row>
    <row r="8" spans="1:14" s="104" customFormat="1" ht="12.75" customHeight="1" x14ac:dyDescent="0.15">
      <c r="A8" s="659" t="s">
        <v>71</v>
      </c>
      <c r="B8" s="660"/>
      <c r="C8" s="415">
        <v>-22373</v>
      </c>
      <c r="D8" s="661"/>
      <c r="E8" s="662"/>
      <c r="F8" s="662"/>
      <c r="G8" s="662"/>
      <c r="H8" s="662"/>
      <c r="I8" s="663"/>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38.25" customHeight="1" x14ac:dyDescent="0.2">
      <c r="A13" s="205" t="s">
        <v>72</v>
      </c>
      <c r="B13" s="416">
        <v>81450.67</v>
      </c>
      <c r="C13" s="416">
        <v>177220.13</v>
      </c>
      <c r="D13" s="416">
        <v>20000</v>
      </c>
      <c r="E13" s="417">
        <f>B13+C13-D13</f>
        <v>238670.8</v>
      </c>
      <c r="F13" s="418">
        <v>238670.8</v>
      </c>
      <c r="G13" s="652" t="s">
        <v>149</v>
      </c>
      <c r="H13" s="653"/>
      <c r="I13" s="654"/>
    </row>
    <row r="14" spans="1:14" s="102" customFormat="1" ht="49.5" customHeight="1" x14ac:dyDescent="0.2">
      <c r="A14" s="207" t="s">
        <v>117</v>
      </c>
      <c r="B14" s="417">
        <v>735827.99</v>
      </c>
      <c r="C14" s="417">
        <v>1076157</v>
      </c>
      <c r="D14" s="417">
        <v>1609071</v>
      </c>
      <c r="E14" s="417">
        <f>B14+C14-D14</f>
        <v>202913.99</v>
      </c>
      <c r="F14" s="419">
        <v>202913.99</v>
      </c>
      <c r="G14" s="656" t="s">
        <v>150</v>
      </c>
      <c r="H14" s="657"/>
      <c r="I14" s="658"/>
      <c r="N14" s="109"/>
    </row>
    <row r="15" spans="1:14" s="102" customFormat="1" ht="36.75" customHeight="1" x14ac:dyDescent="0.2">
      <c r="A15" s="207" t="s">
        <v>73</v>
      </c>
      <c r="B15" s="417">
        <v>758.61</v>
      </c>
      <c r="C15" s="417">
        <v>100000</v>
      </c>
      <c r="D15" s="417">
        <v>51240</v>
      </c>
      <c r="E15" s="417">
        <f>B15+C15-D15</f>
        <v>49518.61</v>
      </c>
      <c r="F15" s="419">
        <v>49518.61</v>
      </c>
      <c r="G15" s="656" t="s">
        <v>151</v>
      </c>
      <c r="H15" s="657"/>
      <c r="I15" s="658"/>
    </row>
    <row r="16" spans="1:14" s="102" customFormat="1" ht="51" customHeight="1" x14ac:dyDescent="0.2">
      <c r="A16" s="209" t="s">
        <v>97</v>
      </c>
      <c r="B16" s="420">
        <v>27788.04</v>
      </c>
      <c r="C16" s="420">
        <v>55354.73</v>
      </c>
      <c r="D16" s="420">
        <v>17295</v>
      </c>
      <c r="E16" s="417">
        <f>B16+C16-D16</f>
        <v>65847.77</v>
      </c>
      <c r="F16" s="421">
        <v>57652.68</v>
      </c>
      <c r="G16" s="649" t="s">
        <v>148</v>
      </c>
      <c r="H16" s="650"/>
      <c r="I16" s="651"/>
    </row>
    <row r="17" spans="1:9" s="102" customFormat="1" ht="11.25" x14ac:dyDescent="0.2">
      <c r="A17" s="371" t="s">
        <v>34</v>
      </c>
      <c r="B17" s="184">
        <f>SUM(B13:B16)</f>
        <v>845825.31</v>
      </c>
      <c r="C17" s="184">
        <f t="shared" ref="C17:F17" si="0">SUM(C13:C16)</f>
        <v>1408731.8599999999</v>
      </c>
      <c r="D17" s="184">
        <f t="shared" si="0"/>
        <v>1697606</v>
      </c>
      <c r="E17" s="184">
        <f t="shared" si="0"/>
        <v>556951.16999999993</v>
      </c>
      <c r="F17" s="184">
        <f t="shared" si="0"/>
        <v>548756.07999999996</v>
      </c>
      <c r="G17" s="466"/>
      <c r="H17" s="466"/>
      <c r="I17" s="466"/>
    </row>
    <row r="18" spans="1:9" s="123" customFormat="1" ht="11.25" x14ac:dyDescent="0.2">
      <c r="A18" s="112"/>
      <c r="B18" s="112"/>
      <c r="C18" s="113"/>
      <c r="D18" s="112"/>
      <c r="E18" s="112"/>
      <c r="F18" s="112"/>
      <c r="G18" s="112"/>
      <c r="H18" s="112"/>
      <c r="I18" s="112"/>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37.5" customHeight="1" x14ac:dyDescent="0.2">
      <c r="A21" s="620" t="s">
        <v>152</v>
      </c>
      <c r="B21" s="621"/>
      <c r="C21" s="621"/>
      <c r="D21" s="621"/>
      <c r="E21" s="621"/>
      <c r="F21" s="621"/>
      <c r="G21" s="621"/>
      <c r="H21" s="621"/>
      <c r="I21" s="622"/>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5.5" customHeight="1" x14ac:dyDescent="0.15">
      <c r="A33" s="585" t="s">
        <v>276</v>
      </c>
      <c r="B33" s="586"/>
      <c r="C33" s="586"/>
      <c r="D33" s="586"/>
      <c r="E33" s="586"/>
      <c r="F33" s="586"/>
      <c r="G33" s="586"/>
      <c r="H33" s="586"/>
      <c r="I33" s="587"/>
    </row>
    <row r="34" spans="1:9" ht="14.25" customHeight="1" x14ac:dyDescent="0.15">
      <c r="A34" s="585" t="s">
        <v>153</v>
      </c>
      <c r="B34" s="586"/>
      <c r="C34" s="586"/>
      <c r="D34" s="586"/>
      <c r="E34" s="586"/>
      <c r="F34" s="586"/>
      <c r="G34" s="586"/>
      <c r="H34" s="586"/>
      <c r="I34" s="587"/>
    </row>
    <row r="35" spans="1:9" s="23" customFormat="1" ht="37.5" customHeight="1" x14ac:dyDescent="0.15">
      <c r="A35" s="585" t="s">
        <v>154</v>
      </c>
      <c r="B35" s="586"/>
      <c r="C35" s="586"/>
      <c r="D35" s="586"/>
      <c r="E35" s="586"/>
      <c r="F35" s="586"/>
      <c r="G35" s="586"/>
      <c r="H35" s="586"/>
      <c r="I35" s="587"/>
    </row>
    <row r="36" spans="1:9" s="23" customFormat="1" ht="24" customHeight="1" x14ac:dyDescent="0.15">
      <c r="A36" s="585" t="s">
        <v>272</v>
      </c>
      <c r="B36" s="586"/>
      <c r="C36" s="586"/>
      <c r="D36" s="586"/>
      <c r="E36" s="586"/>
      <c r="F36" s="586"/>
      <c r="G36" s="586"/>
      <c r="H36" s="586"/>
      <c r="I36" s="587"/>
    </row>
    <row r="37" spans="1:9" ht="10.5" x14ac:dyDescent="0.15">
      <c r="A37" s="623" t="s">
        <v>155</v>
      </c>
      <c r="B37" s="624"/>
      <c r="C37" s="624"/>
      <c r="D37" s="624"/>
      <c r="E37" s="624"/>
      <c r="F37" s="624"/>
      <c r="G37" s="624"/>
      <c r="H37" s="624"/>
      <c r="I37" s="625"/>
    </row>
  </sheetData>
  <mergeCells count="28">
    <mergeCell ref="A3:I3"/>
    <mergeCell ref="A5:B5"/>
    <mergeCell ref="D5:I5"/>
    <mergeCell ref="A6:B6"/>
    <mergeCell ref="G16:I16"/>
    <mergeCell ref="D6:I6"/>
    <mergeCell ref="A7:B7"/>
    <mergeCell ref="D7:I7"/>
    <mergeCell ref="A8:B8"/>
    <mergeCell ref="D8:I8"/>
    <mergeCell ref="A10:I10"/>
    <mergeCell ref="G12:I12"/>
    <mergeCell ref="G13:I13"/>
    <mergeCell ref="G14:I14"/>
    <mergeCell ref="G15:I15"/>
    <mergeCell ref="A25:I25"/>
    <mergeCell ref="G17:I17"/>
    <mergeCell ref="A19:I19"/>
    <mergeCell ref="A21:I21"/>
    <mergeCell ref="A23:I23"/>
    <mergeCell ref="A31:I31"/>
    <mergeCell ref="A27:I27"/>
    <mergeCell ref="A29:I29"/>
    <mergeCell ref="A33:I33"/>
    <mergeCell ref="A37:I37"/>
    <mergeCell ref="A34:I34"/>
    <mergeCell ref="A35:I35"/>
    <mergeCell ref="A36:I36"/>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529" t="s">
        <v>86</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18743690</v>
      </c>
      <c r="F6" s="29">
        <f>SUM(F7:F9)</f>
        <v>19048330</v>
      </c>
      <c r="G6" s="29">
        <f>SUM(G7:G9)</f>
        <v>9592197.5399999991</v>
      </c>
      <c r="H6" s="24">
        <f t="shared" ref="H6:H36" si="0">G6/F6*100</f>
        <v>50.357157504096151</v>
      </c>
      <c r="I6" s="29">
        <f>SUM(I7:I9)</f>
        <v>9353746</v>
      </c>
      <c r="J6" s="29">
        <f>SUM(J7:J9)</f>
        <v>11205790</v>
      </c>
      <c r="K6" s="29">
        <f t="shared" ref="K6:X6" si="1">SUM(K7:K9)</f>
        <v>11347430</v>
      </c>
      <c r="L6" s="29">
        <f t="shared" si="1"/>
        <v>5122678.5</v>
      </c>
      <c r="M6" s="24">
        <f t="shared" ref="M6:M33" si="2">L6/K6*100</f>
        <v>45.143953300438952</v>
      </c>
      <c r="N6" s="30">
        <f t="shared" si="1"/>
        <v>5074129</v>
      </c>
      <c r="O6" s="29">
        <f t="shared" si="1"/>
        <v>7537900</v>
      </c>
      <c r="P6" s="29">
        <f t="shared" si="1"/>
        <v>7700900</v>
      </c>
      <c r="Q6" s="29">
        <f t="shared" si="1"/>
        <v>4469519.04</v>
      </c>
      <c r="R6" s="24">
        <f t="shared" ref="R6:R33" si="3">Q6/P6*100</f>
        <v>58.038918048539777</v>
      </c>
      <c r="S6" s="29">
        <f t="shared" si="1"/>
        <v>4279617</v>
      </c>
      <c r="T6" s="29">
        <f t="shared" si="1"/>
        <v>1407500</v>
      </c>
      <c r="U6" s="29">
        <f t="shared" si="1"/>
        <v>1609700</v>
      </c>
      <c r="V6" s="29">
        <f t="shared" si="1"/>
        <v>880965.08</v>
      </c>
      <c r="W6" s="24">
        <f t="shared" ref="W6:W33" si="4">V6/U6*100</f>
        <v>54.72852581226315</v>
      </c>
      <c r="X6" s="29">
        <f t="shared" si="1"/>
        <v>661068</v>
      </c>
    </row>
    <row r="7" spans="1:24" s="6" customFormat="1" ht="9.9499999999999993" customHeight="1" x14ac:dyDescent="0.2">
      <c r="A7" s="130" t="s">
        <v>2</v>
      </c>
      <c r="B7" s="522" t="s">
        <v>45</v>
      </c>
      <c r="C7" s="523"/>
      <c r="D7" s="131" t="s">
        <v>25</v>
      </c>
      <c r="E7" s="32">
        <f t="shared" ref="E7:G10" si="5">SUM(J7,O7)</f>
        <v>3442900</v>
      </c>
      <c r="F7" s="33">
        <f t="shared" si="5"/>
        <v>3584540</v>
      </c>
      <c r="G7" s="33">
        <f>L7+Q7</f>
        <v>1291831</v>
      </c>
      <c r="H7" s="9">
        <f t="shared" si="0"/>
        <v>36.038961763573568</v>
      </c>
      <c r="I7" s="39">
        <f t="shared" ref="I7:I9" si="6">SUM(N7,S7)</f>
        <v>1208868</v>
      </c>
      <c r="J7" s="262">
        <v>3442900</v>
      </c>
      <c r="K7" s="364">
        <f>J7+65500+4900+71240</f>
        <v>3584540</v>
      </c>
      <c r="L7" s="35">
        <v>1242430</v>
      </c>
      <c r="M7" s="219">
        <f t="shared" si="2"/>
        <v>34.660793295653001</v>
      </c>
      <c r="N7" s="302">
        <v>1208868</v>
      </c>
      <c r="O7" s="263"/>
      <c r="P7" s="35"/>
      <c r="Q7" s="35">
        <v>49401</v>
      </c>
      <c r="R7" s="219" t="e">
        <f t="shared" si="3"/>
        <v>#DIV/0!</v>
      </c>
      <c r="S7" s="302"/>
      <c r="T7" s="263">
        <v>1407500</v>
      </c>
      <c r="U7" s="35">
        <f>T7+202200</f>
        <v>1609700</v>
      </c>
      <c r="V7" s="35">
        <v>880965.08</v>
      </c>
      <c r="W7" s="219">
        <f t="shared" si="4"/>
        <v>54.72852581226315</v>
      </c>
      <c r="X7" s="65">
        <v>661068</v>
      </c>
    </row>
    <row r="8" spans="1:24" s="6" customFormat="1" ht="9.9499999999999993" customHeight="1" x14ac:dyDescent="0.2">
      <c r="A8" s="132" t="s">
        <v>3</v>
      </c>
      <c r="B8" s="524" t="s">
        <v>46</v>
      </c>
      <c r="C8" s="525"/>
      <c r="D8" s="133" t="s">
        <v>25</v>
      </c>
      <c r="E8" s="38">
        <f t="shared" si="5"/>
        <v>5000</v>
      </c>
      <c r="F8" s="39">
        <f t="shared" si="5"/>
        <v>5000</v>
      </c>
      <c r="G8" s="218">
        <f>L8+Q8</f>
        <v>1303.5</v>
      </c>
      <c r="H8" s="10">
        <f t="shared" si="0"/>
        <v>26.07</v>
      </c>
      <c r="I8" s="39">
        <f t="shared" si="6"/>
        <v>2190</v>
      </c>
      <c r="J8" s="243">
        <v>5000</v>
      </c>
      <c r="K8" s="365">
        <f t="shared" ref="K8:K9" si="7">J8</f>
        <v>5000</v>
      </c>
      <c r="L8" s="218">
        <v>1303.5</v>
      </c>
      <c r="M8" s="219">
        <f t="shared" si="2"/>
        <v>26.07</v>
      </c>
      <c r="N8" s="229">
        <v>2190</v>
      </c>
      <c r="O8" s="217"/>
      <c r="P8" s="218"/>
      <c r="Q8" s="218"/>
      <c r="R8" s="219" t="e">
        <f t="shared" si="3"/>
        <v>#DIV/0!</v>
      </c>
      <c r="S8" s="229"/>
      <c r="T8" s="217"/>
      <c r="U8" s="218"/>
      <c r="V8" s="218"/>
      <c r="W8" s="219" t="e">
        <f t="shared" si="4"/>
        <v>#DIV/0!</v>
      </c>
      <c r="X8" s="220"/>
    </row>
    <row r="9" spans="1:24" s="6" customFormat="1" ht="9.9499999999999993" customHeight="1" x14ac:dyDescent="0.2">
      <c r="A9" s="232" t="s">
        <v>4</v>
      </c>
      <c r="B9" s="233" t="s">
        <v>60</v>
      </c>
      <c r="C9" s="234"/>
      <c r="D9" s="235" t="s">
        <v>25</v>
      </c>
      <c r="E9" s="42">
        <f t="shared" si="5"/>
        <v>15295790</v>
      </c>
      <c r="F9" s="43">
        <f t="shared" si="5"/>
        <v>15458790</v>
      </c>
      <c r="G9" s="43">
        <f t="shared" si="5"/>
        <v>8299063.04</v>
      </c>
      <c r="H9" s="26">
        <f t="shared" si="0"/>
        <v>53.685075222575641</v>
      </c>
      <c r="I9" s="39">
        <f t="shared" si="6"/>
        <v>8142688</v>
      </c>
      <c r="J9" s="244">
        <v>7757890</v>
      </c>
      <c r="K9" s="340">
        <f t="shared" si="7"/>
        <v>7757890</v>
      </c>
      <c r="L9" s="264">
        <v>3878945</v>
      </c>
      <c r="M9" s="219">
        <f t="shared" si="2"/>
        <v>50</v>
      </c>
      <c r="N9" s="230">
        <v>3863071</v>
      </c>
      <c r="O9" s="221">
        <f>7298500+239400</f>
        <v>7537900</v>
      </c>
      <c r="P9" s="264">
        <f>O9+120000+43000</f>
        <v>7700900</v>
      </c>
      <c r="Q9" s="264">
        <v>4420118.04</v>
      </c>
      <c r="R9" s="219">
        <f t="shared" si="3"/>
        <v>57.397421600072718</v>
      </c>
      <c r="S9" s="230">
        <v>4279617</v>
      </c>
      <c r="T9" s="221"/>
      <c r="U9" s="264"/>
      <c r="V9" s="264"/>
      <c r="W9" s="219" t="e">
        <f t="shared" si="4"/>
        <v>#DIV/0!</v>
      </c>
      <c r="X9" s="222"/>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19" t="e">
        <f t="shared" si="2"/>
        <v>#DIV/0!</v>
      </c>
      <c r="N10" s="47"/>
      <c r="O10" s="46"/>
      <c r="P10" s="46"/>
      <c r="Q10" s="46"/>
      <c r="R10" s="19" t="e">
        <f t="shared" si="3"/>
        <v>#DIV/0!</v>
      </c>
      <c r="S10" s="47"/>
      <c r="T10" s="46"/>
      <c r="U10" s="46"/>
      <c r="V10" s="46"/>
      <c r="W10" s="19" t="e">
        <f t="shared" si="4"/>
        <v>#DIV/0!</v>
      </c>
      <c r="X10" s="46"/>
    </row>
    <row r="11" spans="1:24" s="6" customFormat="1" ht="9.9499999999999993" customHeight="1" x14ac:dyDescent="0.2">
      <c r="A11" s="134" t="s">
        <v>6</v>
      </c>
      <c r="B11" s="526" t="s">
        <v>9</v>
      </c>
      <c r="C11" s="527"/>
      <c r="D11" s="20" t="s">
        <v>25</v>
      </c>
      <c r="E11" s="29">
        <f>SUM(E12:E32)</f>
        <v>18743690</v>
      </c>
      <c r="F11" s="29">
        <f t="shared" ref="F11:G11" si="8">SUM(F12:F32)</f>
        <v>19048330</v>
      </c>
      <c r="G11" s="29">
        <f t="shared" si="8"/>
        <v>9753995.7800000012</v>
      </c>
      <c r="H11" s="24">
        <f t="shared" si="0"/>
        <v>51.206566559903152</v>
      </c>
      <c r="I11" s="29">
        <f t="shared" ref="I11:L11" si="9">SUM(I12:I32)</f>
        <v>9210701</v>
      </c>
      <c r="J11" s="29">
        <f t="shared" si="9"/>
        <v>11205790</v>
      </c>
      <c r="K11" s="29">
        <f t="shared" si="9"/>
        <v>11347430</v>
      </c>
      <c r="L11" s="29">
        <f t="shared" si="9"/>
        <v>5262103.74</v>
      </c>
      <c r="M11" s="19">
        <f t="shared" si="2"/>
        <v>46.372647727282747</v>
      </c>
      <c r="N11" s="29">
        <f t="shared" ref="N11:Q11" si="10">SUM(N12:N32)</f>
        <v>4935010</v>
      </c>
      <c r="O11" s="29">
        <f t="shared" si="10"/>
        <v>7537900</v>
      </c>
      <c r="P11" s="29">
        <f t="shared" si="10"/>
        <v>7700900</v>
      </c>
      <c r="Q11" s="29">
        <f t="shared" si="10"/>
        <v>4491892.04</v>
      </c>
      <c r="R11" s="19">
        <f t="shared" si="3"/>
        <v>58.32944253269099</v>
      </c>
      <c r="S11" s="29">
        <f t="shared" ref="S11:V11" si="11">SUM(S12:S32)</f>
        <v>4275691</v>
      </c>
      <c r="T11" s="29">
        <f t="shared" si="11"/>
        <v>1227170</v>
      </c>
      <c r="U11" s="29">
        <f t="shared" si="11"/>
        <v>1429370</v>
      </c>
      <c r="V11" s="29">
        <f t="shared" si="11"/>
        <v>654414.41999999993</v>
      </c>
      <c r="W11" s="19">
        <f t="shared" si="4"/>
        <v>45.783416470193153</v>
      </c>
      <c r="X11" s="29">
        <f>SUM(X12:X32)</f>
        <v>305242</v>
      </c>
    </row>
    <row r="12" spans="1:24" s="6" customFormat="1" ht="9.9499999999999993" customHeight="1" x14ac:dyDescent="0.2">
      <c r="A12" s="130" t="s">
        <v>8</v>
      </c>
      <c r="B12" s="528" t="s">
        <v>28</v>
      </c>
      <c r="C12" s="528"/>
      <c r="D12" s="131" t="s">
        <v>25</v>
      </c>
      <c r="E12" s="32">
        <f t="shared" ref="E12:I29" si="12">SUM(J12,O12)</f>
        <v>1136590</v>
      </c>
      <c r="F12" s="33">
        <f t="shared" si="12"/>
        <v>1188190</v>
      </c>
      <c r="G12" s="33">
        <f t="shared" si="12"/>
        <v>788456.26</v>
      </c>
      <c r="H12" s="9">
        <f t="shared" si="0"/>
        <v>66.357759280923091</v>
      </c>
      <c r="I12" s="39">
        <f t="shared" si="12"/>
        <v>532744</v>
      </c>
      <c r="J12" s="266">
        <v>927690</v>
      </c>
      <c r="K12" s="48">
        <f>J12+51600</f>
        <v>979290</v>
      </c>
      <c r="L12" s="48">
        <v>667005.26</v>
      </c>
      <c r="M12" s="219">
        <f t="shared" si="2"/>
        <v>68.111107026519207</v>
      </c>
      <c r="N12" s="303">
        <v>485462</v>
      </c>
      <c r="O12" s="267">
        <f>80500+128400</f>
        <v>208900</v>
      </c>
      <c r="P12" s="48">
        <f>O12</f>
        <v>208900</v>
      </c>
      <c r="Q12" s="48">
        <v>121451</v>
      </c>
      <c r="R12" s="219">
        <f t="shared" si="3"/>
        <v>58.138343705122061</v>
      </c>
      <c r="S12" s="304">
        <v>47282</v>
      </c>
      <c r="T12" s="267">
        <v>32100</v>
      </c>
      <c r="U12" s="48">
        <f>T12+26500</f>
        <v>58600</v>
      </c>
      <c r="V12" s="48">
        <v>38114.54</v>
      </c>
      <c r="W12" s="219">
        <f t="shared" si="4"/>
        <v>65.041877133105814</v>
      </c>
      <c r="X12" s="52">
        <v>13437</v>
      </c>
    </row>
    <row r="13" spans="1:24" s="6" customFormat="1" ht="9.9499999999999993" customHeight="1" x14ac:dyDescent="0.2">
      <c r="A13" s="135" t="s">
        <v>10</v>
      </c>
      <c r="B13" s="508" t="s">
        <v>29</v>
      </c>
      <c r="C13" s="508"/>
      <c r="D13" s="133" t="s">
        <v>25</v>
      </c>
      <c r="E13" s="38">
        <f t="shared" si="12"/>
        <v>2485000</v>
      </c>
      <c r="F13" s="39">
        <f t="shared" si="12"/>
        <v>2485000</v>
      </c>
      <c r="G13" s="39">
        <f t="shared" si="12"/>
        <v>1182019.01</v>
      </c>
      <c r="H13" s="10">
        <f t="shared" si="0"/>
        <v>47.566157344064386</v>
      </c>
      <c r="I13" s="39">
        <f t="shared" si="12"/>
        <v>1247936</v>
      </c>
      <c r="J13" s="240">
        <v>2485000</v>
      </c>
      <c r="K13" s="271">
        <f t="shared" ref="K13:K26" si="13">J13</f>
        <v>2485000</v>
      </c>
      <c r="L13" s="218">
        <v>1182019.01</v>
      </c>
      <c r="M13" s="219">
        <f t="shared" si="2"/>
        <v>47.566157344064386</v>
      </c>
      <c r="N13" s="229">
        <v>1247936</v>
      </c>
      <c r="O13" s="217"/>
      <c r="P13" s="218"/>
      <c r="Q13" s="218"/>
      <c r="R13" s="219" t="e">
        <f t="shared" si="3"/>
        <v>#DIV/0!</v>
      </c>
      <c r="S13" s="229"/>
      <c r="T13" s="217">
        <v>245780</v>
      </c>
      <c r="U13" s="271">
        <f>T13+140000</f>
        <v>385780</v>
      </c>
      <c r="V13" s="218">
        <v>186206.07999999999</v>
      </c>
      <c r="W13" s="219">
        <f t="shared" si="4"/>
        <v>48.26742703095028</v>
      </c>
      <c r="X13" s="220">
        <v>111629</v>
      </c>
    </row>
    <row r="14" spans="1:24" s="6" customFormat="1" ht="9.9499999999999993" customHeight="1" x14ac:dyDescent="0.2">
      <c r="A14" s="135" t="s">
        <v>11</v>
      </c>
      <c r="B14" s="236" t="s">
        <v>61</v>
      </c>
      <c r="C14" s="237"/>
      <c r="D14" s="133" t="s">
        <v>25</v>
      </c>
      <c r="E14" s="38">
        <f t="shared" si="12"/>
        <v>0</v>
      </c>
      <c r="F14" s="39">
        <f t="shared" si="12"/>
        <v>0</v>
      </c>
      <c r="G14" s="39">
        <f t="shared" si="12"/>
        <v>0</v>
      </c>
      <c r="H14" s="10" t="e">
        <f t="shared" si="0"/>
        <v>#DIV/0!</v>
      </c>
      <c r="I14" s="39">
        <f t="shared" si="12"/>
        <v>0</v>
      </c>
      <c r="J14" s="240"/>
      <c r="K14" s="271"/>
      <c r="L14" s="218"/>
      <c r="M14" s="219" t="e">
        <f t="shared" si="2"/>
        <v>#DIV/0!</v>
      </c>
      <c r="N14" s="229"/>
      <c r="O14" s="217"/>
      <c r="P14" s="218"/>
      <c r="Q14" s="218"/>
      <c r="R14" s="219" t="e">
        <f t="shared" si="3"/>
        <v>#DIV/0!</v>
      </c>
      <c r="S14" s="229"/>
      <c r="T14" s="217"/>
      <c r="U14" s="271"/>
      <c r="V14" s="218"/>
      <c r="W14" s="219" t="e">
        <f t="shared" si="4"/>
        <v>#DIV/0!</v>
      </c>
      <c r="X14" s="220"/>
    </row>
    <row r="15" spans="1:24" s="6" customFormat="1" ht="9.9499999999999993" customHeight="1" x14ac:dyDescent="0.2">
      <c r="A15" s="135" t="s">
        <v>12</v>
      </c>
      <c r="B15" s="511" t="s">
        <v>109</v>
      </c>
      <c r="C15" s="512"/>
      <c r="D15" s="133" t="s">
        <v>25</v>
      </c>
      <c r="E15" s="38">
        <f t="shared" si="12"/>
        <v>422800</v>
      </c>
      <c r="F15" s="39">
        <f t="shared" si="12"/>
        <v>422800</v>
      </c>
      <c r="G15" s="39">
        <f t="shared" si="12"/>
        <v>105945.83</v>
      </c>
      <c r="H15" s="10">
        <f t="shared" si="0"/>
        <v>25.058143330179757</v>
      </c>
      <c r="I15" s="39">
        <f t="shared" si="12"/>
        <v>105561</v>
      </c>
      <c r="J15" s="240">
        <v>422800</v>
      </c>
      <c r="K15" s="271">
        <f t="shared" si="13"/>
        <v>422800</v>
      </c>
      <c r="L15" s="218">
        <v>105945.83</v>
      </c>
      <c r="M15" s="219">
        <f t="shared" si="2"/>
        <v>25.058143330179757</v>
      </c>
      <c r="N15" s="229">
        <v>105561</v>
      </c>
      <c r="O15" s="217"/>
      <c r="P15" s="218"/>
      <c r="Q15" s="218"/>
      <c r="R15" s="219" t="e">
        <f t="shared" si="3"/>
        <v>#DIV/0!</v>
      </c>
      <c r="S15" s="229"/>
      <c r="T15" s="217">
        <v>7200</v>
      </c>
      <c r="U15" s="271">
        <f>T15+20000</f>
        <v>27200</v>
      </c>
      <c r="V15" s="218">
        <v>13514.37</v>
      </c>
      <c r="W15" s="219">
        <f t="shared" si="4"/>
        <v>49.685183823529414</v>
      </c>
      <c r="X15" s="220">
        <v>7871</v>
      </c>
    </row>
    <row r="16" spans="1:24" s="6" customFormat="1" ht="9.9499999999999993" customHeight="1" x14ac:dyDescent="0.2">
      <c r="A16" s="135" t="s">
        <v>13</v>
      </c>
      <c r="B16" s="511" t="s">
        <v>30</v>
      </c>
      <c r="C16" s="512"/>
      <c r="D16" s="133" t="s">
        <v>25</v>
      </c>
      <c r="E16" s="38">
        <f t="shared" si="12"/>
        <v>24000</v>
      </c>
      <c r="F16" s="39">
        <f t="shared" si="12"/>
        <v>41000</v>
      </c>
      <c r="G16" s="39">
        <f t="shared" si="12"/>
        <v>26610</v>
      </c>
      <c r="H16" s="10">
        <f t="shared" si="0"/>
        <v>64.902439024390247</v>
      </c>
      <c r="I16" s="39">
        <f t="shared" si="12"/>
        <v>10295</v>
      </c>
      <c r="J16" s="240">
        <v>24000</v>
      </c>
      <c r="K16" s="271">
        <f>J16+17000</f>
        <v>41000</v>
      </c>
      <c r="L16" s="218">
        <v>25518</v>
      </c>
      <c r="M16" s="219">
        <f t="shared" si="2"/>
        <v>62.239024390243905</v>
      </c>
      <c r="N16" s="229">
        <v>9529</v>
      </c>
      <c r="O16" s="217"/>
      <c r="P16" s="218"/>
      <c r="Q16" s="218">
        <v>1092</v>
      </c>
      <c r="R16" s="219" t="e">
        <f t="shared" si="3"/>
        <v>#DIV/0!</v>
      </c>
      <c r="S16" s="229">
        <v>766</v>
      </c>
      <c r="T16" s="217"/>
      <c r="U16" s="271"/>
      <c r="V16" s="218"/>
      <c r="W16" s="219" t="e">
        <f t="shared" si="4"/>
        <v>#DIV/0!</v>
      </c>
      <c r="X16" s="220"/>
    </row>
    <row r="17" spans="1:24" s="6" customFormat="1" ht="9.9499999999999993" customHeight="1" x14ac:dyDescent="0.2">
      <c r="A17" s="135" t="s">
        <v>14</v>
      </c>
      <c r="B17" s="236" t="s">
        <v>47</v>
      </c>
      <c r="C17" s="237"/>
      <c r="D17" s="133" t="s">
        <v>25</v>
      </c>
      <c r="E17" s="38">
        <f t="shared" si="12"/>
        <v>2000</v>
      </c>
      <c r="F17" s="39">
        <f t="shared" si="12"/>
        <v>2000</v>
      </c>
      <c r="G17" s="39">
        <f t="shared" si="12"/>
        <v>494</v>
      </c>
      <c r="H17" s="10">
        <f t="shared" si="0"/>
        <v>24.7</v>
      </c>
      <c r="I17" s="39">
        <f t="shared" si="12"/>
        <v>331</v>
      </c>
      <c r="J17" s="240">
        <v>2000</v>
      </c>
      <c r="K17" s="271">
        <f t="shared" si="13"/>
        <v>2000</v>
      </c>
      <c r="L17" s="218">
        <v>494</v>
      </c>
      <c r="M17" s="219">
        <f t="shared" si="2"/>
        <v>24.7</v>
      </c>
      <c r="N17" s="229">
        <v>331</v>
      </c>
      <c r="O17" s="217"/>
      <c r="P17" s="218"/>
      <c r="Q17" s="218"/>
      <c r="R17" s="219" t="e">
        <f t="shared" si="3"/>
        <v>#DIV/0!</v>
      </c>
      <c r="S17" s="229"/>
      <c r="T17" s="217"/>
      <c r="U17" s="271"/>
      <c r="V17" s="218"/>
      <c r="W17" s="219" t="e">
        <f t="shared" si="4"/>
        <v>#DIV/0!</v>
      </c>
      <c r="X17" s="220"/>
    </row>
    <row r="18" spans="1:24" s="6" customFormat="1" ht="9.9499999999999993" customHeight="1" x14ac:dyDescent="0.2">
      <c r="A18" s="135" t="s">
        <v>15</v>
      </c>
      <c r="B18" s="511" t="s">
        <v>31</v>
      </c>
      <c r="C18" s="512"/>
      <c r="D18" s="133" t="s">
        <v>25</v>
      </c>
      <c r="E18" s="38">
        <f t="shared" si="12"/>
        <v>2502200</v>
      </c>
      <c r="F18" s="39">
        <f t="shared" si="12"/>
        <v>2454200</v>
      </c>
      <c r="G18" s="39">
        <f t="shared" si="12"/>
        <v>1059848.17</v>
      </c>
      <c r="H18" s="10">
        <f t="shared" si="0"/>
        <v>43.185077418303315</v>
      </c>
      <c r="I18" s="39">
        <f t="shared" si="12"/>
        <v>1074241</v>
      </c>
      <c r="J18" s="240">
        <v>2502200</v>
      </c>
      <c r="K18" s="271">
        <f>J18-48000</f>
        <v>2454200</v>
      </c>
      <c r="L18" s="218">
        <v>1029739.17</v>
      </c>
      <c r="M18" s="219">
        <f t="shared" si="2"/>
        <v>41.958241789585202</v>
      </c>
      <c r="N18" s="229">
        <v>1061554</v>
      </c>
      <c r="O18" s="217"/>
      <c r="P18" s="218"/>
      <c r="Q18" s="218">
        <v>30109</v>
      </c>
      <c r="R18" s="219" t="e">
        <f t="shared" si="3"/>
        <v>#DIV/0!</v>
      </c>
      <c r="S18" s="229">
        <v>12687</v>
      </c>
      <c r="T18" s="217">
        <v>32200</v>
      </c>
      <c r="U18" s="271">
        <f>T18</f>
        <v>32200</v>
      </c>
      <c r="V18" s="218">
        <v>19922.07</v>
      </c>
      <c r="W18" s="219">
        <f t="shared" si="4"/>
        <v>61.869782608695658</v>
      </c>
      <c r="X18" s="220">
        <v>10625</v>
      </c>
    </row>
    <row r="19" spans="1:24" s="11" customFormat="1" ht="9.9499999999999993" customHeight="1" x14ac:dyDescent="0.2">
      <c r="A19" s="135" t="s">
        <v>16</v>
      </c>
      <c r="B19" s="508" t="s">
        <v>32</v>
      </c>
      <c r="C19" s="508"/>
      <c r="D19" s="133" t="s">
        <v>25</v>
      </c>
      <c r="E19" s="38">
        <f t="shared" si="12"/>
        <v>7752500</v>
      </c>
      <c r="F19" s="39">
        <f t="shared" si="12"/>
        <v>7923740</v>
      </c>
      <c r="G19" s="39">
        <f t="shared" si="12"/>
        <v>4259909.07</v>
      </c>
      <c r="H19" s="10">
        <f t="shared" si="0"/>
        <v>53.761343380777262</v>
      </c>
      <c r="I19" s="39">
        <f t="shared" si="12"/>
        <v>3980648</v>
      </c>
      <c r="J19" s="241">
        <v>2307500</v>
      </c>
      <c r="K19" s="271">
        <f>J19+51240</f>
        <v>2358740</v>
      </c>
      <c r="L19" s="218">
        <f>943503.07-2440</f>
        <v>941063.07</v>
      </c>
      <c r="M19" s="219">
        <f t="shared" si="2"/>
        <v>39.896854676649397</v>
      </c>
      <c r="N19" s="229">
        <v>760563</v>
      </c>
      <c r="O19" s="217">
        <f>4684000+650000+111000</f>
        <v>5445000</v>
      </c>
      <c r="P19" s="218">
        <f>O19+120000</f>
        <v>5565000</v>
      </c>
      <c r="Q19" s="218">
        <f>3316406+2440</f>
        <v>3318846</v>
      </c>
      <c r="R19" s="219">
        <f t="shared" si="3"/>
        <v>59.637843665768195</v>
      </c>
      <c r="S19" s="229">
        <v>3220085</v>
      </c>
      <c r="T19" s="268">
        <v>536400</v>
      </c>
      <c r="U19" s="271">
        <f>T19-60000</f>
        <v>476400</v>
      </c>
      <c r="V19" s="269">
        <v>178247.93</v>
      </c>
      <c r="W19" s="219">
        <f t="shared" si="4"/>
        <v>37.41560243492863</v>
      </c>
      <c r="X19" s="270">
        <v>53545</v>
      </c>
    </row>
    <row r="20" spans="1:24" s="6" customFormat="1" ht="9.9499999999999993" customHeight="1" x14ac:dyDescent="0.2">
      <c r="A20" s="135" t="s">
        <v>17</v>
      </c>
      <c r="B20" s="508" t="s">
        <v>48</v>
      </c>
      <c r="C20" s="508"/>
      <c r="D20" s="133" t="s">
        <v>25</v>
      </c>
      <c r="E20" s="38">
        <f t="shared" si="12"/>
        <v>2382500</v>
      </c>
      <c r="F20" s="39">
        <f t="shared" si="12"/>
        <v>2428500</v>
      </c>
      <c r="G20" s="39">
        <f t="shared" si="12"/>
        <v>1236639.96</v>
      </c>
      <c r="H20" s="10">
        <f t="shared" si="0"/>
        <v>50.92196664607782</v>
      </c>
      <c r="I20" s="39">
        <f t="shared" si="12"/>
        <v>1177536</v>
      </c>
      <c r="J20" s="240">
        <v>498500</v>
      </c>
      <c r="K20" s="271">
        <f>J20+3000</f>
        <v>501500</v>
      </c>
      <c r="L20" s="218">
        <v>252534.66</v>
      </c>
      <c r="M20" s="219">
        <f t="shared" si="2"/>
        <v>50.355864406779659</v>
      </c>
      <c r="N20" s="229">
        <v>205731</v>
      </c>
      <c r="O20" s="217">
        <v>1884000</v>
      </c>
      <c r="P20" s="218">
        <f>O20+43000</f>
        <v>1927000</v>
      </c>
      <c r="Q20" s="218">
        <v>984105.3</v>
      </c>
      <c r="R20" s="219">
        <f t="shared" si="3"/>
        <v>51.069294239750903</v>
      </c>
      <c r="S20" s="229">
        <v>971805</v>
      </c>
      <c r="T20" s="217">
        <v>182340</v>
      </c>
      <c r="U20" s="271">
        <f>T20-45000</f>
        <v>137340</v>
      </c>
      <c r="V20" s="218">
        <v>61455.88</v>
      </c>
      <c r="W20" s="219">
        <f t="shared" si="4"/>
        <v>44.747254987621957</v>
      </c>
      <c r="X20" s="220">
        <v>18209</v>
      </c>
    </row>
    <row r="21" spans="1:24" s="6" customFormat="1" ht="9.9499999999999993" customHeight="1" x14ac:dyDescent="0.2">
      <c r="A21" s="135" t="s">
        <v>18</v>
      </c>
      <c r="B21" s="508" t="s">
        <v>49</v>
      </c>
      <c r="C21" s="508"/>
      <c r="D21" s="133" t="s">
        <v>25</v>
      </c>
      <c r="E21" s="38">
        <f t="shared" si="12"/>
        <v>104100</v>
      </c>
      <c r="F21" s="39">
        <f t="shared" si="12"/>
        <v>101100</v>
      </c>
      <c r="G21" s="39">
        <f t="shared" si="12"/>
        <v>87495.44</v>
      </c>
      <c r="H21" s="10">
        <f t="shared" si="0"/>
        <v>86.543461918892177</v>
      </c>
      <c r="I21" s="39">
        <f t="shared" si="12"/>
        <v>68497</v>
      </c>
      <c r="J21" s="240">
        <v>104100</v>
      </c>
      <c r="K21" s="271">
        <f>J21-3000</f>
        <v>101100</v>
      </c>
      <c r="L21" s="218">
        <v>51206.7</v>
      </c>
      <c r="M21" s="219">
        <f t="shared" si="2"/>
        <v>50.649554896142433</v>
      </c>
      <c r="N21" s="229">
        <v>45431</v>
      </c>
      <c r="O21" s="217"/>
      <c r="P21" s="218"/>
      <c r="Q21" s="218">
        <v>36288.74</v>
      </c>
      <c r="R21" s="219" t="e">
        <f t="shared" si="3"/>
        <v>#DIV/0!</v>
      </c>
      <c r="S21" s="229">
        <v>23066</v>
      </c>
      <c r="T21" s="217">
        <v>1400</v>
      </c>
      <c r="U21" s="271">
        <f>T21+5000</f>
        <v>6400</v>
      </c>
      <c r="V21" s="218">
        <v>2449.29</v>
      </c>
      <c r="W21" s="219">
        <f t="shared" si="4"/>
        <v>38.270156249999999</v>
      </c>
      <c r="X21" s="220"/>
    </row>
    <row r="22" spans="1:24" s="6" customFormat="1" ht="9.9499999999999993" customHeight="1" x14ac:dyDescent="0.2">
      <c r="A22" s="135" t="s">
        <v>19</v>
      </c>
      <c r="B22" s="508" t="s">
        <v>62</v>
      </c>
      <c r="C22" s="508"/>
      <c r="D22" s="133" t="s">
        <v>25</v>
      </c>
      <c r="E22" s="38">
        <f t="shared" si="12"/>
        <v>8000</v>
      </c>
      <c r="F22" s="39">
        <f t="shared" si="12"/>
        <v>8000</v>
      </c>
      <c r="G22" s="39">
        <f t="shared" si="12"/>
        <v>4629</v>
      </c>
      <c r="H22" s="10">
        <f t="shared" si="0"/>
        <v>57.862499999999997</v>
      </c>
      <c r="I22" s="39">
        <f t="shared" si="12"/>
        <v>4425</v>
      </c>
      <c r="J22" s="240">
        <v>8000</v>
      </c>
      <c r="K22" s="271">
        <f t="shared" si="13"/>
        <v>8000</v>
      </c>
      <c r="L22" s="218">
        <v>4629</v>
      </c>
      <c r="M22" s="219">
        <f t="shared" si="2"/>
        <v>57.862499999999997</v>
      </c>
      <c r="N22" s="229">
        <v>4425</v>
      </c>
      <c r="O22" s="217"/>
      <c r="P22" s="218"/>
      <c r="Q22" s="218"/>
      <c r="R22" s="219" t="e">
        <f t="shared" si="3"/>
        <v>#DIV/0!</v>
      </c>
      <c r="S22" s="229"/>
      <c r="T22" s="217"/>
      <c r="U22" s="271"/>
      <c r="V22" s="218"/>
      <c r="W22" s="219" t="e">
        <f t="shared" si="4"/>
        <v>#DIV/0!</v>
      </c>
      <c r="X22" s="220"/>
    </row>
    <row r="23" spans="1:24" s="6" customFormat="1" ht="9.9499999999999993" customHeight="1" x14ac:dyDescent="0.2">
      <c r="A23" s="135" t="s">
        <v>20</v>
      </c>
      <c r="B23" s="223" t="s">
        <v>101</v>
      </c>
      <c r="C23" s="223"/>
      <c r="D23" s="133" t="s">
        <v>25</v>
      </c>
      <c r="E23" s="38">
        <f t="shared" si="12"/>
        <v>0</v>
      </c>
      <c r="F23" s="39">
        <f t="shared" si="12"/>
        <v>20000</v>
      </c>
      <c r="G23" s="39">
        <f t="shared" si="12"/>
        <v>20000</v>
      </c>
      <c r="H23" s="10">
        <f t="shared" si="0"/>
        <v>100</v>
      </c>
      <c r="I23" s="39">
        <f t="shared" si="12"/>
        <v>0</v>
      </c>
      <c r="J23" s="240"/>
      <c r="K23" s="271">
        <v>20000</v>
      </c>
      <c r="L23" s="218">
        <v>20000</v>
      </c>
      <c r="M23" s="219">
        <f t="shared" si="2"/>
        <v>100</v>
      </c>
      <c r="N23" s="229"/>
      <c r="O23" s="217"/>
      <c r="P23" s="218"/>
      <c r="Q23" s="218"/>
      <c r="R23" s="219" t="e">
        <f t="shared" si="3"/>
        <v>#DIV/0!</v>
      </c>
      <c r="S23" s="229"/>
      <c r="T23" s="217"/>
      <c r="U23" s="271"/>
      <c r="V23" s="218"/>
      <c r="W23" s="219" t="e">
        <f t="shared" si="4"/>
        <v>#DIV/0!</v>
      </c>
      <c r="X23" s="220"/>
    </row>
    <row r="24" spans="1:24" s="6" customFormat="1" ht="9.9499999999999993" customHeight="1" x14ac:dyDescent="0.2">
      <c r="A24" s="135" t="s">
        <v>21</v>
      </c>
      <c r="B24" s="223" t="s">
        <v>110</v>
      </c>
      <c r="C24" s="223"/>
      <c r="D24" s="133" t="s">
        <v>25</v>
      </c>
      <c r="E24" s="38">
        <f t="shared" si="12"/>
        <v>0</v>
      </c>
      <c r="F24" s="39">
        <f t="shared" si="12"/>
        <v>0</v>
      </c>
      <c r="G24" s="39">
        <f t="shared" si="12"/>
        <v>0</v>
      </c>
      <c r="H24" s="10" t="e">
        <f t="shared" si="0"/>
        <v>#DIV/0!</v>
      </c>
      <c r="I24" s="39">
        <f t="shared" si="12"/>
        <v>0</v>
      </c>
      <c r="J24" s="240"/>
      <c r="K24" s="271"/>
      <c r="L24" s="218"/>
      <c r="M24" s="219" t="e">
        <f t="shared" si="2"/>
        <v>#DIV/0!</v>
      </c>
      <c r="N24" s="229"/>
      <c r="O24" s="217"/>
      <c r="P24" s="218"/>
      <c r="Q24" s="218"/>
      <c r="R24" s="219" t="e">
        <f t="shared" si="3"/>
        <v>#DIV/0!</v>
      </c>
      <c r="S24" s="229"/>
      <c r="T24" s="217"/>
      <c r="U24" s="271"/>
      <c r="V24" s="218"/>
      <c r="W24" s="219" t="e">
        <f t="shared" si="4"/>
        <v>#DIV/0!</v>
      </c>
      <c r="X24" s="220"/>
    </row>
    <row r="25" spans="1:24" s="13" customFormat="1" ht="9.9499999999999993" customHeight="1" x14ac:dyDescent="0.2">
      <c r="A25" s="135" t="s">
        <v>22</v>
      </c>
      <c r="B25" s="223" t="s">
        <v>63</v>
      </c>
      <c r="C25" s="223"/>
      <c r="D25" s="133" t="s">
        <v>25</v>
      </c>
      <c r="E25" s="38">
        <f t="shared" si="12"/>
        <v>0</v>
      </c>
      <c r="F25" s="39">
        <f t="shared" si="12"/>
        <v>4400</v>
      </c>
      <c r="G25" s="39">
        <f t="shared" si="12"/>
        <v>4400</v>
      </c>
      <c r="H25" s="14">
        <f>G25/F25*100</f>
        <v>100</v>
      </c>
      <c r="I25" s="39">
        <f t="shared" si="12"/>
        <v>0</v>
      </c>
      <c r="J25" s="240"/>
      <c r="K25" s="271">
        <v>4400</v>
      </c>
      <c r="L25" s="271">
        <v>4400</v>
      </c>
      <c r="M25" s="219">
        <f t="shared" si="2"/>
        <v>100</v>
      </c>
      <c r="N25" s="272"/>
      <c r="O25" s="273"/>
      <c r="P25" s="271"/>
      <c r="Q25" s="271"/>
      <c r="R25" s="219" t="e">
        <f t="shared" si="3"/>
        <v>#DIV/0!</v>
      </c>
      <c r="S25" s="274"/>
      <c r="T25" s="273"/>
      <c r="U25" s="271"/>
      <c r="V25" s="271"/>
      <c r="W25" s="219" t="e">
        <f t="shared" si="4"/>
        <v>#DIV/0!</v>
      </c>
      <c r="X25" s="275"/>
    </row>
    <row r="26" spans="1:24" s="6" customFormat="1" ht="9.9499999999999993" customHeight="1" x14ac:dyDescent="0.2">
      <c r="A26" s="135" t="s">
        <v>23</v>
      </c>
      <c r="B26" s="511" t="s">
        <v>64</v>
      </c>
      <c r="C26" s="512"/>
      <c r="D26" s="133" t="s">
        <v>25</v>
      </c>
      <c r="E26" s="38">
        <f t="shared" si="12"/>
        <v>1904000</v>
      </c>
      <c r="F26" s="39">
        <f t="shared" si="12"/>
        <v>1904000</v>
      </c>
      <c r="G26" s="39">
        <f t="shared" si="12"/>
        <v>923854.52</v>
      </c>
      <c r="H26" s="10">
        <f t="shared" si="0"/>
        <v>48.521771008403363</v>
      </c>
      <c r="I26" s="39">
        <f t="shared" si="12"/>
        <v>962756</v>
      </c>
      <c r="J26" s="240">
        <v>1904000</v>
      </c>
      <c r="K26" s="271">
        <f t="shared" si="13"/>
        <v>1904000</v>
      </c>
      <c r="L26" s="276">
        <v>923854.52</v>
      </c>
      <c r="M26" s="219">
        <f t="shared" si="2"/>
        <v>48.521771008403363</v>
      </c>
      <c r="N26" s="272">
        <v>962756</v>
      </c>
      <c r="O26" s="277"/>
      <c r="P26" s="276"/>
      <c r="Q26" s="276"/>
      <c r="R26" s="219" t="e">
        <f t="shared" si="3"/>
        <v>#DIV/0!</v>
      </c>
      <c r="S26" s="272"/>
      <c r="T26" s="277">
        <v>188300</v>
      </c>
      <c r="U26" s="271">
        <f>T26+109000</f>
        <v>297300</v>
      </c>
      <c r="V26" s="276">
        <v>147902.48000000001</v>
      </c>
      <c r="W26" s="219">
        <f t="shared" si="4"/>
        <v>49.748563740329637</v>
      </c>
      <c r="X26" s="307">
        <v>88776</v>
      </c>
    </row>
    <row r="27" spans="1:24" s="13" customFormat="1" ht="9.9499999999999993" customHeight="1" x14ac:dyDescent="0.2">
      <c r="A27" s="135" t="s">
        <v>44</v>
      </c>
      <c r="B27" s="236" t="s">
        <v>65</v>
      </c>
      <c r="C27" s="237"/>
      <c r="D27" s="133" t="s">
        <v>25</v>
      </c>
      <c r="E27" s="38">
        <f t="shared" si="12"/>
        <v>0</v>
      </c>
      <c r="F27" s="39">
        <f t="shared" si="12"/>
        <v>600</v>
      </c>
      <c r="G27" s="39">
        <f t="shared" si="12"/>
        <v>594.29999999999995</v>
      </c>
      <c r="H27" s="14">
        <f t="shared" si="0"/>
        <v>99.05</v>
      </c>
      <c r="I27" s="39">
        <f t="shared" si="12"/>
        <v>0</v>
      </c>
      <c r="J27" s="240"/>
      <c r="K27" s="271">
        <v>600</v>
      </c>
      <c r="L27" s="276">
        <v>594.29999999999995</v>
      </c>
      <c r="M27" s="219">
        <f t="shared" si="2"/>
        <v>99.05</v>
      </c>
      <c r="N27" s="229"/>
      <c r="O27" s="277"/>
      <c r="P27" s="276"/>
      <c r="Q27" s="276"/>
      <c r="R27" s="219" t="e">
        <f t="shared" si="3"/>
        <v>#DIV/0!</v>
      </c>
      <c r="S27" s="272"/>
      <c r="T27" s="277"/>
      <c r="U27" s="271">
        <v>0</v>
      </c>
      <c r="V27" s="276"/>
      <c r="W27" s="219" t="e">
        <f t="shared" si="4"/>
        <v>#DIV/0!</v>
      </c>
      <c r="X27" s="307"/>
    </row>
    <row r="28" spans="1:24" s="13" customFormat="1" ht="9.9499999999999993" customHeight="1" x14ac:dyDescent="0.2">
      <c r="A28" s="135" t="s">
        <v>50</v>
      </c>
      <c r="B28" s="236" t="s">
        <v>91</v>
      </c>
      <c r="C28" s="237"/>
      <c r="D28" s="133" t="s">
        <v>25</v>
      </c>
      <c r="E28" s="38">
        <f>SUM(J28,O28)</f>
        <v>0</v>
      </c>
      <c r="F28" s="39">
        <f>SUM(K28,P28)</f>
        <v>39900</v>
      </c>
      <c r="G28" s="39">
        <f>SUM(L28,Q28)</f>
        <v>29553.42</v>
      </c>
      <c r="H28" s="14">
        <f>G28/F28*100</f>
        <v>74.06872180451127</v>
      </c>
      <c r="I28" s="39">
        <f t="shared" si="12"/>
        <v>28691</v>
      </c>
      <c r="J28" s="240"/>
      <c r="K28" s="271">
        <v>39900</v>
      </c>
      <c r="L28" s="276">
        <v>29553.42</v>
      </c>
      <c r="M28" s="219">
        <f t="shared" si="2"/>
        <v>74.06872180451127</v>
      </c>
      <c r="N28" s="229">
        <v>28691</v>
      </c>
      <c r="O28" s="277"/>
      <c r="P28" s="276"/>
      <c r="Q28" s="276"/>
      <c r="R28" s="219" t="e">
        <f t="shared" si="3"/>
        <v>#DIV/0!</v>
      </c>
      <c r="S28" s="272"/>
      <c r="T28" s="277"/>
      <c r="U28" s="271">
        <v>5000</v>
      </c>
      <c r="V28" s="276">
        <v>3506.58</v>
      </c>
      <c r="W28" s="219">
        <f t="shared" si="4"/>
        <v>70.131599999999992</v>
      </c>
      <c r="X28" s="307"/>
    </row>
    <row r="29" spans="1:24" s="15" customFormat="1" ht="9.9499999999999993" customHeight="1" x14ac:dyDescent="0.2">
      <c r="A29" s="135" t="s">
        <v>51</v>
      </c>
      <c r="B29" s="236" t="s">
        <v>66</v>
      </c>
      <c r="C29" s="237"/>
      <c r="D29" s="133" t="s">
        <v>25</v>
      </c>
      <c r="E29" s="38">
        <f t="shared" si="12"/>
        <v>20000</v>
      </c>
      <c r="F29" s="39">
        <f t="shared" si="12"/>
        <v>24900</v>
      </c>
      <c r="G29" s="39">
        <f t="shared" si="12"/>
        <v>23546.799999999999</v>
      </c>
      <c r="H29" s="14">
        <f t="shared" si="0"/>
        <v>94.565461847389557</v>
      </c>
      <c r="I29" s="39">
        <f t="shared" si="12"/>
        <v>17040</v>
      </c>
      <c r="J29" s="240">
        <v>20000</v>
      </c>
      <c r="K29" s="271">
        <f>J29+4900</f>
        <v>24900</v>
      </c>
      <c r="L29" s="276">
        <v>23546.799999999999</v>
      </c>
      <c r="M29" s="219">
        <f t="shared" si="2"/>
        <v>94.565461847389557</v>
      </c>
      <c r="N29" s="272">
        <v>17040</v>
      </c>
      <c r="O29" s="277"/>
      <c r="P29" s="276"/>
      <c r="Q29" s="276"/>
      <c r="R29" s="219" t="e">
        <f t="shared" si="3"/>
        <v>#DIV/0!</v>
      </c>
      <c r="S29" s="272"/>
      <c r="T29" s="277">
        <v>1450</v>
      </c>
      <c r="U29" s="271">
        <f>T29+1700</f>
        <v>3150</v>
      </c>
      <c r="V29" s="276">
        <v>3095.2</v>
      </c>
      <c r="W29" s="219">
        <f t="shared" si="4"/>
        <v>98.260317460317452</v>
      </c>
      <c r="X29" s="307">
        <v>1150</v>
      </c>
    </row>
    <row r="30" spans="1:24" s="6" customFormat="1" ht="9.75" x14ac:dyDescent="0.2">
      <c r="A30" s="135" t="s">
        <v>53</v>
      </c>
      <c r="B30" s="236" t="s">
        <v>52</v>
      </c>
      <c r="C30" s="237"/>
      <c r="D30" s="133" t="s">
        <v>25</v>
      </c>
      <c r="E30" s="38">
        <f t="shared" ref="E30:G31" si="14">SUM(J30,O30)</f>
        <v>0</v>
      </c>
      <c r="F30" s="39">
        <f t="shared" si="14"/>
        <v>0</v>
      </c>
      <c r="G30" s="39">
        <f t="shared" si="14"/>
        <v>0</v>
      </c>
      <c r="H30" s="14" t="e">
        <f t="shared" si="0"/>
        <v>#DIV/0!</v>
      </c>
      <c r="I30" s="39">
        <f t="shared" ref="I30:I32" si="15">SUM(N30,S30)</f>
        <v>0</v>
      </c>
      <c r="J30" s="240"/>
      <c r="K30" s="271"/>
      <c r="L30" s="276"/>
      <c r="M30" s="219" t="e">
        <f t="shared" si="2"/>
        <v>#DIV/0!</v>
      </c>
      <c r="N30" s="272"/>
      <c r="O30" s="277"/>
      <c r="P30" s="276"/>
      <c r="Q30" s="276"/>
      <c r="R30" s="219" t="e">
        <f t="shared" si="3"/>
        <v>#DIV/0!</v>
      </c>
      <c r="S30" s="272"/>
      <c r="T30" s="278"/>
      <c r="U30" s="271"/>
      <c r="V30" s="276"/>
      <c r="W30" s="219" t="e">
        <f t="shared" si="4"/>
        <v>#DIV/0!</v>
      </c>
      <c r="X30" s="307"/>
    </row>
    <row r="31" spans="1:24" s="23" customFormat="1" ht="9.75" x14ac:dyDescent="0.2">
      <c r="A31" s="135" t="s">
        <v>54</v>
      </c>
      <c r="B31" s="236" t="s">
        <v>67</v>
      </c>
      <c r="C31" s="237"/>
      <c r="D31" s="133" t="s">
        <v>25</v>
      </c>
      <c r="E31" s="38">
        <f t="shared" si="14"/>
        <v>0</v>
      </c>
      <c r="F31" s="39">
        <f t="shared" si="14"/>
        <v>0</v>
      </c>
      <c r="G31" s="39">
        <f t="shared" si="14"/>
        <v>0</v>
      </c>
      <c r="H31" s="14" t="e">
        <f t="shared" si="0"/>
        <v>#DIV/0!</v>
      </c>
      <c r="I31" s="39">
        <f t="shared" si="15"/>
        <v>0</v>
      </c>
      <c r="J31" s="240"/>
      <c r="K31" s="271"/>
      <c r="L31" s="281"/>
      <c r="M31" s="219" t="e">
        <f t="shared" si="2"/>
        <v>#DIV/0!</v>
      </c>
      <c r="N31" s="282"/>
      <c r="O31" s="283"/>
      <c r="P31" s="281"/>
      <c r="Q31" s="281"/>
      <c r="R31" s="219" t="e">
        <f t="shared" si="3"/>
        <v>#DIV/0!</v>
      </c>
      <c r="S31" s="282"/>
      <c r="T31" s="284"/>
      <c r="U31" s="271"/>
      <c r="V31" s="281"/>
      <c r="W31" s="219" t="e">
        <f t="shared" si="4"/>
        <v>#DIV/0!</v>
      </c>
      <c r="X31" s="312"/>
    </row>
    <row r="32" spans="1:24" s="23" customFormat="1" ht="9.75" x14ac:dyDescent="0.2">
      <c r="A32" s="238" t="s">
        <v>55</v>
      </c>
      <c r="B32" s="233" t="s">
        <v>68</v>
      </c>
      <c r="C32" s="239"/>
      <c r="D32" s="235" t="s">
        <v>25</v>
      </c>
      <c r="E32" s="42">
        <f>SUM(J32,O32)</f>
        <v>0</v>
      </c>
      <c r="F32" s="43">
        <f>SUM(K32,P32)</f>
        <v>0</v>
      </c>
      <c r="G32" s="43">
        <f>SUM(L32,Q32)</f>
        <v>0</v>
      </c>
      <c r="H32" s="16" t="e">
        <f t="shared" si="0"/>
        <v>#DIV/0!</v>
      </c>
      <c r="I32" s="39">
        <f t="shared" si="15"/>
        <v>0</v>
      </c>
      <c r="J32" s="287"/>
      <c r="K32" s="366"/>
      <c r="L32" s="288"/>
      <c r="M32" s="219" t="e">
        <f t="shared" si="2"/>
        <v>#DIV/0!</v>
      </c>
      <c r="N32" s="289"/>
      <c r="O32" s="290"/>
      <c r="P32" s="288"/>
      <c r="Q32" s="288"/>
      <c r="R32" s="219" t="e">
        <f t="shared" si="3"/>
        <v>#DIV/0!</v>
      </c>
      <c r="S32" s="289"/>
      <c r="T32" s="290"/>
      <c r="U32" s="366"/>
      <c r="V32" s="310"/>
      <c r="W32" s="219" t="e">
        <f t="shared" si="4"/>
        <v>#DIV/0!</v>
      </c>
      <c r="X32" s="313"/>
    </row>
    <row r="33" spans="1:24" s="23" customFormat="1" ht="9.75" x14ac:dyDescent="0.2">
      <c r="A33" s="134" t="s">
        <v>56</v>
      </c>
      <c r="B33" s="21" t="s">
        <v>102</v>
      </c>
      <c r="C33" s="22"/>
      <c r="D33" s="20" t="s">
        <v>25</v>
      </c>
      <c r="E33" s="29">
        <f>E6-E11</f>
        <v>0</v>
      </c>
      <c r="F33" s="29">
        <f>F6-F11</f>
        <v>0</v>
      </c>
      <c r="G33" s="29">
        <f>G6-G11</f>
        <v>-161798.24000000209</v>
      </c>
      <c r="H33" s="25" t="e">
        <f t="shared" si="0"/>
        <v>#DIV/0!</v>
      </c>
      <c r="I33" s="29">
        <f>I6-I11</f>
        <v>143045</v>
      </c>
      <c r="J33" s="29">
        <f>J6-J11</f>
        <v>0</v>
      </c>
      <c r="K33" s="29">
        <f>K6-K11</f>
        <v>0</v>
      </c>
      <c r="L33" s="29">
        <f>L6-L11</f>
        <v>-139425.24000000022</v>
      </c>
      <c r="M33" s="19" t="e">
        <f t="shared" si="2"/>
        <v>#DIV/0!</v>
      </c>
      <c r="N33" s="29">
        <f>N6-N11</f>
        <v>139119</v>
      </c>
      <c r="O33" s="29">
        <f>O6-O11</f>
        <v>0</v>
      </c>
      <c r="P33" s="29">
        <f>P6-P11</f>
        <v>0</v>
      </c>
      <c r="Q33" s="29">
        <f>Q6-Q11</f>
        <v>-22373</v>
      </c>
      <c r="R33" s="19" t="e">
        <f t="shared" si="3"/>
        <v>#DIV/0!</v>
      </c>
      <c r="S33" s="29">
        <f>S6-S11</f>
        <v>3926</v>
      </c>
      <c r="T33" s="29">
        <f>T6-T11</f>
        <v>180330</v>
      </c>
      <c r="U33" s="29">
        <f>U6-U11</f>
        <v>180330</v>
      </c>
      <c r="V33" s="29">
        <f>V6-V11</f>
        <v>226550.66000000003</v>
      </c>
      <c r="W33" s="19">
        <f t="shared" si="4"/>
        <v>125.63115399545279</v>
      </c>
      <c r="X33" s="29">
        <f>X6-X11</f>
        <v>355826</v>
      </c>
    </row>
    <row r="34" spans="1:24" s="4" customFormat="1" ht="9" x14ac:dyDescent="0.2">
      <c r="A34" s="224" t="s">
        <v>57</v>
      </c>
      <c r="B34" s="509" t="s">
        <v>24</v>
      </c>
      <c r="C34" s="510"/>
      <c r="D34" s="136" t="s">
        <v>25</v>
      </c>
      <c r="E34" s="196">
        <v>17039</v>
      </c>
      <c r="F34" s="197">
        <v>17372.5</v>
      </c>
      <c r="G34" s="197">
        <v>17127</v>
      </c>
      <c r="H34" s="12">
        <f t="shared" si="0"/>
        <v>98.586847028349396</v>
      </c>
      <c r="I34" s="256">
        <v>15875</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198">
        <v>30</v>
      </c>
      <c r="F35" s="199">
        <v>30</v>
      </c>
      <c r="G35" s="257">
        <v>33.5</v>
      </c>
      <c r="H35" s="261">
        <f t="shared" si="0"/>
        <v>111.66666666666667</v>
      </c>
      <c r="I35" s="301">
        <v>32</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32</v>
      </c>
      <c r="F36" s="201">
        <v>32</v>
      </c>
      <c r="G36" s="201">
        <v>37</v>
      </c>
      <c r="H36" s="259">
        <f t="shared" si="0"/>
        <v>115.625</v>
      </c>
      <c r="I36" s="260">
        <v>36</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tabSelected="1" zoomScaleNormal="100" workbookViewId="0">
      <selection activeCell="A29" sqref="A29:I29"/>
    </sheetView>
  </sheetViews>
  <sheetFormatPr defaultRowHeight="12.75" x14ac:dyDescent="0.2"/>
  <cols>
    <col min="1" max="1" width="74.75" style="71" customWidth="1"/>
    <col min="2" max="9" width="23.75" style="71" customWidth="1"/>
    <col min="15" max="15" width="11.75" bestFit="1" customWidth="1"/>
    <col min="17" max="17" width="17.75" bestFit="1" customWidth="1"/>
  </cols>
  <sheetData>
    <row r="1" spans="1:14" ht="18.75" x14ac:dyDescent="0.3">
      <c r="A1" s="70" t="s">
        <v>87</v>
      </c>
      <c r="B1" s="70"/>
      <c r="C1" s="70"/>
      <c r="D1" s="70"/>
      <c r="E1" s="70"/>
      <c r="F1" s="70"/>
      <c r="G1" s="70"/>
      <c r="H1" s="70"/>
      <c r="I1" s="70"/>
    </row>
    <row r="2" spans="1:14" ht="12.75" customHeight="1" x14ac:dyDescent="0.3">
      <c r="A2" s="70"/>
      <c r="B2" s="70"/>
      <c r="C2" s="70"/>
      <c r="D2" s="70"/>
      <c r="E2" s="70"/>
      <c r="F2" s="70"/>
      <c r="G2" s="70"/>
      <c r="H2" s="70"/>
      <c r="I2" s="70"/>
    </row>
    <row r="3" spans="1:14" s="101" customFormat="1" ht="10.5" x14ac:dyDescent="0.15">
      <c r="A3" s="469" t="s">
        <v>125</v>
      </c>
      <c r="B3" s="469"/>
      <c r="C3" s="469"/>
      <c r="D3" s="469"/>
      <c r="E3" s="469"/>
      <c r="F3" s="469"/>
      <c r="G3" s="469"/>
      <c r="H3" s="469"/>
      <c r="I3" s="469"/>
    </row>
    <row r="5" spans="1:14" s="76" customFormat="1" ht="11.25" x14ac:dyDescent="0.2">
      <c r="A5" s="470" t="s">
        <v>69</v>
      </c>
      <c r="B5" s="471"/>
      <c r="C5" s="202" t="s">
        <v>25</v>
      </c>
      <c r="D5" s="472" t="s">
        <v>113</v>
      </c>
      <c r="E5" s="472"/>
      <c r="F5" s="472"/>
      <c r="G5" s="472"/>
      <c r="H5" s="472"/>
      <c r="I5" s="472"/>
    </row>
    <row r="6" spans="1:14" s="78" customFormat="1" ht="24.75" customHeight="1" x14ac:dyDescent="0.2">
      <c r="A6" s="467" t="s">
        <v>70</v>
      </c>
      <c r="B6" s="468"/>
      <c r="C6" s="180">
        <v>567263.93000000005</v>
      </c>
      <c r="D6" s="473" t="s">
        <v>235</v>
      </c>
      <c r="E6" s="473"/>
      <c r="F6" s="473"/>
      <c r="G6" s="473"/>
      <c r="H6" s="473"/>
      <c r="I6" s="473"/>
    </row>
    <row r="7" spans="1:14" s="79" customFormat="1" ht="24" customHeight="1" x14ac:dyDescent="0.15">
      <c r="A7" s="467" t="s">
        <v>38</v>
      </c>
      <c r="B7" s="468"/>
      <c r="C7" s="180">
        <v>67537</v>
      </c>
      <c r="D7" s="473" t="s">
        <v>251</v>
      </c>
      <c r="E7" s="473"/>
      <c r="F7" s="473"/>
      <c r="G7" s="473"/>
      <c r="H7" s="473"/>
      <c r="I7" s="473"/>
    </row>
    <row r="8" spans="1:14" s="128" customFormat="1" ht="11.25" customHeight="1" x14ac:dyDescent="0.15">
      <c r="A8" s="467" t="s">
        <v>71</v>
      </c>
      <c r="B8" s="468"/>
      <c r="C8" s="180">
        <v>4512696</v>
      </c>
      <c r="D8" s="591"/>
      <c r="E8" s="592"/>
      <c r="F8" s="592"/>
      <c r="G8" s="592"/>
      <c r="H8" s="592"/>
      <c r="I8" s="593"/>
    </row>
    <row r="9" spans="1:14" s="120" customFormat="1" ht="11.25" x14ac:dyDescent="0.2">
      <c r="A9" s="102"/>
      <c r="B9" s="102"/>
      <c r="C9" s="105"/>
      <c r="D9" s="102"/>
      <c r="E9" s="102"/>
      <c r="F9" s="102"/>
      <c r="G9" s="102"/>
      <c r="H9" s="102"/>
      <c r="I9" s="102"/>
    </row>
    <row r="10" spans="1:14" s="77" customFormat="1" ht="11.25" x14ac:dyDescent="0.2">
      <c r="A10" s="469" t="s">
        <v>134</v>
      </c>
      <c r="B10" s="469"/>
      <c r="C10" s="469"/>
      <c r="D10" s="469"/>
      <c r="E10" s="469"/>
      <c r="F10" s="469"/>
      <c r="G10" s="469"/>
      <c r="H10" s="469"/>
      <c r="I10" s="469"/>
    </row>
    <row r="11" spans="1:14" s="121" customFormat="1" ht="11.25" x14ac:dyDescent="0.2">
      <c r="A11" s="102"/>
      <c r="B11" s="102"/>
      <c r="C11" s="105"/>
      <c r="D11" s="102"/>
      <c r="E11" s="102"/>
      <c r="F11" s="102"/>
      <c r="G11" s="102"/>
      <c r="H11" s="102"/>
      <c r="I11" s="102"/>
    </row>
    <row r="12" spans="1:14" s="116" customFormat="1" ht="21.75" customHeight="1" x14ac:dyDescent="0.2">
      <c r="A12" s="107" t="s">
        <v>93</v>
      </c>
      <c r="B12" s="107" t="s">
        <v>103</v>
      </c>
      <c r="C12" s="107" t="s">
        <v>94</v>
      </c>
      <c r="D12" s="107" t="s">
        <v>95</v>
      </c>
      <c r="E12" s="107" t="s">
        <v>104</v>
      </c>
      <c r="F12" s="107" t="s">
        <v>105</v>
      </c>
      <c r="G12" s="475" t="s">
        <v>96</v>
      </c>
      <c r="H12" s="475"/>
      <c r="I12" s="475"/>
    </row>
    <row r="13" spans="1:14" s="116" customFormat="1" ht="34.5" customHeight="1" x14ac:dyDescent="0.2">
      <c r="A13" s="212" t="s">
        <v>72</v>
      </c>
      <c r="B13" s="185">
        <v>127926.1</v>
      </c>
      <c r="C13" s="185">
        <v>201277.82</v>
      </c>
      <c r="D13" s="185">
        <v>110835</v>
      </c>
      <c r="E13" s="185">
        <v>218368.92</v>
      </c>
      <c r="F13" s="458">
        <v>218368.92</v>
      </c>
      <c r="G13" s="645" t="s">
        <v>237</v>
      </c>
      <c r="H13" s="645"/>
      <c r="I13" s="645"/>
      <c r="N13" s="122"/>
    </row>
    <row r="14" spans="1:14" s="77" customFormat="1" ht="23.25" customHeight="1" x14ac:dyDescent="0.2">
      <c r="A14" s="214" t="s">
        <v>117</v>
      </c>
      <c r="B14" s="181">
        <v>518282.46</v>
      </c>
      <c r="C14" s="181">
        <v>643190.30000000005</v>
      </c>
      <c r="D14" s="181">
        <v>584997</v>
      </c>
      <c r="E14" s="181">
        <v>576475.76</v>
      </c>
      <c r="F14" s="182">
        <v>576475.76</v>
      </c>
      <c r="G14" s="473" t="s">
        <v>238</v>
      </c>
      <c r="H14" s="473"/>
      <c r="I14" s="473"/>
    </row>
    <row r="15" spans="1:14" s="79" customFormat="1" ht="11.25" x14ac:dyDescent="0.15">
      <c r="A15" s="214" t="s">
        <v>73</v>
      </c>
      <c r="B15" s="181">
        <v>36940.769999999997</v>
      </c>
      <c r="C15" s="181">
        <v>15000</v>
      </c>
      <c r="D15" s="181">
        <v>0</v>
      </c>
      <c r="E15" s="181">
        <v>51940.77</v>
      </c>
      <c r="F15" s="182">
        <v>51940.77</v>
      </c>
      <c r="G15" s="473" t="s">
        <v>236</v>
      </c>
      <c r="H15" s="473"/>
      <c r="I15" s="473"/>
    </row>
    <row r="16" spans="1:14" s="81" customFormat="1" ht="11.25" x14ac:dyDescent="0.2">
      <c r="A16" s="216" t="s">
        <v>97</v>
      </c>
      <c r="B16" s="187">
        <v>168793.07</v>
      </c>
      <c r="C16" s="187">
        <v>111427</v>
      </c>
      <c r="D16" s="187">
        <v>123867.71</v>
      </c>
      <c r="E16" s="187">
        <v>156352.35999999999</v>
      </c>
      <c r="F16" s="459">
        <v>156352.35999999999</v>
      </c>
      <c r="G16" s="646" t="s">
        <v>107</v>
      </c>
      <c r="H16" s="646"/>
      <c r="I16" s="646"/>
    </row>
    <row r="17" spans="1:9" s="80" customFormat="1" ht="11.25" x14ac:dyDescent="0.2">
      <c r="A17" s="371" t="s">
        <v>34</v>
      </c>
      <c r="B17" s="184">
        <f>SUM(B13:B16)</f>
        <v>851942.40000000014</v>
      </c>
      <c r="C17" s="184">
        <f t="shared" ref="C17:F17" si="0">SUM(C13:C16)</f>
        <v>970895.12000000011</v>
      </c>
      <c r="D17" s="184">
        <f t="shared" si="0"/>
        <v>819699.71</v>
      </c>
      <c r="E17" s="184">
        <f t="shared" si="0"/>
        <v>1003137.81</v>
      </c>
      <c r="F17" s="184">
        <f t="shared" si="0"/>
        <v>1003137.81</v>
      </c>
      <c r="G17" s="664"/>
      <c r="H17" s="664"/>
      <c r="I17" s="664"/>
    </row>
    <row r="18" spans="1:9" s="114" customFormat="1" ht="11.25" x14ac:dyDescent="0.2">
      <c r="A18" s="112"/>
      <c r="B18" s="112"/>
      <c r="C18" s="113"/>
      <c r="D18" s="112"/>
      <c r="E18" s="112"/>
      <c r="F18" s="112"/>
      <c r="G18" s="112"/>
      <c r="H18" s="112"/>
      <c r="I18" s="112"/>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4" customHeight="1" x14ac:dyDescent="0.15">
      <c r="A33" s="486" t="s">
        <v>239</v>
      </c>
      <c r="B33" s="487"/>
      <c r="C33" s="487"/>
      <c r="D33" s="487"/>
      <c r="E33" s="487"/>
      <c r="F33" s="487"/>
      <c r="G33" s="487"/>
      <c r="H33" s="487"/>
      <c r="I33" s="488"/>
    </row>
  </sheetData>
  <mergeCells count="24">
    <mergeCell ref="A31:I31"/>
    <mergeCell ref="A33:I33"/>
    <mergeCell ref="A25:I25"/>
    <mergeCell ref="G14:I14"/>
    <mergeCell ref="G15:I15"/>
    <mergeCell ref="G16:I16"/>
    <mergeCell ref="G17:I17"/>
    <mergeCell ref="A19:I19"/>
    <mergeCell ref="A3:I3"/>
    <mergeCell ref="A21:I21"/>
    <mergeCell ref="A23:I23"/>
    <mergeCell ref="A27:I27"/>
    <mergeCell ref="A29:I29"/>
    <mergeCell ref="G12:I12"/>
    <mergeCell ref="G13:I13"/>
    <mergeCell ref="A6:B6"/>
    <mergeCell ref="D6:I6"/>
    <mergeCell ref="A5:B5"/>
    <mergeCell ref="D5:I5"/>
    <mergeCell ref="A7:B7"/>
    <mergeCell ref="D7:I7"/>
    <mergeCell ref="A8:B8"/>
    <mergeCell ref="D8:I8"/>
    <mergeCell ref="A10:I10"/>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tabSelected="1" zoomScaleNormal="100" workbookViewId="0">
      <selection activeCell="A29" sqref="A29:I29"/>
    </sheetView>
  </sheetViews>
  <sheetFormatPr defaultRowHeight="12.75" x14ac:dyDescent="0.2"/>
  <cols>
    <col min="1" max="1" width="74.75" style="71" customWidth="1"/>
    <col min="2" max="9" width="23.75" style="71" customWidth="1"/>
    <col min="12" max="12" width="15.5" bestFit="1" customWidth="1"/>
    <col min="18" max="18" width="15.5" bestFit="1" customWidth="1"/>
  </cols>
  <sheetData>
    <row r="1" spans="1:14" ht="18.75" x14ac:dyDescent="0.3">
      <c r="A1" s="72" t="s">
        <v>74</v>
      </c>
      <c r="B1" s="72"/>
      <c r="C1" s="72"/>
      <c r="D1" s="72"/>
      <c r="E1" s="72"/>
      <c r="F1" s="72"/>
      <c r="G1" s="72"/>
      <c r="H1" s="72"/>
      <c r="I1" s="72"/>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11" t="s">
        <v>25</v>
      </c>
      <c r="D5" s="472" t="s">
        <v>113</v>
      </c>
      <c r="E5" s="472"/>
      <c r="F5" s="472"/>
      <c r="G5" s="472"/>
      <c r="H5" s="472"/>
      <c r="I5" s="472"/>
    </row>
    <row r="6" spans="1:14" s="102" customFormat="1" ht="45.75" customHeight="1" x14ac:dyDescent="0.2">
      <c r="A6" s="467" t="s">
        <v>70</v>
      </c>
      <c r="B6" s="468"/>
      <c r="C6" s="180">
        <v>1068402.6399999999</v>
      </c>
      <c r="D6" s="473" t="s">
        <v>241</v>
      </c>
      <c r="E6" s="473"/>
      <c r="F6" s="473"/>
      <c r="G6" s="473"/>
      <c r="H6" s="473"/>
      <c r="I6" s="473"/>
    </row>
    <row r="7" spans="1:14" s="104" customFormat="1" ht="11.25" customHeight="1" x14ac:dyDescent="0.15">
      <c r="A7" s="467" t="s">
        <v>38</v>
      </c>
      <c r="B7" s="468"/>
      <c r="C7" s="180">
        <v>0</v>
      </c>
      <c r="D7" s="543"/>
      <c r="E7" s="544"/>
      <c r="F7" s="544"/>
      <c r="G7" s="544"/>
      <c r="H7" s="544"/>
      <c r="I7" s="545"/>
    </row>
    <row r="8" spans="1:14" s="104" customFormat="1" ht="10.5" x14ac:dyDescent="0.15">
      <c r="A8" s="467" t="s">
        <v>71</v>
      </c>
      <c r="B8" s="468"/>
      <c r="C8" s="180">
        <v>1603271</v>
      </c>
      <c r="D8" s="546"/>
      <c r="E8" s="547"/>
      <c r="F8" s="547"/>
      <c r="G8" s="547"/>
      <c r="H8" s="547"/>
      <c r="I8" s="548"/>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34.5" customHeight="1" x14ac:dyDescent="0.2">
      <c r="A13" s="205" t="s">
        <v>72</v>
      </c>
      <c r="B13" s="185">
        <v>55360.74</v>
      </c>
      <c r="C13" s="185">
        <v>161158.10999999999</v>
      </c>
      <c r="D13" s="185">
        <v>20160</v>
      </c>
      <c r="E13" s="185">
        <v>196358.85</v>
      </c>
      <c r="F13" s="203">
        <v>196358.85</v>
      </c>
      <c r="G13" s="476" t="s">
        <v>201</v>
      </c>
      <c r="H13" s="549"/>
      <c r="I13" s="550"/>
    </row>
    <row r="14" spans="1:14" s="102" customFormat="1" ht="23.25" customHeight="1" x14ac:dyDescent="0.2">
      <c r="A14" s="207" t="s">
        <v>106</v>
      </c>
      <c r="B14" s="181">
        <v>55442.25</v>
      </c>
      <c r="C14" s="181">
        <v>251090</v>
      </c>
      <c r="D14" s="181">
        <v>220305</v>
      </c>
      <c r="E14" s="181">
        <v>86227.25</v>
      </c>
      <c r="F14" s="204">
        <v>86227.25</v>
      </c>
      <c r="G14" s="482" t="s">
        <v>198</v>
      </c>
      <c r="H14" s="551"/>
      <c r="I14" s="552"/>
      <c r="N14" s="109"/>
    </row>
    <row r="15" spans="1:14" s="102" customFormat="1" ht="23.25" customHeight="1" x14ac:dyDescent="0.2">
      <c r="A15" s="207" t="s">
        <v>73</v>
      </c>
      <c r="B15" s="181">
        <v>42245.49</v>
      </c>
      <c r="C15" s="181">
        <v>0</v>
      </c>
      <c r="D15" s="181">
        <v>0</v>
      </c>
      <c r="E15" s="181">
        <v>42245.49</v>
      </c>
      <c r="F15" s="204">
        <v>42245.49</v>
      </c>
      <c r="G15" s="482" t="s">
        <v>199</v>
      </c>
      <c r="H15" s="551"/>
      <c r="I15" s="552"/>
    </row>
    <row r="16" spans="1:14" s="102" customFormat="1" ht="11.25" customHeight="1" x14ac:dyDescent="0.2">
      <c r="A16" s="209" t="s">
        <v>97</v>
      </c>
      <c r="B16" s="187">
        <v>60695.02</v>
      </c>
      <c r="C16" s="187">
        <v>47013.4</v>
      </c>
      <c r="D16" s="187">
        <v>16200</v>
      </c>
      <c r="E16" s="187">
        <v>91508.42</v>
      </c>
      <c r="F16" s="410">
        <v>91508.42</v>
      </c>
      <c r="G16" s="483" t="s">
        <v>200</v>
      </c>
      <c r="H16" s="553"/>
      <c r="I16" s="554"/>
    </row>
    <row r="17" spans="1:9" s="102" customFormat="1" ht="11.25" x14ac:dyDescent="0.2">
      <c r="A17" s="371" t="s">
        <v>34</v>
      </c>
      <c r="B17" s="184">
        <f>SUM(B13:B16)</f>
        <v>213743.49999999997</v>
      </c>
      <c r="C17" s="184">
        <f t="shared" ref="C17:F17" si="0">SUM(C13:C16)</f>
        <v>459261.51</v>
      </c>
      <c r="D17" s="184">
        <f t="shared" si="0"/>
        <v>256665</v>
      </c>
      <c r="E17" s="184">
        <f t="shared" si="0"/>
        <v>416340.00999999995</v>
      </c>
      <c r="F17" s="184">
        <f t="shared" si="0"/>
        <v>416340.00999999995</v>
      </c>
      <c r="G17" s="466"/>
      <c r="H17" s="466"/>
      <c r="I17" s="466"/>
    </row>
    <row r="18" spans="1:9" s="112" customFormat="1" ht="11.25" x14ac:dyDescent="0.2">
      <c r="C18" s="113"/>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254</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48" customHeight="1" x14ac:dyDescent="0.15">
      <c r="A33" s="486" t="s">
        <v>246</v>
      </c>
      <c r="B33" s="487"/>
      <c r="C33" s="487"/>
      <c r="D33" s="487"/>
      <c r="E33" s="487"/>
      <c r="F33" s="487"/>
      <c r="G33" s="487"/>
      <c r="H33" s="487"/>
      <c r="I33" s="488"/>
    </row>
  </sheetData>
  <mergeCells count="23">
    <mergeCell ref="A33:I33"/>
    <mergeCell ref="A25:I25"/>
    <mergeCell ref="A31:I31"/>
    <mergeCell ref="A23:I23"/>
    <mergeCell ref="A27:I27"/>
    <mergeCell ref="A29:I29"/>
    <mergeCell ref="A21:I21"/>
    <mergeCell ref="G13:I13"/>
    <mergeCell ref="G14:I14"/>
    <mergeCell ref="G15:I15"/>
    <mergeCell ref="G16:I16"/>
    <mergeCell ref="G17:I17"/>
    <mergeCell ref="A19:I19"/>
    <mergeCell ref="A7:B7"/>
    <mergeCell ref="A8:B8"/>
    <mergeCell ref="A10:I10"/>
    <mergeCell ref="G12:I12"/>
    <mergeCell ref="D7:I8"/>
    <mergeCell ref="A3:I3"/>
    <mergeCell ref="D5:I5"/>
    <mergeCell ref="D6:I6"/>
    <mergeCell ref="A5:B5"/>
    <mergeCell ref="A6:B6"/>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529" t="s">
        <v>87</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30017550</v>
      </c>
      <c r="F6" s="29">
        <f>SUM(F7:F9)</f>
        <v>30017550</v>
      </c>
      <c r="G6" s="29">
        <f>SUM(G7:G9)</f>
        <v>19565803</v>
      </c>
      <c r="H6" s="24">
        <f t="shared" ref="H6:H36" si="0">G6/F6*100</f>
        <v>65.18121232412372</v>
      </c>
      <c r="I6" s="29">
        <f>SUM(I7:I9)</f>
        <v>15164430</v>
      </c>
      <c r="J6" s="29">
        <f>SUM(J7:J9)</f>
        <v>5257550</v>
      </c>
      <c r="K6" s="29">
        <f t="shared" ref="K6:X6" si="1">SUM(K7:K9)</f>
        <v>5257550</v>
      </c>
      <c r="L6" s="29">
        <f t="shared" si="1"/>
        <v>3006103</v>
      </c>
      <c r="M6" s="24">
        <f t="shared" ref="M6:M33" si="2">L6/K6*100</f>
        <v>57.176878964536712</v>
      </c>
      <c r="N6" s="30">
        <f t="shared" si="1"/>
        <v>3157436</v>
      </c>
      <c r="O6" s="29">
        <f t="shared" si="1"/>
        <v>24760000</v>
      </c>
      <c r="P6" s="29">
        <f t="shared" si="1"/>
        <v>24760000</v>
      </c>
      <c r="Q6" s="29">
        <f t="shared" si="1"/>
        <v>16559700</v>
      </c>
      <c r="R6" s="24">
        <f t="shared" ref="R6:R33" si="3">Q6/P6*100</f>
        <v>66.880856219709202</v>
      </c>
      <c r="S6" s="29">
        <f t="shared" si="1"/>
        <v>12006994</v>
      </c>
      <c r="T6" s="29">
        <f t="shared" si="1"/>
        <v>85184</v>
      </c>
      <c r="U6" s="29">
        <f t="shared" si="1"/>
        <v>85184</v>
      </c>
      <c r="V6" s="29">
        <f t="shared" si="1"/>
        <v>67957</v>
      </c>
      <c r="W6" s="24">
        <f t="shared" ref="W6:W33" si="4">V6/U6*100</f>
        <v>79.776718632607057</v>
      </c>
      <c r="X6" s="29">
        <f t="shared" si="1"/>
        <v>65184</v>
      </c>
    </row>
    <row r="7" spans="1:24" s="6" customFormat="1" ht="9.9499999999999993" customHeight="1" x14ac:dyDescent="0.2">
      <c r="A7" s="130" t="s">
        <v>2</v>
      </c>
      <c r="B7" s="522" t="s">
        <v>45</v>
      </c>
      <c r="C7" s="523"/>
      <c r="D7" s="131" t="s">
        <v>25</v>
      </c>
      <c r="E7" s="32">
        <f t="shared" ref="E7:G10" si="5">SUM(J7,O7)</f>
        <v>3601000</v>
      </c>
      <c r="F7" s="33">
        <f t="shared" si="5"/>
        <v>3601000</v>
      </c>
      <c r="G7" s="33">
        <f t="shared" si="5"/>
        <v>2179426</v>
      </c>
      <c r="H7" s="9">
        <f t="shared" si="0"/>
        <v>60.522799222438209</v>
      </c>
      <c r="I7" s="34">
        <f>SUM(N7,S7)</f>
        <v>2234275</v>
      </c>
      <c r="J7" s="262">
        <v>3601000</v>
      </c>
      <c r="K7" s="35">
        <v>3601000</v>
      </c>
      <c r="L7" s="35">
        <v>2179426</v>
      </c>
      <c r="M7" s="9">
        <f t="shared" si="2"/>
        <v>60.522799222438209</v>
      </c>
      <c r="N7" s="302">
        <v>2234275</v>
      </c>
      <c r="O7" s="263"/>
      <c r="P7" s="35"/>
      <c r="Q7" s="35"/>
      <c r="R7" s="9" t="e">
        <f t="shared" si="3"/>
        <v>#DIV/0!</v>
      </c>
      <c r="S7" s="302"/>
      <c r="T7" s="263">
        <v>85184</v>
      </c>
      <c r="U7" s="35">
        <v>85184</v>
      </c>
      <c r="V7" s="35">
        <v>67957</v>
      </c>
      <c r="W7" s="9">
        <f t="shared" si="4"/>
        <v>79.776718632607057</v>
      </c>
      <c r="X7" s="65">
        <v>65184</v>
      </c>
    </row>
    <row r="8" spans="1:24" s="6" customFormat="1" ht="9.9499999999999993" customHeight="1" x14ac:dyDescent="0.2">
      <c r="A8" s="132" t="s">
        <v>3</v>
      </c>
      <c r="B8" s="524" t="s">
        <v>46</v>
      </c>
      <c r="C8" s="525"/>
      <c r="D8" s="133" t="s">
        <v>25</v>
      </c>
      <c r="E8" s="38">
        <f t="shared" si="5"/>
        <v>5000</v>
      </c>
      <c r="F8" s="39">
        <f t="shared" si="5"/>
        <v>5000</v>
      </c>
      <c r="G8" s="39">
        <f t="shared" si="5"/>
        <v>901</v>
      </c>
      <c r="H8" s="10">
        <f t="shared" si="0"/>
        <v>18.02</v>
      </c>
      <c r="I8" s="40">
        <f>SUM(N8,S8)</f>
        <v>1546</v>
      </c>
      <c r="J8" s="243">
        <v>5000</v>
      </c>
      <c r="K8" s="218">
        <v>5000</v>
      </c>
      <c r="L8" s="218">
        <v>901</v>
      </c>
      <c r="M8" s="219">
        <f t="shared" si="2"/>
        <v>18.02</v>
      </c>
      <c r="N8" s="229">
        <v>1546</v>
      </c>
      <c r="O8" s="217"/>
      <c r="P8" s="218"/>
      <c r="Q8" s="218"/>
      <c r="R8" s="219" t="e">
        <f t="shared" si="3"/>
        <v>#DIV/0!</v>
      </c>
      <c r="S8" s="229"/>
      <c r="T8" s="217"/>
      <c r="U8" s="218"/>
      <c r="V8" s="218"/>
      <c r="W8" s="219" t="e">
        <f t="shared" si="4"/>
        <v>#DIV/0!</v>
      </c>
      <c r="X8" s="220"/>
    </row>
    <row r="9" spans="1:24" s="6" customFormat="1" ht="9.9499999999999993" customHeight="1" x14ac:dyDescent="0.2">
      <c r="A9" s="232" t="s">
        <v>4</v>
      </c>
      <c r="B9" s="233" t="s">
        <v>60</v>
      </c>
      <c r="C9" s="234"/>
      <c r="D9" s="235" t="s">
        <v>25</v>
      </c>
      <c r="E9" s="42">
        <f t="shared" si="5"/>
        <v>26411550</v>
      </c>
      <c r="F9" s="43">
        <f t="shared" si="5"/>
        <v>26411550</v>
      </c>
      <c r="G9" s="43">
        <f t="shared" si="5"/>
        <v>17385476</v>
      </c>
      <c r="H9" s="26">
        <f t="shared" si="0"/>
        <v>65.825277198801274</v>
      </c>
      <c r="I9" s="44">
        <f>SUM(N9,S9)</f>
        <v>12928609</v>
      </c>
      <c r="J9" s="244">
        <v>1651550</v>
      </c>
      <c r="K9" s="264">
        <v>1651550</v>
      </c>
      <c r="L9" s="264">
        <v>825776</v>
      </c>
      <c r="M9" s="265">
        <f t="shared" si="2"/>
        <v>50.000060549181072</v>
      </c>
      <c r="N9" s="230">
        <v>921615</v>
      </c>
      <c r="O9" s="221">
        <v>24760000</v>
      </c>
      <c r="P9" s="264">
        <v>24760000</v>
      </c>
      <c r="Q9" s="264">
        <v>16559700</v>
      </c>
      <c r="R9" s="265">
        <f t="shared" si="3"/>
        <v>66.880856219709202</v>
      </c>
      <c r="S9" s="230">
        <v>12006994</v>
      </c>
      <c r="T9" s="221"/>
      <c r="U9" s="264"/>
      <c r="V9" s="264"/>
      <c r="W9" s="265" t="e">
        <f t="shared" si="4"/>
        <v>#DIV/0!</v>
      </c>
      <c r="X9" s="222"/>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9.9499999999999993" customHeight="1" x14ac:dyDescent="0.2">
      <c r="A11" s="134" t="s">
        <v>6</v>
      </c>
      <c r="B11" s="526" t="s">
        <v>9</v>
      </c>
      <c r="C11" s="527"/>
      <c r="D11" s="20" t="s">
        <v>25</v>
      </c>
      <c r="E11" s="29">
        <f>SUM(E12:E31)</f>
        <v>30017550</v>
      </c>
      <c r="F11" s="29">
        <f>SUM(F12:F31)</f>
        <v>30017550</v>
      </c>
      <c r="G11" s="29">
        <f>SUM(G12:G32)</f>
        <v>14485843</v>
      </c>
      <c r="H11" s="24">
        <f t="shared" si="0"/>
        <v>48.257912454547423</v>
      </c>
      <c r="I11" s="30">
        <f>SUM(I12:I31)</f>
        <v>13984401</v>
      </c>
      <c r="J11" s="29">
        <f>SUM(J12:J31)</f>
        <v>5257550</v>
      </c>
      <c r="K11" s="29">
        <f>SUM(K12:K31)</f>
        <v>5257550</v>
      </c>
      <c r="L11" s="29">
        <f>SUM(L12:L31)</f>
        <v>2438839</v>
      </c>
      <c r="M11" s="24">
        <f t="shared" si="2"/>
        <v>46.387366739260685</v>
      </c>
      <c r="N11" s="30">
        <f>SUM(N12:N31)</f>
        <v>2508854</v>
      </c>
      <c r="O11" s="29">
        <f>SUM(O12:O31)</f>
        <v>24760000</v>
      </c>
      <c r="P11" s="29">
        <f>SUM(P12:P31)</f>
        <v>24760000</v>
      </c>
      <c r="Q11" s="29">
        <f>SUM(Q12:Q31)</f>
        <v>12047004</v>
      </c>
      <c r="R11" s="24">
        <f t="shared" si="3"/>
        <v>48.655105008077541</v>
      </c>
      <c r="S11" s="30">
        <f>SUM(S12:S31)</f>
        <v>11475547</v>
      </c>
      <c r="T11" s="29">
        <f>SUM(T12:T31)</f>
        <v>33400</v>
      </c>
      <c r="U11" s="29">
        <f>SUM(U12:U31)</f>
        <v>33400</v>
      </c>
      <c r="V11" s="29">
        <f>SUM(V12:V31)</f>
        <v>420</v>
      </c>
      <c r="W11" s="24">
        <f t="shared" si="4"/>
        <v>1.2574850299401197</v>
      </c>
      <c r="X11" s="29">
        <f>SUM(X12:X31)</f>
        <v>70</v>
      </c>
    </row>
    <row r="12" spans="1:24" s="6" customFormat="1" ht="9.9499999999999993" customHeight="1" x14ac:dyDescent="0.2">
      <c r="A12" s="130" t="s">
        <v>8</v>
      </c>
      <c r="B12" s="528" t="s">
        <v>28</v>
      </c>
      <c r="C12" s="528"/>
      <c r="D12" s="131" t="s">
        <v>25</v>
      </c>
      <c r="E12" s="32">
        <f t="shared" ref="E12:I29" si="6">SUM(J12,O12)</f>
        <v>1012270</v>
      </c>
      <c r="F12" s="33">
        <f t="shared" si="6"/>
        <v>982270</v>
      </c>
      <c r="G12" s="33">
        <f t="shared" si="6"/>
        <v>437771</v>
      </c>
      <c r="H12" s="9">
        <f t="shared" si="0"/>
        <v>44.567277836032865</v>
      </c>
      <c r="I12" s="34">
        <f t="shared" si="6"/>
        <v>473733</v>
      </c>
      <c r="J12" s="266">
        <v>1012270</v>
      </c>
      <c r="K12" s="48">
        <v>982270</v>
      </c>
      <c r="L12" s="48">
        <v>437771</v>
      </c>
      <c r="M12" s="9">
        <f t="shared" si="2"/>
        <v>44.567277836032865</v>
      </c>
      <c r="N12" s="303">
        <v>473733</v>
      </c>
      <c r="O12" s="267"/>
      <c r="P12" s="48"/>
      <c r="Q12" s="48"/>
      <c r="R12" s="9" t="e">
        <f t="shared" si="3"/>
        <v>#DIV/0!</v>
      </c>
      <c r="S12" s="304"/>
      <c r="T12" s="267">
        <v>2000</v>
      </c>
      <c r="U12" s="48">
        <v>2000</v>
      </c>
      <c r="V12" s="48"/>
      <c r="W12" s="9">
        <f t="shared" si="4"/>
        <v>0</v>
      </c>
      <c r="X12" s="52"/>
    </row>
    <row r="13" spans="1:24" s="6" customFormat="1" ht="9.9499999999999993" customHeight="1" x14ac:dyDescent="0.2">
      <c r="A13" s="135" t="s">
        <v>10</v>
      </c>
      <c r="B13" s="508" t="s">
        <v>29</v>
      </c>
      <c r="C13" s="508"/>
      <c r="D13" s="133" t="s">
        <v>25</v>
      </c>
      <c r="E13" s="38">
        <f t="shared" si="6"/>
        <v>1020000</v>
      </c>
      <c r="F13" s="39">
        <f t="shared" si="6"/>
        <v>1020000</v>
      </c>
      <c r="G13" s="39">
        <f t="shared" si="6"/>
        <v>491745</v>
      </c>
      <c r="H13" s="10">
        <f t="shared" si="0"/>
        <v>48.210294117647059</v>
      </c>
      <c r="I13" s="40">
        <f t="shared" si="6"/>
        <v>493242</v>
      </c>
      <c r="J13" s="240">
        <v>1020000</v>
      </c>
      <c r="K13" s="218">
        <v>1020000</v>
      </c>
      <c r="L13" s="218">
        <v>491745</v>
      </c>
      <c r="M13" s="219">
        <f t="shared" si="2"/>
        <v>48.210294117647059</v>
      </c>
      <c r="N13" s="229">
        <v>493242</v>
      </c>
      <c r="O13" s="217"/>
      <c r="P13" s="218"/>
      <c r="Q13" s="218"/>
      <c r="R13" s="219" t="e">
        <f t="shared" si="3"/>
        <v>#DIV/0!</v>
      </c>
      <c r="S13" s="229"/>
      <c r="T13" s="217">
        <v>19000</v>
      </c>
      <c r="U13" s="218">
        <v>19000</v>
      </c>
      <c r="V13" s="218"/>
      <c r="W13" s="219">
        <f t="shared" si="4"/>
        <v>0</v>
      </c>
      <c r="X13" s="220"/>
    </row>
    <row r="14" spans="1:24" s="6" customFormat="1" ht="9.9499999999999993" customHeight="1" x14ac:dyDescent="0.2">
      <c r="A14" s="135" t="s">
        <v>11</v>
      </c>
      <c r="B14" s="236" t="s">
        <v>61</v>
      </c>
      <c r="C14" s="237"/>
      <c r="D14" s="133" t="s">
        <v>25</v>
      </c>
      <c r="E14" s="38">
        <f t="shared" si="6"/>
        <v>0</v>
      </c>
      <c r="F14" s="39">
        <f t="shared" si="6"/>
        <v>0</v>
      </c>
      <c r="G14" s="39">
        <f t="shared" si="6"/>
        <v>0</v>
      </c>
      <c r="H14" s="10" t="e">
        <f t="shared" si="0"/>
        <v>#DIV/0!</v>
      </c>
      <c r="I14" s="40">
        <f t="shared" si="6"/>
        <v>0</v>
      </c>
      <c r="J14" s="240"/>
      <c r="K14" s="218"/>
      <c r="L14" s="218"/>
      <c r="M14" s="219" t="e">
        <f t="shared" si="2"/>
        <v>#DIV/0!</v>
      </c>
      <c r="N14" s="229"/>
      <c r="O14" s="217"/>
      <c r="P14" s="218"/>
      <c r="Q14" s="218"/>
      <c r="R14" s="219" t="e">
        <f t="shared" si="3"/>
        <v>#DIV/0!</v>
      </c>
      <c r="S14" s="229"/>
      <c r="T14" s="217"/>
      <c r="U14" s="218"/>
      <c r="V14" s="218"/>
      <c r="W14" s="219" t="e">
        <f t="shared" si="4"/>
        <v>#DIV/0!</v>
      </c>
      <c r="X14" s="220"/>
    </row>
    <row r="15" spans="1:24" s="6" customFormat="1" ht="9.9499999999999993" customHeight="1" x14ac:dyDescent="0.2">
      <c r="A15" s="135" t="s">
        <v>12</v>
      </c>
      <c r="B15" s="511" t="s">
        <v>109</v>
      </c>
      <c r="C15" s="512"/>
      <c r="D15" s="133" t="s">
        <v>25</v>
      </c>
      <c r="E15" s="38">
        <f t="shared" si="6"/>
        <v>400254</v>
      </c>
      <c r="F15" s="39">
        <f t="shared" si="6"/>
        <v>400254</v>
      </c>
      <c r="G15" s="39">
        <f t="shared" si="6"/>
        <v>71935</v>
      </c>
      <c r="H15" s="10">
        <f t="shared" si="0"/>
        <v>17.972337565645816</v>
      </c>
      <c r="I15" s="40">
        <f t="shared" si="6"/>
        <v>77768</v>
      </c>
      <c r="J15" s="240">
        <v>400254</v>
      </c>
      <c r="K15" s="218">
        <v>400254</v>
      </c>
      <c r="L15" s="218">
        <v>71935</v>
      </c>
      <c r="M15" s="219">
        <f t="shared" si="2"/>
        <v>17.972337565645816</v>
      </c>
      <c r="N15" s="229">
        <v>77768</v>
      </c>
      <c r="O15" s="217"/>
      <c r="P15" s="218"/>
      <c r="Q15" s="218"/>
      <c r="R15" s="219" t="e">
        <f t="shared" si="3"/>
        <v>#DIV/0!</v>
      </c>
      <c r="S15" s="229"/>
      <c r="T15" s="217">
        <v>10000</v>
      </c>
      <c r="U15" s="218">
        <v>10000</v>
      </c>
      <c r="V15" s="218"/>
      <c r="W15" s="219">
        <f t="shared" si="4"/>
        <v>0</v>
      </c>
      <c r="X15" s="220"/>
    </row>
    <row r="16" spans="1:24" s="6" customFormat="1" ht="9.9499999999999993" customHeight="1" x14ac:dyDescent="0.2">
      <c r="A16" s="135" t="s">
        <v>13</v>
      </c>
      <c r="B16" s="511" t="s">
        <v>30</v>
      </c>
      <c r="C16" s="512"/>
      <c r="D16" s="133" t="s">
        <v>25</v>
      </c>
      <c r="E16" s="38">
        <f t="shared" si="6"/>
        <v>35000</v>
      </c>
      <c r="F16" s="39">
        <f t="shared" si="6"/>
        <v>35000</v>
      </c>
      <c r="G16" s="39">
        <f t="shared" si="6"/>
        <v>10402</v>
      </c>
      <c r="H16" s="10">
        <f t="shared" si="0"/>
        <v>29.720000000000002</v>
      </c>
      <c r="I16" s="40">
        <f t="shared" si="6"/>
        <v>10401</v>
      </c>
      <c r="J16" s="240">
        <v>35000</v>
      </c>
      <c r="K16" s="218">
        <v>35000</v>
      </c>
      <c r="L16" s="218">
        <v>10402</v>
      </c>
      <c r="M16" s="219">
        <f t="shared" si="2"/>
        <v>29.720000000000002</v>
      </c>
      <c r="N16" s="229">
        <v>10401</v>
      </c>
      <c r="O16" s="217"/>
      <c r="P16" s="218"/>
      <c r="Q16" s="218"/>
      <c r="R16" s="219" t="e">
        <f t="shared" si="3"/>
        <v>#DIV/0!</v>
      </c>
      <c r="S16" s="229"/>
      <c r="T16" s="217"/>
      <c r="U16" s="218"/>
      <c r="V16" s="218"/>
      <c r="W16" s="219" t="e">
        <f t="shared" si="4"/>
        <v>#DIV/0!</v>
      </c>
      <c r="X16" s="220"/>
    </row>
    <row r="17" spans="1:24" s="6" customFormat="1" ht="9.9499999999999993" customHeight="1" x14ac:dyDescent="0.2">
      <c r="A17" s="135" t="s">
        <v>14</v>
      </c>
      <c r="B17" s="236" t="s">
        <v>47</v>
      </c>
      <c r="C17" s="237"/>
      <c r="D17" s="133" t="s">
        <v>25</v>
      </c>
      <c r="E17" s="38">
        <f t="shared" si="6"/>
        <v>25000</v>
      </c>
      <c r="F17" s="39">
        <f t="shared" si="6"/>
        <v>25000</v>
      </c>
      <c r="G17" s="39">
        <f t="shared" si="6"/>
        <v>20162</v>
      </c>
      <c r="H17" s="10">
        <f t="shared" si="0"/>
        <v>80.647999999999996</v>
      </c>
      <c r="I17" s="40">
        <f t="shared" si="6"/>
        <v>15745</v>
      </c>
      <c r="J17" s="240">
        <v>25000</v>
      </c>
      <c r="K17" s="218">
        <v>25000</v>
      </c>
      <c r="L17" s="218">
        <v>20162</v>
      </c>
      <c r="M17" s="219">
        <f t="shared" si="2"/>
        <v>80.647999999999996</v>
      </c>
      <c r="N17" s="229">
        <v>15745</v>
      </c>
      <c r="O17" s="217"/>
      <c r="P17" s="218"/>
      <c r="Q17" s="218"/>
      <c r="R17" s="219" t="e">
        <f t="shared" si="3"/>
        <v>#DIV/0!</v>
      </c>
      <c r="S17" s="229"/>
      <c r="T17" s="217"/>
      <c r="U17" s="218"/>
      <c r="V17" s="218"/>
      <c r="W17" s="219" t="e">
        <f t="shared" si="4"/>
        <v>#DIV/0!</v>
      </c>
      <c r="X17" s="220"/>
    </row>
    <row r="18" spans="1:24" s="6" customFormat="1" ht="9.9499999999999993" customHeight="1" x14ac:dyDescent="0.2">
      <c r="A18" s="135" t="s">
        <v>15</v>
      </c>
      <c r="B18" s="511" t="s">
        <v>31</v>
      </c>
      <c r="C18" s="512"/>
      <c r="D18" s="133" t="s">
        <v>25</v>
      </c>
      <c r="E18" s="38">
        <f t="shared" si="6"/>
        <v>1020000</v>
      </c>
      <c r="F18" s="39">
        <f t="shared" si="6"/>
        <v>982609</v>
      </c>
      <c r="G18" s="39">
        <f t="shared" si="6"/>
        <v>491128</v>
      </c>
      <c r="H18" s="10">
        <f t="shared" si="0"/>
        <v>49.982037616183042</v>
      </c>
      <c r="I18" s="40">
        <f t="shared" si="6"/>
        <v>491763</v>
      </c>
      <c r="J18" s="240">
        <v>1020000</v>
      </c>
      <c r="K18" s="218">
        <v>982609</v>
      </c>
      <c r="L18" s="218">
        <v>491128</v>
      </c>
      <c r="M18" s="219">
        <f t="shared" si="2"/>
        <v>49.982037616183042</v>
      </c>
      <c r="N18" s="229">
        <v>491763</v>
      </c>
      <c r="O18" s="217"/>
      <c r="P18" s="218"/>
      <c r="Q18" s="218"/>
      <c r="R18" s="219" t="e">
        <f t="shared" si="3"/>
        <v>#DIV/0!</v>
      </c>
      <c r="S18" s="229"/>
      <c r="T18" s="217">
        <v>2400</v>
      </c>
      <c r="U18" s="218">
        <v>2400</v>
      </c>
      <c r="V18" s="218">
        <v>420</v>
      </c>
      <c r="W18" s="219">
        <f t="shared" si="4"/>
        <v>17.5</v>
      </c>
      <c r="X18" s="220">
        <v>70</v>
      </c>
    </row>
    <row r="19" spans="1:24" s="11" customFormat="1" ht="9.9499999999999993" customHeight="1" x14ac:dyDescent="0.2">
      <c r="A19" s="135" t="s">
        <v>16</v>
      </c>
      <c r="B19" s="508" t="s">
        <v>32</v>
      </c>
      <c r="C19" s="508"/>
      <c r="D19" s="133" t="s">
        <v>25</v>
      </c>
      <c r="E19" s="38">
        <f t="shared" si="6"/>
        <v>18196000</v>
      </c>
      <c r="F19" s="39">
        <f t="shared" si="6"/>
        <v>18196000</v>
      </c>
      <c r="G19" s="39">
        <f t="shared" si="6"/>
        <v>8908940</v>
      </c>
      <c r="H19" s="10">
        <f t="shared" si="0"/>
        <v>48.960980435260495</v>
      </c>
      <c r="I19" s="40">
        <f t="shared" si="6"/>
        <v>8519340</v>
      </c>
      <c r="J19" s="241"/>
      <c r="K19" s="218"/>
      <c r="L19" s="218"/>
      <c r="M19" s="219" t="e">
        <f t="shared" si="2"/>
        <v>#DIV/0!</v>
      </c>
      <c r="N19" s="229"/>
      <c r="O19" s="217">
        <v>18196000</v>
      </c>
      <c r="P19" s="218">
        <v>18196000</v>
      </c>
      <c r="Q19" s="218">
        <v>8908940</v>
      </c>
      <c r="R19" s="219">
        <f t="shared" si="3"/>
        <v>48.960980435260495</v>
      </c>
      <c r="S19" s="229">
        <v>8519340</v>
      </c>
      <c r="T19" s="268"/>
      <c r="U19" s="269"/>
      <c r="V19" s="269"/>
      <c r="W19" s="219" t="e">
        <f t="shared" si="4"/>
        <v>#DIV/0!</v>
      </c>
      <c r="X19" s="270"/>
    </row>
    <row r="20" spans="1:24" s="6" customFormat="1" ht="9.9499999999999993" customHeight="1" x14ac:dyDescent="0.2">
      <c r="A20" s="135" t="s">
        <v>17</v>
      </c>
      <c r="B20" s="508" t="s">
        <v>48</v>
      </c>
      <c r="C20" s="508"/>
      <c r="D20" s="133" t="s">
        <v>25</v>
      </c>
      <c r="E20" s="38">
        <f t="shared" si="6"/>
        <v>6292410</v>
      </c>
      <c r="F20" s="39">
        <f t="shared" si="6"/>
        <v>6292410</v>
      </c>
      <c r="G20" s="39">
        <f t="shared" si="6"/>
        <v>3005480</v>
      </c>
      <c r="H20" s="10">
        <f t="shared" si="0"/>
        <v>47.763575482207933</v>
      </c>
      <c r="I20" s="40">
        <f t="shared" si="6"/>
        <v>2886341</v>
      </c>
      <c r="J20" s="240"/>
      <c r="K20" s="218"/>
      <c r="L20" s="218"/>
      <c r="M20" s="219" t="e">
        <f t="shared" si="2"/>
        <v>#DIV/0!</v>
      </c>
      <c r="N20" s="229"/>
      <c r="O20" s="217">
        <v>6292410</v>
      </c>
      <c r="P20" s="218">
        <v>6292410</v>
      </c>
      <c r="Q20" s="218">
        <v>3005480</v>
      </c>
      <c r="R20" s="219">
        <f t="shared" si="3"/>
        <v>47.763575482207933</v>
      </c>
      <c r="S20" s="229">
        <v>2886341</v>
      </c>
      <c r="T20" s="217"/>
      <c r="U20" s="218"/>
      <c r="V20" s="218"/>
      <c r="W20" s="219" t="e">
        <f t="shared" si="4"/>
        <v>#DIV/0!</v>
      </c>
      <c r="X20" s="220"/>
    </row>
    <row r="21" spans="1:24" s="6" customFormat="1" ht="9.9499999999999993" customHeight="1" x14ac:dyDescent="0.2">
      <c r="A21" s="135" t="s">
        <v>18</v>
      </c>
      <c r="B21" s="508" t="s">
        <v>49</v>
      </c>
      <c r="C21" s="508"/>
      <c r="D21" s="133" t="s">
        <v>25</v>
      </c>
      <c r="E21" s="38">
        <f t="shared" si="6"/>
        <v>291590</v>
      </c>
      <c r="F21" s="39">
        <f t="shared" si="6"/>
        <v>291590</v>
      </c>
      <c r="G21" s="39">
        <f t="shared" si="6"/>
        <v>134434</v>
      </c>
      <c r="H21" s="10">
        <f t="shared" si="0"/>
        <v>46.10377584965191</v>
      </c>
      <c r="I21" s="40">
        <f t="shared" si="6"/>
        <v>71760</v>
      </c>
      <c r="J21" s="240">
        <v>20000</v>
      </c>
      <c r="K21" s="218">
        <v>20000</v>
      </c>
      <c r="L21" s="218">
        <v>1850</v>
      </c>
      <c r="M21" s="219">
        <f t="shared" si="2"/>
        <v>9.25</v>
      </c>
      <c r="N21" s="229">
        <v>1894</v>
      </c>
      <c r="O21" s="217">
        <v>271590</v>
      </c>
      <c r="P21" s="218">
        <v>271590</v>
      </c>
      <c r="Q21" s="218">
        <v>132584</v>
      </c>
      <c r="R21" s="219">
        <f t="shared" si="3"/>
        <v>48.817703155491735</v>
      </c>
      <c r="S21" s="229">
        <v>69866</v>
      </c>
      <c r="T21" s="217"/>
      <c r="U21" s="218"/>
      <c r="V21" s="218"/>
      <c r="W21" s="219" t="e">
        <f t="shared" si="4"/>
        <v>#DIV/0!</v>
      </c>
      <c r="X21" s="220"/>
    </row>
    <row r="22" spans="1:24" s="6" customFormat="1" ht="9.9499999999999993" customHeight="1" x14ac:dyDescent="0.2">
      <c r="A22" s="135" t="s">
        <v>19</v>
      </c>
      <c r="B22" s="508" t="s">
        <v>62</v>
      </c>
      <c r="C22" s="508"/>
      <c r="D22" s="133" t="s">
        <v>25</v>
      </c>
      <c r="E22" s="38">
        <f t="shared" si="6"/>
        <v>0</v>
      </c>
      <c r="F22" s="39">
        <f t="shared" si="6"/>
        <v>0</v>
      </c>
      <c r="G22" s="39">
        <f t="shared" si="6"/>
        <v>0</v>
      </c>
      <c r="H22" s="10" t="e">
        <f t="shared" si="0"/>
        <v>#DIV/0!</v>
      </c>
      <c r="I22" s="40">
        <f t="shared" si="6"/>
        <v>0</v>
      </c>
      <c r="J22" s="240"/>
      <c r="K22" s="218"/>
      <c r="L22" s="218"/>
      <c r="M22" s="219" t="e">
        <f t="shared" si="2"/>
        <v>#DIV/0!</v>
      </c>
      <c r="N22" s="229"/>
      <c r="O22" s="217"/>
      <c r="P22" s="218"/>
      <c r="Q22" s="218"/>
      <c r="R22" s="219" t="e">
        <f t="shared" si="3"/>
        <v>#DIV/0!</v>
      </c>
      <c r="S22" s="229"/>
      <c r="T22" s="217"/>
      <c r="U22" s="218"/>
      <c r="V22" s="218"/>
      <c r="W22" s="219" t="e">
        <f t="shared" si="4"/>
        <v>#DIV/0!</v>
      </c>
      <c r="X22" s="220"/>
    </row>
    <row r="23" spans="1:24" s="6" customFormat="1" ht="9.9499999999999993" customHeight="1" x14ac:dyDescent="0.2">
      <c r="A23" s="135" t="s">
        <v>20</v>
      </c>
      <c r="B23" s="223" t="s">
        <v>101</v>
      </c>
      <c r="C23" s="223"/>
      <c r="D23" s="133" t="s">
        <v>25</v>
      </c>
      <c r="E23" s="38">
        <f t="shared" si="6"/>
        <v>0</v>
      </c>
      <c r="F23" s="39">
        <f t="shared" si="6"/>
        <v>0</v>
      </c>
      <c r="G23" s="39">
        <f t="shared" si="6"/>
        <v>0</v>
      </c>
      <c r="H23" s="10" t="e">
        <f t="shared" si="0"/>
        <v>#DIV/0!</v>
      </c>
      <c r="I23" s="40">
        <f t="shared" si="6"/>
        <v>0</v>
      </c>
      <c r="J23" s="240"/>
      <c r="K23" s="218"/>
      <c r="L23" s="218"/>
      <c r="M23" s="219" t="e">
        <f t="shared" si="2"/>
        <v>#DIV/0!</v>
      </c>
      <c r="N23" s="229"/>
      <c r="O23" s="217"/>
      <c r="P23" s="218"/>
      <c r="Q23" s="218"/>
      <c r="R23" s="219" t="e">
        <f t="shared" si="3"/>
        <v>#DIV/0!</v>
      </c>
      <c r="S23" s="229"/>
      <c r="T23" s="217"/>
      <c r="U23" s="218"/>
      <c r="V23" s="218"/>
      <c r="W23" s="219" t="e">
        <f t="shared" si="4"/>
        <v>#DIV/0!</v>
      </c>
      <c r="X23" s="220"/>
    </row>
    <row r="24" spans="1:24" s="6" customFormat="1" ht="9.9499999999999993" customHeight="1" x14ac:dyDescent="0.2">
      <c r="A24" s="135" t="s">
        <v>21</v>
      </c>
      <c r="B24" s="223" t="s">
        <v>110</v>
      </c>
      <c r="C24" s="223"/>
      <c r="D24" s="133" t="s">
        <v>25</v>
      </c>
      <c r="E24" s="38">
        <f t="shared" si="6"/>
        <v>0</v>
      </c>
      <c r="F24" s="39">
        <f t="shared" si="6"/>
        <v>0</v>
      </c>
      <c r="G24" s="39">
        <f t="shared" si="6"/>
        <v>0</v>
      </c>
      <c r="H24" s="10" t="e">
        <f t="shared" si="0"/>
        <v>#DIV/0!</v>
      </c>
      <c r="I24" s="40">
        <f t="shared" si="6"/>
        <v>0</v>
      </c>
      <c r="J24" s="240"/>
      <c r="K24" s="218"/>
      <c r="L24" s="218"/>
      <c r="M24" s="219" t="e">
        <f t="shared" si="2"/>
        <v>#DIV/0!</v>
      </c>
      <c r="N24" s="229"/>
      <c r="O24" s="217"/>
      <c r="P24" s="218"/>
      <c r="Q24" s="218"/>
      <c r="R24" s="219" t="e">
        <f t="shared" si="3"/>
        <v>#DIV/0!</v>
      </c>
      <c r="S24" s="229"/>
      <c r="T24" s="217"/>
      <c r="U24" s="218"/>
      <c r="V24" s="218"/>
      <c r="W24" s="219" t="e">
        <f t="shared" si="4"/>
        <v>#DIV/0!</v>
      </c>
      <c r="X24" s="220"/>
    </row>
    <row r="25" spans="1:24" s="13" customFormat="1" ht="9.9499999999999993" customHeight="1" x14ac:dyDescent="0.2">
      <c r="A25" s="135" t="s">
        <v>22</v>
      </c>
      <c r="B25" s="223" t="s">
        <v>63</v>
      </c>
      <c r="C25" s="223"/>
      <c r="D25" s="133" t="s">
        <v>25</v>
      </c>
      <c r="E25" s="38">
        <f t="shared" si="6"/>
        <v>0</v>
      </c>
      <c r="F25" s="39">
        <f t="shared" si="6"/>
        <v>0</v>
      </c>
      <c r="G25" s="39">
        <f t="shared" si="6"/>
        <v>0</v>
      </c>
      <c r="H25" s="14" t="e">
        <f>G25/F25*100</f>
        <v>#DIV/0!</v>
      </c>
      <c r="I25" s="40">
        <f>SUM(N25,S25)</f>
        <v>0</v>
      </c>
      <c r="J25" s="240"/>
      <c r="K25" s="271"/>
      <c r="L25" s="271"/>
      <c r="M25" s="219" t="e">
        <f t="shared" si="2"/>
        <v>#DIV/0!</v>
      </c>
      <c r="N25" s="272"/>
      <c r="O25" s="273"/>
      <c r="P25" s="271"/>
      <c r="Q25" s="271"/>
      <c r="R25" s="219" t="e">
        <f t="shared" si="3"/>
        <v>#DIV/0!</v>
      </c>
      <c r="S25" s="274"/>
      <c r="T25" s="273"/>
      <c r="U25" s="271"/>
      <c r="V25" s="271"/>
      <c r="W25" s="219" t="e">
        <f t="shared" si="4"/>
        <v>#DIV/0!</v>
      </c>
      <c r="X25" s="275"/>
    </row>
    <row r="26" spans="1:24" s="6" customFormat="1" ht="9.9499999999999993" customHeight="1" x14ac:dyDescent="0.2">
      <c r="A26" s="135" t="s">
        <v>23</v>
      </c>
      <c r="B26" s="511" t="s">
        <v>64</v>
      </c>
      <c r="C26" s="512"/>
      <c r="D26" s="133" t="s">
        <v>25</v>
      </c>
      <c r="E26" s="38">
        <f t="shared" si="6"/>
        <v>840026</v>
      </c>
      <c r="F26" s="39">
        <f t="shared" si="6"/>
        <v>907417</v>
      </c>
      <c r="G26" s="39">
        <f t="shared" si="6"/>
        <v>532355</v>
      </c>
      <c r="H26" s="10">
        <f t="shared" si="0"/>
        <v>58.667073682772084</v>
      </c>
      <c r="I26" s="40">
        <f t="shared" si="6"/>
        <v>452792</v>
      </c>
      <c r="J26" s="240">
        <v>840026</v>
      </c>
      <c r="K26" s="276">
        <v>907417</v>
      </c>
      <c r="L26" s="276">
        <v>532355</v>
      </c>
      <c r="M26" s="219">
        <f>L26/K26*100</f>
        <v>58.667073682772084</v>
      </c>
      <c r="N26" s="272">
        <v>452792</v>
      </c>
      <c r="O26" s="277"/>
      <c r="P26" s="276"/>
      <c r="Q26" s="276"/>
      <c r="R26" s="219" t="e">
        <f>Q26/P26*100</f>
        <v>#DIV/0!</v>
      </c>
      <c r="S26" s="272"/>
      <c r="T26" s="278"/>
      <c r="U26" s="279"/>
      <c r="V26" s="279"/>
      <c r="W26" s="219" t="e">
        <f>V26/U26*100</f>
        <v>#DIV/0!</v>
      </c>
      <c r="X26" s="280"/>
    </row>
    <row r="27" spans="1:24" s="13" customFormat="1" ht="9.9499999999999993" customHeight="1" x14ac:dyDescent="0.2">
      <c r="A27" s="135" t="s">
        <v>44</v>
      </c>
      <c r="B27" s="236" t="s">
        <v>65</v>
      </c>
      <c r="C27" s="237"/>
      <c r="D27" s="133" t="s">
        <v>25</v>
      </c>
      <c r="E27" s="38">
        <f t="shared" si="6"/>
        <v>0</v>
      </c>
      <c r="F27" s="39">
        <f t="shared" si="6"/>
        <v>0</v>
      </c>
      <c r="G27" s="39">
        <f t="shared" si="6"/>
        <v>0</v>
      </c>
      <c r="H27" s="14" t="e">
        <f t="shared" si="0"/>
        <v>#DIV/0!</v>
      </c>
      <c r="I27" s="40">
        <f t="shared" si="6"/>
        <v>0</v>
      </c>
      <c r="J27" s="240"/>
      <c r="K27" s="276"/>
      <c r="L27" s="276"/>
      <c r="M27" s="219" t="e">
        <f t="shared" si="2"/>
        <v>#DIV/0!</v>
      </c>
      <c r="N27" s="229"/>
      <c r="O27" s="277"/>
      <c r="P27" s="276"/>
      <c r="Q27" s="276"/>
      <c r="R27" s="219" t="e">
        <f t="shared" si="3"/>
        <v>#DIV/0!</v>
      </c>
      <c r="S27" s="272"/>
      <c r="T27" s="278"/>
      <c r="U27" s="279"/>
      <c r="V27" s="279"/>
      <c r="W27" s="219" t="e">
        <f t="shared" si="4"/>
        <v>#DIV/0!</v>
      </c>
      <c r="X27" s="280"/>
    </row>
    <row r="28" spans="1:24" s="13" customFormat="1" ht="9.9499999999999993" customHeight="1" x14ac:dyDescent="0.2">
      <c r="A28" s="135" t="s">
        <v>50</v>
      </c>
      <c r="B28" s="236" t="s">
        <v>91</v>
      </c>
      <c r="C28" s="237"/>
      <c r="D28" s="133" t="s">
        <v>25</v>
      </c>
      <c r="E28" s="38">
        <f>SUM(J28,O28)</f>
        <v>662000</v>
      </c>
      <c r="F28" s="39">
        <f>SUM(K28,P28)</f>
        <v>662000</v>
      </c>
      <c r="G28" s="39">
        <f>SUM(L28,Q28)</f>
        <v>330986</v>
      </c>
      <c r="H28" s="14">
        <f>G28/F28*100</f>
        <v>49.997885196374618</v>
      </c>
      <c r="I28" s="40">
        <f>SUM(N28,S28)</f>
        <v>432784</v>
      </c>
      <c r="J28" s="240">
        <v>662000</v>
      </c>
      <c r="K28" s="276">
        <v>662000</v>
      </c>
      <c r="L28" s="276">
        <v>330986</v>
      </c>
      <c r="M28" s="219">
        <f>L28/K28*100</f>
        <v>49.997885196374618</v>
      </c>
      <c r="N28" s="229">
        <v>432784</v>
      </c>
      <c r="O28" s="277"/>
      <c r="P28" s="276"/>
      <c r="Q28" s="276"/>
      <c r="R28" s="219" t="e">
        <f>Q28/P28*100</f>
        <v>#DIV/0!</v>
      </c>
      <c r="S28" s="272"/>
      <c r="T28" s="278"/>
      <c r="U28" s="279"/>
      <c r="V28" s="279"/>
      <c r="W28" s="219" t="e">
        <f>V28/U28*100</f>
        <v>#DIV/0!</v>
      </c>
      <c r="X28" s="280"/>
    </row>
    <row r="29" spans="1:24" s="15" customFormat="1" ht="9.9499999999999993" customHeight="1" x14ac:dyDescent="0.2">
      <c r="A29" s="135" t="s">
        <v>51</v>
      </c>
      <c r="B29" s="236" t="s">
        <v>66</v>
      </c>
      <c r="C29" s="237"/>
      <c r="D29" s="133" t="s">
        <v>25</v>
      </c>
      <c r="E29" s="38">
        <f t="shared" si="6"/>
        <v>223000</v>
      </c>
      <c r="F29" s="39">
        <f t="shared" si="6"/>
        <v>223000</v>
      </c>
      <c r="G29" s="39">
        <f t="shared" si="6"/>
        <v>50505</v>
      </c>
      <c r="H29" s="14">
        <f t="shared" si="0"/>
        <v>22.647982062780269</v>
      </c>
      <c r="I29" s="40">
        <f t="shared" si="6"/>
        <v>58732</v>
      </c>
      <c r="J29" s="240">
        <v>223000</v>
      </c>
      <c r="K29" s="276">
        <v>223000</v>
      </c>
      <c r="L29" s="276">
        <v>50505</v>
      </c>
      <c r="M29" s="219">
        <f t="shared" si="2"/>
        <v>22.647982062780269</v>
      </c>
      <c r="N29" s="272">
        <v>58732</v>
      </c>
      <c r="O29" s="277"/>
      <c r="P29" s="276"/>
      <c r="Q29" s="276"/>
      <c r="R29" s="219" t="e">
        <f t="shared" si="3"/>
        <v>#DIV/0!</v>
      </c>
      <c r="S29" s="272"/>
      <c r="T29" s="278"/>
      <c r="U29" s="279"/>
      <c r="V29" s="279"/>
      <c r="W29" s="219" t="e">
        <f t="shared" si="4"/>
        <v>#DIV/0!</v>
      </c>
      <c r="X29" s="280"/>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40">
        <f>SUM(N30,S30)</f>
        <v>0</v>
      </c>
      <c r="J30" s="240"/>
      <c r="K30" s="276"/>
      <c r="L30" s="276"/>
      <c r="M30" s="219" t="e">
        <f t="shared" si="2"/>
        <v>#DIV/0!</v>
      </c>
      <c r="N30" s="272"/>
      <c r="O30" s="277"/>
      <c r="P30" s="276"/>
      <c r="Q30" s="276"/>
      <c r="R30" s="219" t="e">
        <f t="shared" si="3"/>
        <v>#DIV/0!</v>
      </c>
      <c r="S30" s="272"/>
      <c r="T30" s="278"/>
      <c r="U30" s="279"/>
      <c r="V30" s="279"/>
      <c r="W30" s="219" t="e">
        <f t="shared" si="4"/>
        <v>#DIV/0!</v>
      </c>
      <c r="X30" s="280"/>
    </row>
    <row r="31" spans="1:24" s="23" customFormat="1" ht="9.75" x14ac:dyDescent="0.2">
      <c r="A31" s="135" t="s">
        <v>54</v>
      </c>
      <c r="B31" s="236" t="s">
        <v>67</v>
      </c>
      <c r="C31" s="237"/>
      <c r="D31" s="133" t="s">
        <v>25</v>
      </c>
      <c r="E31" s="38">
        <f t="shared" si="7"/>
        <v>0</v>
      </c>
      <c r="F31" s="39">
        <f t="shared" si="7"/>
        <v>0</v>
      </c>
      <c r="G31" s="39">
        <f t="shared" si="7"/>
        <v>0</v>
      </c>
      <c r="H31" s="14" t="e">
        <f t="shared" si="0"/>
        <v>#DIV/0!</v>
      </c>
      <c r="I31" s="40">
        <f>SUM(N31,S31)</f>
        <v>0</v>
      </c>
      <c r="J31" s="240"/>
      <c r="K31" s="281"/>
      <c r="L31" s="281"/>
      <c r="M31" s="219" t="e">
        <f t="shared" si="2"/>
        <v>#DIV/0!</v>
      </c>
      <c r="N31" s="282"/>
      <c r="O31" s="283"/>
      <c r="P31" s="281"/>
      <c r="Q31" s="281"/>
      <c r="R31" s="219" t="e">
        <f t="shared" si="3"/>
        <v>#DIV/0!</v>
      </c>
      <c r="S31" s="282"/>
      <c r="T31" s="284"/>
      <c r="U31" s="285"/>
      <c r="V31" s="285"/>
      <c r="W31" s="219" t="e">
        <f t="shared" si="4"/>
        <v>#DIV/0!</v>
      </c>
      <c r="X31" s="286"/>
    </row>
    <row r="32" spans="1:24" s="23" customFormat="1" ht="9.75" x14ac:dyDescent="0.2">
      <c r="A32" s="238" t="s">
        <v>55</v>
      </c>
      <c r="B32" s="233" t="s">
        <v>68</v>
      </c>
      <c r="C32" s="239"/>
      <c r="D32" s="235" t="s">
        <v>25</v>
      </c>
      <c r="E32" s="42">
        <f>SUM(J32,O32)</f>
        <v>0</v>
      </c>
      <c r="F32" s="43">
        <f>SUM(K32,P32)</f>
        <v>0</v>
      </c>
      <c r="G32" s="43">
        <f>SUM(L32,Q32)</f>
        <v>0</v>
      </c>
      <c r="H32" s="16" t="e">
        <f t="shared" si="0"/>
        <v>#DIV/0!</v>
      </c>
      <c r="I32" s="44">
        <f>SUM(N32,S32)</f>
        <v>0</v>
      </c>
      <c r="J32" s="287"/>
      <c r="K32" s="288"/>
      <c r="L32" s="288"/>
      <c r="M32" s="265" t="e">
        <f t="shared" si="2"/>
        <v>#DIV/0!</v>
      </c>
      <c r="N32" s="289"/>
      <c r="O32" s="290"/>
      <c r="P32" s="288"/>
      <c r="Q32" s="288"/>
      <c r="R32" s="265" t="e">
        <f t="shared" si="3"/>
        <v>#DIV/0!</v>
      </c>
      <c r="S32" s="289"/>
      <c r="T32" s="290"/>
      <c r="U32" s="288"/>
      <c r="V32" s="288"/>
      <c r="W32" s="265" t="e">
        <f t="shared" si="4"/>
        <v>#DIV/0!</v>
      </c>
      <c r="X32" s="291"/>
    </row>
    <row r="33" spans="1:24" s="23" customFormat="1" ht="9.75" x14ac:dyDescent="0.2">
      <c r="A33" s="134" t="s">
        <v>56</v>
      </c>
      <c r="B33" s="21" t="s">
        <v>102</v>
      </c>
      <c r="C33" s="22"/>
      <c r="D33" s="20" t="s">
        <v>25</v>
      </c>
      <c r="E33" s="29">
        <f>E6-E11</f>
        <v>0</v>
      </c>
      <c r="F33" s="29">
        <f>F6-F11</f>
        <v>0</v>
      </c>
      <c r="G33" s="29">
        <f>G6-G11</f>
        <v>5079960</v>
      </c>
      <c r="H33" s="25" t="e">
        <f t="shared" si="0"/>
        <v>#DIV/0!</v>
      </c>
      <c r="I33" s="29">
        <f>I6-I11</f>
        <v>1180029</v>
      </c>
      <c r="J33" s="29">
        <f>J6-J11</f>
        <v>0</v>
      </c>
      <c r="K33" s="29">
        <f>K6-K11</f>
        <v>0</v>
      </c>
      <c r="L33" s="29">
        <f>L6-L11</f>
        <v>567264</v>
      </c>
      <c r="M33" s="19" t="e">
        <f t="shared" si="2"/>
        <v>#DIV/0!</v>
      </c>
      <c r="N33" s="29">
        <f>N6-N11</f>
        <v>648582</v>
      </c>
      <c r="O33" s="29">
        <f>O6-O11</f>
        <v>0</v>
      </c>
      <c r="P33" s="29">
        <f>P6-P11</f>
        <v>0</v>
      </c>
      <c r="Q33" s="29">
        <f>Q6-Q11</f>
        <v>4512696</v>
      </c>
      <c r="R33" s="19" t="e">
        <f t="shared" si="3"/>
        <v>#DIV/0!</v>
      </c>
      <c r="S33" s="29">
        <f>S6-S11</f>
        <v>531447</v>
      </c>
      <c r="T33" s="29">
        <f>T6-T11</f>
        <v>51784</v>
      </c>
      <c r="U33" s="29">
        <f>U6-U11</f>
        <v>51784</v>
      </c>
      <c r="V33" s="29">
        <f>V6-V11</f>
        <v>67537</v>
      </c>
      <c r="W33" s="19">
        <f t="shared" si="4"/>
        <v>130.42059323343119</v>
      </c>
      <c r="X33" s="29">
        <f>X6-X11</f>
        <v>65114</v>
      </c>
    </row>
    <row r="34" spans="1:24" s="4" customFormat="1" ht="9" x14ac:dyDescent="0.2">
      <c r="A34" s="224" t="s">
        <v>57</v>
      </c>
      <c r="B34" s="509" t="s">
        <v>24</v>
      </c>
      <c r="C34" s="510"/>
      <c r="D34" s="136" t="s">
        <v>25</v>
      </c>
      <c r="E34" s="196">
        <v>29320</v>
      </c>
      <c r="F34" s="197">
        <v>29320</v>
      </c>
      <c r="G34" s="197">
        <v>29250</v>
      </c>
      <c r="H34" s="12">
        <f t="shared" si="0"/>
        <v>99.761255115961802</v>
      </c>
      <c r="I34" s="256">
        <v>28791</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198">
        <v>47.17</v>
      </c>
      <c r="F35" s="199">
        <v>47</v>
      </c>
      <c r="G35" s="199">
        <v>47</v>
      </c>
      <c r="H35" s="261">
        <f t="shared" si="0"/>
        <v>100</v>
      </c>
      <c r="I35" s="301">
        <v>48</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52</v>
      </c>
      <c r="F36" s="201">
        <v>52</v>
      </c>
      <c r="G36" s="201">
        <v>52</v>
      </c>
      <c r="H36" s="259">
        <f t="shared" si="0"/>
        <v>100</v>
      </c>
      <c r="I36" s="260">
        <v>52</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tabSelected="1" zoomScaleNormal="100" workbookViewId="0">
      <selection activeCell="A29" sqref="A29:I29"/>
    </sheetView>
  </sheetViews>
  <sheetFormatPr defaultRowHeight="12.75" x14ac:dyDescent="0.2"/>
  <cols>
    <col min="1" max="1" width="74.75" style="28" customWidth="1"/>
    <col min="2" max="9" width="23.75" style="28" customWidth="1"/>
  </cols>
  <sheetData>
    <row r="1" spans="1:9" ht="18.75" x14ac:dyDescent="0.3">
      <c r="A1" s="27" t="s">
        <v>88</v>
      </c>
      <c r="B1" s="27"/>
      <c r="C1" s="27"/>
      <c r="D1" s="27"/>
      <c r="E1" s="27"/>
      <c r="F1" s="27"/>
      <c r="G1" s="27"/>
      <c r="H1" s="27"/>
      <c r="I1" s="27"/>
    </row>
    <row r="2" spans="1:9" ht="11.25" customHeight="1" x14ac:dyDescent="0.3">
      <c r="A2" s="27"/>
      <c r="B2" s="27"/>
      <c r="C2" s="27"/>
      <c r="D2" s="27"/>
      <c r="E2" s="27"/>
      <c r="F2" s="27"/>
      <c r="G2" s="27"/>
      <c r="H2" s="27"/>
      <c r="I2" s="27"/>
    </row>
    <row r="3" spans="1:9" s="101" customFormat="1" ht="10.5" x14ac:dyDescent="0.15">
      <c r="A3" s="469" t="s">
        <v>125</v>
      </c>
      <c r="B3" s="469"/>
      <c r="C3" s="469"/>
      <c r="D3" s="469"/>
      <c r="E3" s="469"/>
      <c r="F3" s="469"/>
      <c r="G3" s="469"/>
      <c r="H3" s="469"/>
      <c r="I3" s="469"/>
    </row>
    <row r="4" spans="1:9" s="102" customFormat="1" ht="11.25" x14ac:dyDescent="0.2"/>
    <row r="5" spans="1:9" s="103" customFormat="1" ht="9.75" x14ac:dyDescent="0.2">
      <c r="A5" s="470" t="s">
        <v>69</v>
      </c>
      <c r="B5" s="471"/>
      <c r="C5" s="373" t="s">
        <v>25</v>
      </c>
      <c r="D5" s="472" t="s">
        <v>113</v>
      </c>
      <c r="E5" s="472"/>
      <c r="F5" s="472"/>
      <c r="G5" s="472"/>
      <c r="H5" s="472"/>
      <c r="I5" s="472"/>
    </row>
    <row r="6" spans="1:9" s="102" customFormat="1" ht="25.5" customHeight="1" x14ac:dyDescent="0.2">
      <c r="A6" s="467" t="s">
        <v>70</v>
      </c>
      <c r="B6" s="468"/>
      <c r="C6" s="180">
        <v>0</v>
      </c>
      <c r="D6" s="476" t="s">
        <v>273</v>
      </c>
      <c r="E6" s="549"/>
      <c r="F6" s="549"/>
      <c r="G6" s="549"/>
      <c r="H6" s="549"/>
      <c r="I6" s="550"/>
    </row>
    <row r="7" spans="1:9" s="104" customFormat="1" ht="11.25" customHeight="1" x14ac:dyDescent="0.15">
      <c r="A7" s="467" t="s">
        <v>38</v>
      </c>
      <c r="B7" s="468"/>
      <c r="C7" s="180">
        <v>255449.5</v>
      </c>
      <c r="D7" s="482" t="s">
        <v>133</v>
      </c>
      <c r="E7" s="551"/>
      <c r="F7" s="551"/>
      <c r="G7" s="551"/>
      <c r="H7" s="551"/>
      <c r="I7" s="552"/>
    </row>
    <row r="8" spans="1:9" s="104" customFormat="1" ht="10.5" customHeight="1" x14ac:dyDescent="0.15">
      <c r="A8" s="467" t="s">
        <v>71</v>
      </c>
      <c r="B8" s="468"/>
      <c r="C8" s="180">
        <v>0</v>
      </c>
      <c r="D8" s="591"/>
      <c r="E8" s="592"/>
      <c r="F8" s="592"/>
      <c r="G8" s="592"/>
      <c r="H8" s="592"/>
      <c r="I8" s="593"/>
    </row>
    <row r="9" spans="1:9" s="102" customFormat="1" ht="11.25" x14ac:dyDescent="0.2">
      <c r="C9" s="105"/>
    </row>
    <row r="10" spans="1:9" s="106" customFormat="1" ht="11.25" x14ac:dyDescent="0.2">
      <c r="A10" s="469" t="s">
        <v>134</v>
      </c>
      <c r="B10" s="469"/>
      <c r="C10" s="469"/>
      <c r="D10" s="469"/>
      <c r="E10" s="469"/>
      <c r="F10" s="469"/>
      <c r="G10" s="469"/>
      <c r="H10" s="469"/>
      <c r="I10" s="469"/>
    </row>
    <row r="11" spans="1:9" s="102" customFormat="1" ht="11.25" x14ac:dyDescent="0.2">
      <c r="C11" s="105"/>
    </row>
    <row r="12" spans="1:9" s="108" customFormat="1" ht="19.5" x14ac:dyDescent="0.15">
      <c r="A12" s="107" t="s">
        <v>93</v>
      </c>
      <c r="B12" s="107" t="s">
        <v>114</v>
      </c>
      <c r="C12" s="107" t="s">
        <v>94</v>
      </c>
      <c r="D12" s="107" t="s">
        <v>95</v>
      </c>
      <c r="E12" s="107" t="s">
        <v>115</v>
      </c>
      <c r="F12" s="107" t="s">
        <v>116</v>
      </c>
      <c r="G12" s="665" t="s">
        <v>96</v>
      </c>
      <c r="H12" s="666"/>
      <c r="I12" s="667"/>
    </row>
    <row r="13" spans="1:9" s="108" customFormat="1" ht="48" customHeight="1" x14ac:dyDescent="0.15">
      <c r="A13" s="393" t="s">
        <v>72</v>
      </c>
      <c r="B13" s="394">
        <v>384060.76</v>
      </c>
      <c r="C13" s="394">
        <v>68939.39</v>
      </c>
      <c r="D13" s="395">
        <v>49060</v>
      </c>
      <c r="E13" s="394">
        <v>403940.15</v>
      </c>
      <c r="F13" s="396">
        <v>403940.15</v>
      </c>
      <c r="G13" s="668" t="s">
        <v>135</v>
      </c>
      <c r="H13" s="668"/>
      <c r="I13" s="668"/>
    </row>
    <row r="14" spans="1:9" s="108" customFormat="1" ht="24.75" customHeight="1" x14ac:dyDescent="0.15">
      <c r="A14" s="397" t="s">
        <v>117</v>
      </c>
      <c r="B14" s="398">
        <v>680218.26</v>
      </c>
      <c r="C14" s="398">
        <v>380683.4</v>
      </c>
      <c r="D14" s="398">
        <v>196284</v>
      </c>
      <c r="E14" s="398">
        <v>864617.66</v>
      </c>
      <c r="F14" s="399">
        <v>864617.66</v>
      </c>
      <c r="G14" s="669" t="s">
        <v>136</v>
      </c>
      <c r="H14" s="669"/>
      <c r="I14" s="669"/>
    </row>
    <row r="15" spans="1:9" s="108" customFormat="1" ht="34.5" customHeight="1" x14ac:dyDescent="0.15">
      <c r="A15" s="400" t="s">
        <v>73</v>
      </c>
      <c r="B15" s="401">
        <v>99094.27</v>
      </c>
      <c r="C15" s="401">
        <v>0</v>
      </c>
      <c r="D15" s="401">
        <v>0</v>
      </c>
      <c r="E15" s="401">
        <v>99094.27</v>
      </c>
      <c r="F15" s="402">
        <v>99094.27</v>
      </c>
      <c r="G15" s="669" t="s">
        <v>131</v>
      </c>
      <c r="H15" s="669"/>
      <c r="I15" s="669"/>
    </row>
    <row r="16" spans="1:9" s="112" customFormat="1" ht="34.5" customHeight="1" x14ac:dyDescent="0.2">
      <c r="A16" s="403" t="s">
        <v>97</v>
      </c>
      <c r="B16" s="404">
        <v>10654.33</v>
      </c>
      <c r="C16" s="404">
        <v>18375</v>
      </c>
      <c r="D16" s="404">
        <v>25616</v>
      </c>
      <c r="E16" s="404">
        <v>3413.33</v>
      </c>
      <c r="F16" s="405">
        <v>3413.33</v>
      </c>
      <c r="G16" s="670" t="s">
        <v>132</v>
      </c>
      <c r="H16" s="670"/>
      <c r="I16" s="670"/>
    </row>
    <row r="17" spans="1:9" s="112" customFormat="1" ht="11.25" x14ac:dyDescent="0.2">
      <c r="A17" s="386" t="s">
        <v>34</v>
      </c>
      <c r="B17" s="387">
        <f>SUM(B13:B16)</f>
        <v>1174027.6200000001</v>
      </c>
      <c r="C17" s="387">
        <f>SUM(C13:C16)</f>
        <v>467997.79000000004</v>
      </c>
      <c r="D17" s="387">
        <f>SUM(D13:D16)</f>
        <v>270960</v>
      </c>
      <c r="E17" s="387">
        <f>SUM(E13:E16)</f>
        <v>1371065.4100000001</v>
      </c>
      <c r="F17" s="388">
        <f t="shared" ref="F17" si="0">SUM(F13:F16)</f>
        <v>1371065.4100000001</v>
      </c>
      <c r="G17" s="680"/>
      <c r="H17" s="681"/>
      <c r="I17" s="682"/>
    </row>
    <row r="18" spans="1:9" s="77" customFormat="1" ht="11.25" x14ac:dyDescent="0.2">
      <c r="A18" s="389"/>
      <c r="B18" s="390"/>
      <c r="C18" s="391"/>
      <c r="D18" s="385"/>
      <c r="E18" s="385"/>
      <c r="F18" s="385"/>
      <c r="G18" s="385"/>
      <c r="H18" s="385"/>
      <c r="I18" s="385"/>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5.5" customHeight="1" x14ac:dyDescent="0.15">
      <c r="A33" s="585" t="s">
        <v>137</v>
      </c>
      <c r="B33" s="586"/>
      <c r="C33" s="586"/>
      <c r="D33" s="586"/>
      <c r="E33" s="586"/>
      <c r="F33" s="586"/>
      <c r="G33" s="586"/>
      <c r="H33" s="586"/>
      <c r="I33" s="587"/>
    </row>
    <row r="34" spans="1:9" s="81" customFormat="1" ht="11.25" customHeight="1" x14ac:dyDescent="0.2">
      <c r="A34" s="671" t="s">
        <v>138</v>
      </c>
      <c r="B34" s="672"/>
      <c r="C34" s="672"/>
      <c r="D34" s="672"/>
      <c r="E34" s="672"/>
      <c r="F34" s="672"/>
      <c r="G34" s="672"/>
      <c r="H34" s="672"/>
      <c r="I34" s="673"/>
    </row>
    <row r="35" spans="1:9" ht="12" customHeight="1" x14ac:dyDescent="0.15">
      <c r="A35" s="674" t="s">
        <v>139</v>
      </c>
      <c r="B35" s="675"/>
      <c r="C35" s="675"/>
      <c r="D35" s="675"/>
      <c r="E35" s="675"/>
      <c r="F35" s="675"/>
      <c r="G35" s="675"/>
      <c r="H35" s="675"/>
      <c r="I35" s="676"/>
    </row>
    <row r="36" spans="1:9" ht="11.25" x14ac:dyDescent="0.15">
      <c r="A36" s="677" t="s">
        <v>140</v>
      </c>
      <c r="B36" s="678"/>
      <c r="C36" s="678"/>
      <c r="D36" s="678"/>
      <c r="E36" s="678"/>
      <c r="F36" s="678"/>
      <c r="G36" s="678"/>
      <c r="H36" s="678"/>
      <c r="I36" s="679"/>
    </row>
  </sheetData>
  <mergeCells count="27">
    <mergeCell ref="A33:I33"/>
    <mergeCell ref="A34:I34"/>
    <mergeCell ref="A35:I35"/>
    <mergeCell ref="A36:I36"/>
    <mergeCell ref="G17:I17"/>
    <mergeCell ref="A27:I27"/>
    <mergeCell ref="A19:I19"/>
    <mergeCell ref="A23:I23"/>
    <mergeCell ref="A31:I31"/>
    <mergeCell ref="A21:I21"/>
    <mergeCell ref="A25:I25"/>
    <mergeCell ref="A29:I29"/>
    <mergeCell ref="G12:I12"/>
    <mergeCell ref="G13:I13"/>
    <mergeCell ref="G14:I14"/>
    <mergeCell ref="G15:I15"/>
    <mergeCell ref="G16:I16"/>
    <mergeCell ref="A10:I10"/>
    <mergeCell ref="A5:B5"/>
    <mergeCell ref="D5:I5"/>
    <mergeCell ref="A6:B6"/>
    <mergeCell ref="D6:I6"/>
    <mergeCell ref="A3:I3"/>
    <mergeCell ref="A7:B7"/>
    <mergeCell ref="D7:I7"/>
    <mergeCell ref="A8:B8"/>
    <mergeCell ref="D8:I8"/>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529" t="s">
        <v>88</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11198000</v>
      </c>
      <c r="F6" s="29">
        <f>SUM(F7:F9)</f>
        <v>11292060</v>
      </c>
      <c r="G6" s="29">
        <f>SUM(G7:G9)</f>
        <v>6065360.6899999995</v>
      </c>
      <c r="H6" s="24">
        <f t="shared" ref="H6:H36" si="0">G6/F6*100</f>
        <v>53.713500371057179</v>
      </c>
      <c r="I6" s="29">
        <f>SUM(I7:I9)</f>
        <v>5409096</v>
      </c>
      <c r="J6" s="29">
        <f>SUM(J7:J9)</f>
        <v>11198000</v>
      </c>
      <c r="K6" s="29">
        <f t="shared" ref="K6:X6" si="1">SUM(K7:K9)</f>
        <v>11292060</v>
      </c>
      <c r="L6" s="29">
        <f t="shared" si="1"/>
        <v>6065360.6899999995</v>
      </c>
      <c r="M6" s="24">
        <f t="shared" ref="M6:M33" si="2">L6/K6*100</f>
        <v>53.713500371057179</v>
      </c>
      <c r="N6" s="30">
        <f t="shared" si="1"/>
        <v>6091858</v>
      </c>
      <c r="O6" s="29">
        <f t="shared" si="1"/>
        <v>0</v>
      </c>
      <c r="P6" s="29">
        <f t="shared" si="1"/>
        <v>0</v>
      </c>
      <c r="Q6" s="29">
        <f t="shared" si="1"/>
        <v>0</v>
      </c>
      <c r="R6" s="24" t="e">
        <f t="shared" ref="R6:R33" si="3">Q6/P6*100</f>
        <v>#DIV/0!</v>
      </c>
      <c r="S6" s="29">
        <f t="shared" si="1"/>
        <v>0</v>
      </c>
      <c r="T6" s="29">
        <f>SUM(T7:T9)</f>
        <v>655000</v>
      </c>
      <c r="U6" s="29">
        <f t="shared" si="1"/>
        <v>665000</v>
      </c>
      <c r="V6" s="29">
        <f t="shared" si="1"/>
        <v>441748.5</v>
      </c>
      <c r="W6" s="24">
        <f t="shared" ref="W6:W33" si="4">V6/U6*100</f>
        <v>66.428345864661651</v>
      </c>
      <c r="X6" s="29">
        <f t="shared" si="1"/>
        <v>460649</v>
      </c>
    </row>
    <row r="7" spans="1:24" s="6" customFormat="1" ht="9.9499999999999993" customHeight="1" x14ac:dyDescent="0.2">
      <c r="A7" s="130" t="s">
        <v>2</v>
      </c>
      <c r="B7" s="522" t="s">
        <v>45</v>
      </c>
      <c r="C7" s="523"/>
      <c r="D7" s="131" t="s">
        <v>25</v>
      </c>
      <c r="E7" s="32">
        <f t="shared" ref="E7:G9" si="5">SUM(J7,O7)</f>
        <v>5834190</v>
      </c>
      <c r="F7" s="33">
        <f t="shared" si="5"/>
        <v>5585909</v>
      </c>
      <c r="G7" s="33">
        <f t="shared" si="5"/>
        <v>3350342.8</v>
      </c>
      <c r="H7" s="9">
        <f t="shared" si="0"/>
        <v>59.978470827218985</v>
      </c>
      <c r="I7" s="34">
        <v>3056688</v>
      </c>
      <c r="J7" s="262">
        <v>5834190</v>
      </c>
      <c r="K7" s="35">
        <v>5585909</v>
      </c>
      <c r="L7" s="35">
        <v>3350342.8</v>
      </c>
      <c r="M7" s="9">
        <f t="shared" si="2"/>
        <v>59.978470827218985</v>
      </c>
      <c r="N7" s="36">
        <v>3530950</v>
      </c>
      <c r="O7" s="263"/>
      <c r="P7" s="35"/>
      <c r="Q7" s="35"/>
      <c r="R7" s="9" t="e">
        <f t="shared" si="3"/>
        <v>#DIV/0!</v>
      </c>
      <c r="S7" s="36"/>
      <c r="T7" s="263">
        <v>655000</v>
      </c>
      <c r="U7" s="35">
        <v>665000</v>
      </c>
      <c r="V7" s="35">
        <v>441748.5</v>
      </c>
      <c r="W7" s="9">
        <f t="shared" si="4"/>
        <v>66.428345864661651</v>
      </c>
      <c r="X7" s="65">
        <v>460649</v>
      </c>
    </row>
    <row r="8" spans="1:24" s="6" customFormat="1" ht="9.9499999999999993" customHeight="1" x14ac:dyDescent="0.2">
      <c r="A8" s="132" t="s">
        <v>3</v>
      </c>
      <c r="B8" s="524" t="s">
        <v>46</v>
      </c>
      <c r="C8" s="525"/>
      <c r="D8" s="133" t="s">
        <v>25</v>
      </c>
      <c r="E8" s="38">
        <f t="shared" si="5"/>
        <v>5000</v>
      </c>
      <c r="F8" s="39">
        <f t="shared" si="5"/>
        <v>5000</v>
      </c>
      <c r="G8" s="39">
        <f t="shared" si="5"/>
        <v>653.89</v>
      </c>
      <c r="H8" s="10">
        <f t="shared" si="0"/>
        <v>13.0778</v>
      </c>
      <c r="I8" s="40">
        <v>3921</v>
      </c>
      <c r="J8" s="243">
        <v>5000</v>
      </c>
      <c r="K8" s="218">
        <v>5000</v>
      </c>
      <c r="L8" s="218">
        <v>653.89</v>
      </c>
      <c r="M8" s="219">
        <f t="shared" si="2"/>
        <v>13.0778</v>
      </c>
      <c r="N8" s="229">
        <v>1221</v>
      </c>
      <c r="O8" s="217"/>
      <c r="P8" s="218"/>
      <c r="Q8" s="218"/>
      <c r="R8" s="219" t="e">
        <f t="shared" si="3"/>
        <v>#DIV/0!</v>
      </c>
      <c r="S8" s="229"/>
      <c r="T8" s="217"/>
      <c r="U8" s="218"/>
      <c r="V8" s="218"/>
      <c r="W8" s="219" t="e">
        <f t="shared" si="4"/>
        <v>#DIV/0!</v>
      </c>
      <c r="X8" s="220"/>
    </row>
    <row r="9" spans="1:24" s="6" customFormat="1" ht="9.9499999999999993" customHeight="1" x14ac:dyDescent="0.2">
      <c r="A9" s="232" t="s">
        <v>4</v>
      </c>
      <c r="B9" s="233" t="s">
        <v>60</v>
      </c>
      <c r="C9" s="234"/>
      <c r="D9" s="235" t="s">
        <v>25</v>
      </c>
      <c r="E9" s="42">
        <f t="shared" si="5"/>
        <v>5358810</v>
      </c>
      <c r="F9" s="43">
        <f t="shared" si="5"/>
        <v>5701151</v>
      </c>
      <c r="G9" s="43">
        <f t="shared" si="5"/>
        <v>2714364</v>
      </c>
      <c r="H9" s="26">
        <f t="shared" si="0"/>
        <v>47.610807010724677</v>
      </c>
      <c r="I9" s="44">
        <v>2348487</v>
      </c>
      <c r="J9" s="244">
        <v>5358810</v>
      </c>
      <c r="K9" s="264">
        <v>5701151</v>
      </c>
      <c r="L9" s="264">
        <v>2714364</v>
      </c>
      <c r="M9" s="265">
        <f t="shared" si="2"/>
        <v>47.610807010724677</v>
      </c>
      <c r="N9" s="230">
        <v>2559687</v>
      </c>
      <c r="O9" s="221"/>
      <c r="P9" s="264"/>
      <c r="Q9" s="264"/>
      <c r="R9" s="265" t="e">
        <f t="shared" si="3"/>
        <v>#DIV/0!</v>
      </c>
      <c r="S9" s="230"/>
      <c r="T9" s="221"/>
      <c r="U9" s="264"/>
      <c r="V9" s="264"/>
      <c r="W9" s="265" t="e">
        <f t="shared" si="4"/>
        <v>#DIV/0!</v>
      </c>
      <c r="X9" s="222"/>
    </row>
    <row r="10" spans="1:24" s="6" customFormat="1" ht="9.9499999999999993" customHeight="1" x14ac:dyDescent="0.2">
      <c r="A10" s="134" t="s">
        <v>5</v>
      </c>
      <c r="B10" s="526" t="s">
        <v>7</v>
      </c>
      <c r="C10" s="527"/>
      <c r="D10" s="20" t="s">
        <v>25</v>
      </c>
      <c r="E10" s="46"/>
      <c r="F10" s="46"/>
      <c r="G10" s="46"/>
      <c r="H10" s="24" t="e">
        <f t="shared" si="0"/>
        <v>#DIV/0!</v>
      </c>
      <c r="I10" s="47"/>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9.9499999999999993" customHeight="1" x14ac:dyDescent="0.2">
      <c r="A11" s="134" t="s">
        <v>6</v>
      </c>
      <c r="B11" s="526" t="s">
        <v>9</v>
      </c>
      <c r="C11" s="527"/>
      <c r="D11" s="20" t="s">
        <v>25</v>
      </c>
      <c r="E11" s="29">
        <f>SUM(E12:E31)</f>
        <v>11198000</v>
      </c>
      <c r="F11" s="29">
        <f>SUM(F12:F31)</f>
        <v>11292060</v>
      </c>
      <c r="G11" s="29">
        <f>SUM(G12:G31)</f>
        <v>6065360.6900000004</v>
      </c>
      <c r="H11" s="24">
        <f t="shared" si="0"/>
        <v>53.713500371057187</v>
      </c>
      <c r="I11" s="30">
        <f>SUM(I12:I31)</f>
        <v>5579636</v>
      </c>
      <c r="J11" s="29">
        <f>SUM(J12:J31)</f>
        <v>11198000</v>
      </c>
      <c r="K11" s="29">
        <f>SUM(K12:K31)</f>
        <v>11292060</v>
      </c>
      <c r="L11" s="29">
        <f>SUM(L12:L31)</f>
        <v>6065360.6900000004</v>
      </c>
      <c r="M11" s="24">
        <f t="shared" si="2"/>
        <v>53.713500371057187</v>
      </c>
      <c r="N11" s="30">
        <f>SUM(N12:N31)</f>
        <v>6091858</v>
      </c>
      <c r="O11" s="29">
        <f>SUM(O12:O31)</f>
        <v>0</v>
      </c>
      <c r="P11" s="29">
        <f>SUM(P12:P31)</f>
        <v>0</v>
      </c>
      <c r="Q11" s="29">
        <f>SUM(Q12:Q31)</f>
        <v>0</v>
      </c>
      <c r="R11" s="24" t="e">
        <f t="shared" si="3"/>
        <v>#DIV/0!</v>
      </c>
      <c r="S11" s="30">
        <f>SUM(S12:S31)</f>
        <v>0</v>
      </c>
      <c r="T11" s="29">
        <f>SUM(T12:T32)</f>
        <v>525000</v>
      </c>
      <c r="U11" s="29">
        <f>SUM(U12:U32)</f>
        <v>535000</v>
      </c>
      <c r="V11" s="29">
        <f>SUM(V12:V32)</f>
        <v>186299</v>
      </c>
      <c r="W11" s="24">
        <f t="shared" si="4"/>
        <v>34.822242990654203</v>
      </c>
      <c r="X11" s="29">
        <f>SUM(X12:X31)</f>
        <v>101491</v>
      </c>
    </row>
    <row r="12" spans="1:24" s="6" customFormat="1" ht="9.9499999999999993" customHeight="1" x14ac:dyDescent="0.2">
      <c r="A12" s="130" t="s">
        <v>8</v>
      </c>
      <c r="B12" s="528" t="s">
        <v>28</v>
      </c>
      <c r="C12" s="528"/>
      <c r="D12" s="131" t="s">
        <v>25</v>
      </c>
      <c r="E12" s="32">
        <f t="shared" ref="E12:I27" si="6">SUM(J12,O12)</f>
        <v>325000</v>
      </c>
      <c r="F12" s="33">
        <f t="shared" si="6"/>
        <v>325000</v>
      </c>
      <c r="G12" s="33">
        <f t="shared" si="6"/>
        <v>153122</v>
      </c>
      <c r="H12" s="9">
        <f t="shared" si="0"/>
        <v>47.114461538461541</v>
      </c>
      <c r="I12" s="34">
        <v>167783</v>
      </c>
      <c r="J12" s="266">
        <v>325000</v>
      </c>
      <c r="K12" s="48">
        <v>325000</v>
      </c>
      <c r="L12" s="48">
        <v>153122</v>
      </c>
      <c r="M12" s="9">
        <f t="shared" si="2"/>
        <v>47.114461538461541</v>
      </c>
      <c r="N12" s="49">
        <v>182355</v>
      </c>
      <c r="O12" s="267"/>
      <c r="P12" s="48"/>
      <c r="Q12" s="48"/>
      <c r="R12" s="9" t="e">
        <f t="shared" si="3"/>
        <v>#DIV/0!</v>
      </c>
      <c r="S12" s="51"/>
      <c r="T12" s="267">
        <v>40000</v>
      </c>
      <c r="U12" s="48">
        <v>40000</v>
      </c>
      <c r="V12" s="48">
        <v>3194</v>
      </c>
      <c r="W12" s="9">
        <f t="shared" si="4"/>
        <v>7.9850000000000003</v>
      </c>
      <c r="X12" s="52"/>
    </row>
    <row r="13" spans="1:24" s="6" customFormat="1" ht="9.9499999999999993" customHeight="1" x14ac:dyDescent="0.2">
      <c r="A13" s="135" t="s">
        <v>10</v>
      </c>
      <c r="B13" s="508" t="s">
        <v>29</v>
      </c>
      <c r="C13" s="508"/>
      <c r="D13" s="133" t="s">
        <v>25</v>
      </c>
      <c r="E13" s="38">
        <f t="shared" si="6"/>
        <v>1100000</v>
      </c>
      <c r="F13" s="39">
        <f t="shared" si="6"/>
        <v>1100000</v>
      </c>
      <c r="G13" s="39">
        <f t="shared" si="6"/>
        <v>472599</v>
      </c>
      <c r="H13" s="10">
        <f t="shared" si="0"/>
        <v>42.963545454545454</v>
      </c>
      <c r="I13" s="40">
        <v>591807</v>
      </c>
      <c r="J13" s="240">
        <v>1100000</v>
      </c>
      <c r="K13" s="218">
        <v>1100000</v>
      </c>
      <c r="L13" s="218">
        <v>472599</v>
      </c>
      <c r="M13" s="219">
        <f t="shared" si="2"/>
        <v>42.963545454545454</v>
      </c>
      <c r="N13" s="229">
        <v>556136</v>
      </c>
      <c r="O13" s="217"/>
      <c r="P13" s="218"/>
      <c r="Q13" s="218"/>
      <c r="R13" s="219" t="e">
        <f t="shared" si="3"/>
        <v>#DIV/0!</v>
      </c>
      <c r="S13" s="229"/>
      <c r="T13" s="217">
        <v>100000</v>
      </c>
      <c r="U13" s="218">
        <v>100000</v>
      </c>
      <c r="V13" s="218"/>
      <c r="W13" s="219">
        <f t="shared" si="4"/>
        <v>0</v>
      </c>
      <c r="X13" s="220"/>
    </row>
    <row r="14" spans="1:24" s="6" customFormat="1" ht="9.9499999999999993" customHeight="1" x14ac:dyDescent="0.2">
      <c r="A14" s="135" t="s">
        <v>11</v>
      </c>
      <c r="B14" s="236" t="s">
        <v>61</v>
      </c>
      <c r="C14" s="237"/>
      <c r="D14" s="133" t="s">
        <v>25</v>
      </c>
      <c r="E14" s="38">
        <f t="shared" si="6"/>
        <v>0</v>
      </c>
      <c r="F14" s="39">
        <f t="shared" si="6"/>
        <v>0</v>
      </c>
      <c r="G14" s="39">
        <f t="shared" si="6"/>
        <v>0</v>
      </c>
      <c r="H14" s="10">
        <v>0</v>
      </c>
      <c r="I14" s="40">
        <f t="shared" si="6"/>
        <v>0</v>
      </c>
      <c r="J14" s="240"/>
      <c r="K14" s="218"/>
      <c r="L14" s="218"/>
      <c r="M14" s="219" t="e">
        <f t="shared" si="2"/>
        <v>#DIV/0!</v>
      </c>
      <c r="N14" s="229"/>
      <c r="O14" s="217"/>
      <c r="P14" s="218"/>
      <c r="Q14" s="218"/>
      <c r="R14" s="219" t="e">
        <f t="shared" si="3"/>
        <v>#DIV/0!</v>
      </c>
      <c r="S14" s="229"/>
      <c r="T14" s="217"/>
      <c r="U14" s="218"/>
      <c r="V14" s="218"/>
      <c r="W14" s="219" t="e">
        <f t="shared" si="4"/>
        <v>#DIV/0!</v>
      </c>
      <c r="X14" s="220"/>
    </row>
    <row r="15" spans="1:24" s="6" customFormat="1" ht="9.9499999999999993" customHeight="1" x14ac:dyDescent="0.2">
      <c r="A15" s="135" t="s">
        <v>12</v>
      </c>
      <c r="B15" s="511" t="s">
        <v>109</v>
      </c>
      <c r="C15" s="512"/>
      <c r="D15" s="133" t="s">
        <v>25</v>
      </c>
      <c r="E15" s="38">
        <f t="shared" si="6"/>
        <v>30000</v>
      </c>
      <c r="F15" s="39">
        <f t="shared" si="6"/>
        <v>60000</v>
      </c>
      <c r="G15" s="39">
        <f t="shared" si="6"/>
        <v>36283.5</v>
      </c>
      <c r="H15" s="10">
        <f t="shared" si="0"/>
        <v>60.472499999999997</v>
      </c>
      <c r="I15" s="40">
        <v>11872</v>
      </c>
      <c r="J15" s="240">
        <v>30000</v>
      </c>
      <c r="K15" s="218">
        <v>60000</v>
      </c>
      <c r="L15" s="218">
        <v>36283.5</v>
      </c>
      <c r="M15" s="219">
        <f t="shared" si="2"/>
        <v>60.472499999999997</v>
      </c>
      <c r="N15" s="229">
        <v>77507</v>
      </c>
      <c r="O15" s="217"/>
      <c r="P15" s="218"/>
      <c r="Q15" s="218"/>
      <c r="R15" s="219" t="e">
        <f t="shared" si="3"/>
        <v>#DIV/0!</v>
      </c>
      <c r="S15" s="229"/>
      <c r="T15" s="217">
        <v>35000</v>
      </c>
      <c r="U15" s="218">
        <v>35000</v>
      </c>
      <c r="V15" s="218"/>
      <c r="W15" s="219">
        <f t="shared" si="4"/>
        <v>0</v>
      </c>
      <c r="X15" s="220">
        <v>12689</v>
      </c>
    </row>
    <row r="16" spans="1:24" s="6" customFormat="1" ht="9.9499999999999993" customHeight="1" x14ac:dyDescent="0.2">
      <c r="A16" s="135" t="s">
        <v>13</v>
      </c>
      <c r="B16" s="511" t="s">
        <v>30</v>
      </c>
      <c r="C16" s="512"/>
      <c r="D16" s="133" t="s">
        <v>25</v>
      </c>
      <c r="E16" s="38">
        <f t="shared" si="6"/>
        <v>10000</v>
      </c>
      <c r="F16" s="39">
        <f t="shared" si="6"/>
        <v>15000</v>
      </c>
      <c r="G16" s="39">
        <f t="shared" si="6"/>
        <v>12245</v>
      </c>
      <c r="H16" s="10">
        <f t="shared" si="0"/>
        <v>81.63333333333334</v>
      </c>
      <c r="I16" s="40">
        <v>7255</v>
      </c>
      <c r="J16" s="240">
        <v>10000</v>
      </c>
      <c r="K16" s="218">
        <v>15000</v>
      </c>
      <c r="L16" s="218">
        <v>12245</v>
      </c>
      <c r="M16" s="219">
        <f t="shared" si="2"/>
        <v>81.63333333333334</v>
      </c>
      <c r="N16" s="229">
        <v>2738</v>
      </c>
      <c r="O16" s="217"/>
      <c r="P16" s="218"/>
      <c r="Q16" s="218"/>
      <c r="R16" s="219" t="e">
        <f t="shared" si="3"/>
        <v>#DIV/0!</v>
      </c>
      <c r="S16" s="229"/>
      <c r="T16" s="217"/>
      <c r="U16" s="218"/>
      <c r="V16" s="218"/>
      <c r="W16" s="219" t="e">
        <f t="shared" si="4"/>
        <v>#DIV/0!</v>
      </c>
      <c r="X16" s="220"/>
    </row>
    <row r="17" spans="1:24" s="6" customFormat="1" ht="9.9499999999999993" customHeight="1" x14ac:dyDescent="0.2">
      <c r="A17" s="135" t="s">
        <v>14</v>
      </c>
      <c r="B17" s="236" t="s">
        <v>47</v>
      </c>
      <c r="C17" s="237"/>
      <c r="D17" s="133" t="s">
        <v>25</v>
      </c>
      <c r="E17" s="38">
        <f t="shared" si="6"/>
        <v>10000</v>
      </c>
      <c r="F17" s="39">
        <f t="shared" si="6"/>
        <v>10000</v>
      </c>
      <c r="G17" s="39">
        <f t="shared" si="6"/>
        <v>6592</v>
      </c>
      <c r="H17" s="10">
        <f t="shared" si="0"/>
        <v>65.92</v>
      </c>
      <c r="I17" s="40">
        <v>6137</v>
      </c>
      <c r="J17" s="240">
        <v>10000</v>
      </c>
      <c r="K17" s="218">
        <v>10000</v>
      </c>
      <c r="L17" s="218">
        <v>6592</v>
      </c>
      <c r="M17" s="219">
        <f t="shared" si="2"/>
        <v>65.92</v>
      </c>
      <c r="N17" s="229">
        <v>3658</v>
      </c>
      <c r="O17" s="217"/>
      <c r="P17" s="218"/>
      <c r="Q17" s="218"/>
      <c r="R17" s="219" t="e">
        <f t="shared" si="3"/>
        <v>#DIV/0!</v>
      </c>
      <c r="S17" s="229"/>
      <c r="T17" s="217"/>
      <c r="U17" s="218"/>
      <c r="V17" s="218"/>
      <c r="W17" s="219" t="e">
        <f t="shared" si="4"/>
        <v>#DIV/0!</v>
      </c>
      <c r="X17" s="220"/>
    </row>
    <row r="18" spans="1:24" s="6" customFormat="1" ht="9.9499999999999993" customHeight="1" x14ac:dyDescent="0.2">
      <c r="A18" s="135" t="s">
        <v>15</v>
      </c>
      <c r="B18" s="511" t="s">
        <v>31</v>
      </c>
      <c r="C18" s="512"/>
      <c r="D18" s="133" t="s">
        <v>25</v>
      </c>
      <c r="E18" s="38">
        <f t="shared" si="6"/>
        <v>5096000</v>
      </c>
      <c r="F18" s="39">
        <f t="shared" si="6"/>
        <v>5096000</v>
      </c>
      <c r="G18" s="39">
        <f t="shared" si="6"/>
        <v>3068115.79</v>
      </c>
      <c r="H18" s="10">
        <f t="shared" si="0"/>
        <v>60.206353806907373</v>
      </c>
      <c r="I18" s="40">
        <v>2575793</v>
      </c>
      <c r="J18" s="240">
        <v>5096000</v>
      </c>
      <c r="K18" s="218">
        <v>5096000</v>
      </c>
      <c r="L18" s="218">
        <v>3068115.79</v>
      </c>
      <c r="M18" s="219">
        <f t="shared" si="2"/>
        <v>60.206353806907373</v>
      </c>
      <c r="N18" s="229">
        <v>3023921</v>
      </c>
      <c r="O18" s="217"/>
      <c r="P18" s="218"/>
      <c r="Q18" s="218"/>
      <c r="R18" s="219" t="e">
        <f t="shared" si="3"/>
        <v>#DIV/0!</v>
      </c>
      <c r="S18" s="229"/>
      <c r="T18" s="217">
        <v>73000</v>
      </c>
      <c r="U18" s="218">
        <v>73000</v>
      </c>
      <c r="V18" s="218">
        <v>31272</v>
      </c>
      <c r="W18" s="219">
        <f t="shared" si="4"/>
        <v>42.838356164383562</v>
      </c>
      <c r="X18" s="220">
        <v>26437</v>
      </c>
    </row>
    <row r="19" spans="1:24" s="11" customFormat="1" ht="9.9499999999999993" customHeight="1" x14ac:dyDescent="0.2">
      <c r="A19" s="135" t="s">
        <v>16</v>
      </c>
      <c r="B19" s="508" t="s">
        <v>32</v>
      </c>
      <c r="C19" s="508"/>
      <c r="D19" s="133" t="s">
        <v>25</v>
      </c>
      <c r="E19" s="38">
        <f t="shared" si="6"/>
        <v>2850000</v>
      </c>
      <c r="F19" s="39">
        <f t="shared" si="6"/>
        <v>2850000</v>
      </c>
      <c r="G19" s="39">
        <f t="shared" si="6"/>
        <v>1401688</v>
      </c>
      <c r="H19" s="10">
        <f t="shared" si="0"/>
        <v>49.182035087719299</v>
      </c>
      <c r="I19" s="153">
        <v>1358638</v>
      </c>
      <c r="J19" s="241">
        <v>2850000</v>
      </c>
      <c r="K19" s="218">
        <v>2850000</v>
      </c>
      <c r="L19" s="218">
        <v>1401688</v>
      </c>
      <c r="M19" s="219">
        <f t="shared" si="2"/>
        <v>49.182035087719299</v>
      </c>
      <c r="N19" s="229">
        <v>1382721</v>
      </c>
      <c r="O19" s="217"/>
      <c r="P19" s="218"/>
      <c r="Q19" s="218"/>
      <c r="R19" s="219" t="e">
        <f t="shared" si="3"/>
        <v>#DIV/0!</v>
      </c>
      <c r="S19" s="229"/>
      <c r="T19" s="268">
        <v>200000</v>
      </c>
      <c r="U19" s="269">
        <v>210000</v>
      </c>
      <c r="V19" s="269">
        <v>131323</v>
      </c>
      <c r="W19" s="219">
        <f t="shared" si="4"/>
        <v>62.534761904761908</v>
      </c>
      <c r="X19" s="270">
        <v>47175</v>
      </c>
    </row>
    <row r="20" spans="1:24" s="6" customFormat="1" ht="9.9499999999999993" customHeight="1" x14ac:dyDescent="0.2">
      <c r="A20" s="135" t="s">
        <v>17</v>
      </c>
      <c r="B20" s="508" t="s">
        <v>48</v>
      </c>
      <c r="C20" s="508"/>
      <c r="D20" s="133" t="s">
        <v>25</v>
      </c>
      <c r="E20" s="38">
        <f t="shared" si="6"/>
        <v>917000</v>
      </c>
      <c r="F20" s="39">
        <f t="shared" si="6"/>
        <v>917000</v>
      </c>
      <c r="G20" s="39">
        <f t="shared" si="6"/>
        <v>468783</v>
      </c>
      <c r="H20" s="10">
        <f t="shared" si="0"/>
        <v>51.121374045801524</v>
      </c>
      <c r="I20" s="40">
        <v>440785</v>
      </c>
      <c r="J20" s="240">
        <v>917000</v>
      </c>
      <c r="K20" s="218">
        <v>917000</v>
      </c>
      <c r="L20" s="218">
        <v>468783</v>
      </c>
      <c r="M20" s="219">
        <f t="shared" si="2"/>
        <v>51.121374045801524</v>
      </c>
      <c r="N20" s="229">
        <v>444383</v>
      </c>
      <c r="O20" s="217"/>
      <c r="P20" s="218"/>
      <c r="Q20" s="218"/>
      <c r="R20" s="219" t="e">
        <f t="shared" si="3"/>
        <v>#DIV/0!</v>
      </c>
      <c r="S20" s="229"/>
      <c r="T20" s="217">
        <v>70000</v>
      </c>
      <c r="U20" s="218">
        <v>70000</v>
      </c>
      <c r="V20" s="218">
        <v>20510</v>
      </c>
      <c r="W20" s="219">
        <f t="shared" si="4"/>
        <v>29.299999999999997</v>
      </c>
      <c r="X20" s="220">
        <v>15190</v>
      </c>
    </row>
    <row r="21" spans="1:24" s="6" customFormat="1" ht="9.9499999999999993" customHeight="1" x14ac:dyDescent="0.2">
      <c r="A21" s="135" t="s">
        <v>18</v>
      </c>
      <c r="B21" s="508" t="s">
        <v>49</v>
      </c>
      <c r="C21" s="508"/>
      <c r="D21" s="133" t="s">
        <v>25</v>
      </c>
      <c r="E21" s="217">
        <f t="shared" si="6"/>
        <v>100000</v>
      </c>
      <c r="F21" s="218">
        <f t="shared" si="6"/>
        <v>149060</v>
      </c>
      <c r="G21" s="218">
        <f t="shared" si="6"/>
        <v>53129</v>
      </c>
      <c r="H21" s="219">
        <f t="shared" si="0"/>
        <v>35.642694217093791</v>
      </c>
      <c r="I21" s="220">
        <v>41967</v>
      </c>
      <c r="J21" s="240">
        <v>100000</v>
      </c>
      <c r="K21" s="218">
        <v>149060</v>
      </c>
      <c r="L21" s="218">
        <v>53129</v>
      </c>
      <c r="M21" s="219">
        <f t="shared" si="2"/>
        <v>35.642694217093791</v>
      </c>
      <c r="N21" s="229">
        <v>42013</v>
      </c>
      <c r="O21" s="217"/>
      <c r="P21" s="218"/>
      <c r="Q21" s="218"/>
      <c r="R21" s="219" t="e">
        <f t="shared" si="3"/>
        <v>#DIV/0!</v>
      </c>
      <c r="S21" s="229"/>
      <c r="T21" s="217">
        <v>7000</v>
      </c>
      <c r="U21" s="218">
        <v>7000</v>
      </c>
      <c r="V21" s="218"/>
      <c r="W21" s="219">
        <f t="shared" si="4"/>
        <v>0</v>
      </c>
      <c r="X21" s="220"/>
    </row>
    <row r="22" spans="1:24" s="6" customFormat="1" ht="9.9499999999999993" customHeight="1" x14ac:dyDescent="0.2">
      <c r="A22" s="135" t="s">
        <v>19</v>
      </c>
      <c r="B22" s="508" t="s">
        <v>62</v>
      </c>
      <c r="C22" s="508"/>
      <c r="D22" s="133" t="s">
        <v>25</v>
      </c>
      <c r="E22" s="217">
        <f t="shared" si="6"/>
        <v>4000</v>
      </c>
      <c r="F22" s="218">
        <f t="shared" si="6"/>
        <v>4000</v>
      </c>
      <c r="G22" s="218">
        <f t="shared" si="6"/>
        <v>3300</v>
      </c>
      <c r="H22" s="219">
        <f t="shared" si="0"/>
        <v>82.5</v>
      </c>
      <c r="I22" s="220">
        <v>4473</v>
      </c>
      <c r="J22" s="240">
        <v>4000</v>
      </c>
      <c r="K22" s="218">
        <v>4000</v>
      </c>
      <c r="L22" s="218">
        <v>3300</v>
      </c>
      <c r="M22" s="219">
        <f t="shared" si="2"/>
        <v>82.5</v>
      </c>
      <c r="N22" s="229">
        <v>3300</v>
      </c>
      <c r="O22" s="217"/>
      <c r="P22" s="218"/>
      <c r="Q22" s="218"/>
      <c r="R22" s="219" t="e">
        <f t="shared" si="3"/>
        <v>#DIV/0!</v>
      </c>
      <c r="S22" s="229"/>
      <c r="T22" s="217"/>
      <c r="U22" s="218"/>
      <c r="V22" s="218"/>
      <c r="W22" s="219" t="e">
        <f t="shared" si="4"/>
        <v>#DIV/0!</v>
      </c>
      <c r="X22" s="220"/>
    </row>
    <row r="23" spans="1:24" s="6" customFormat="1" ht="9.9499999999999993" customHeight="1" x14ac:dyDescent="0.2">
      <c r="A23" s="135" t="s">
        <v>20</v>
      </c>
      <c r="B23" s="223" t="s">
        <v>101</v>
      </c>
      <c r="C23" s="223"/>
      <c r="D23" s="133" t="s">
        <v>25</v>
      </c>
      <c r="E23" s="217">
        <f t="shared" ref="E23:E32" si="7">SUM(J23,O23)</f>
        <v>0</v>
      </c>
      <c r="F23" s="218">
        <f t="shared" ref="F23:F32" si="8">SUM(K23,P23)</f>
        <v>0</v>
      </c>
      <c r="G23" s="218">
        <f t="shared" ref="G23:G32" si="9">SUM(L23,Q23)</f>
        <v>0</v>
      </c>
      <c r="H23" s="219" t="e">
        <f t="shared" si="0"/>
        <v>#DIV/0!</v>
      </c>
      <c r="I23" s="220">
        <f t="shared" si="6"/>
        <v>0</v>
      </c>
      <c r="J23" s="240"/>
      <c r="K23" s="218"/>
      <c r="L23" s="218"/>
      <c r="M23" s="219" t="e">
        <f t="shared" si="2"/>
        <v>#DIV/0!</v>
      </c>
      <c r="N23" s="229"/>
      <c r="O23" s="217"/>
      <c r="P23" s="218"/>
      <c r="Q23" s="218"/>
      <c r="R23" s="219" t="e">
        <f t="shared" si="3"/>
        <v>#DIV/0!</v>
      </c>
      <c r="S23" s="229"/>
      <c r="T23" s="217"/>
      <c r="U23" s="218"/>
      <c r="V23" s="218"/>
      <c r="W23" s="219" t="e">
        <f t="shared" si="4"/>
        <v>#DIV/0!</v>
      </c>
      <c r="X23" s="220"/>
    </row>
    <row r="24" spans="1:24" s="6" customFormat="1" ht="9.9499999999999993" customHeight="1" x14ac:dyDescent="0.2">
      <c r="A24" s="135" t="s">
        <v>21</v>
      </c>
      <c r="B24" s="223" t="s">
        <v>110</v>
      </c>
      <c r="C24" s="223"/>
      <c r="D24" s="133" t="s">
        <v>25</v>
      </c>
      <c r="E24" s="217">
        <f t="shared" si="7"/>
        <v>0</v>
      </c>
      <c r="F24" s="218">
        <f t="shared" si="8"/>
        <v>0</v>
      </c>
      <c r="G24" s="218">
        <f t="shared" si="9"/>
        <v>0</v>
      </c>
      <c r="H24" s="219" t="e">
        <f t="shared" si="0"/>
        <v>#DIV/0!</v>
      </c>
      <c r="I24" s="220">
        <f t="shared" si="6"/>
        <v>0</v>
      </c>
      <c r="J24" s="240"/>
      <c r="K24" s="218"/>
      <c r="L24" s="218"/>
      <c r="M24" s="219" t="e">
        <f t="shared" si="2"/>
        <v>#DIV/0!</v>
      </c>
      <c r="N24" s="229"/>
      <c r="O24" s="217"/>
      <c r="P24" s="218"/>
      <c r="Q24" s="218"/>
      <c r="R24" s="219" t="e">
        <f t="shared" si="3"/>
        <v>#DIV/0!</v>
      </c>
      <c r="S24" s="229"/>
      <c r="T24" s="217"/>
      <c r="U24" s="218"/>
      <c r="V24" s="218"/>
      <c r="W24" s="219" t="e">
        <f t="shared" si="4"/>
        <v>#DIV/0!</v>
      </c>
      <c r="X24" s="220"/>
    </row>
    <row r="25" spans="1:24" s="13" customFormat="1" ht="9.9499999999999993" customHeight="1" x14ac:dyDescent="0.2">
      <c r="A25" s="135" t="s">
        <v>22</v>
      </c>
      <c r="B25" s="223" t="s">
        <v>63</v>
      </c>
      <c r="C25" s="223"/>
      <c r="D25" s="133" t="s">
        <v>25</v>
      </c>
      <c r="E25" s="217">
        <f t="shared" si="7"/>
        <v>5000</v>
      </c>
      <c r="F25" s="218">
        <f t="shared" si="8"/>
        <v>5000</v>
      </c>
      <c r="G25" s="218">
        <f t="shared" si="9"/>
        <v>3910</v>
      </c>
      <c r="H25" s="219">
        <f t="shared" si="0"/>
        <v>78.2</v>
      </c>
      <c r="I25" s="220">
        <f t="shared" si="6"/>
        <v>4498</v>
      </c>
      <c r="J25" s="240">
        <v>5000</v>
      </c>
      <c r="K25" s="271">
        <v>5000</v>
      </c>
      <c r="L25" s="271">
        <v>3910</v>
      </c>
      <c r="M25" s="219">
        <f t="shared" si="2"/>
        <v>78.2</v>
      </c>
      <c r="N25" s="272">
        <v>4498</v>
      </c>
      <c r="O25" s="273"/>
      <c r="P25" s="271"/>
      <c r="Q25" s="271"/>
      <c r="R25" s="219" t="e">
        <f t="shared" si="3"/>
        <v>#DIV/0!</v>
      </c>
      <c r="S25" s="274"/>
      <c r="T25" s="273"/>
      <c r="U25" s="271"/>
      <c r="V25" s="271"/>
      <c r="W25" s="219" t="e">
        <f t="shared" si="4"/>
        <v>#DIV/0!</v>
      </c>
      <c r="X25" s="275"/>
    </row>
    <row r="26" spans="1:24" s="6" customFormat="1" ht="9.9499999999999993" customHeight="1" x14ac:dyDescent="0.2">
      <c r="A26" s="135" t="s">
        <v>23</v>
      </c>
      <c r="B26" s="511" t="s">
        <v>64</v>
      </c>
      <c r="C26" s="512"/>
      <c r="D26" s="133" t="s">
        <v>25</v>
      </c>
      <c r="E26" s="217">
        <f t="shared" si="7"/>
        <v>751000</v>
      </c>
      <c r="F26" s="218">
        <f t="shared" si="8"/>
        <v>751000</v>
      </c>
      <c r="G26" s="218">
        <f t="shared" si="9"/>
        <v>380683.4</v>
      </c>
      <c r="H26" s="219">
        <f t="shared" si="0"/>
        <v>50.690199733688424</v>
      </c>
      <c r="I26" s="220">
        <f t="shared" si="6"/>
        <v>325304</v>
      </c>
      <c r="J26" s="240">
        <v>751000</v>
      </c>
      <c r="K26" s="276">
        <v>751000</v>
      </c>
      <c r="L26" s="276">
        <v>380683.4</v>
      </c>
      <c r="M26" s="219">
        <f t="shared" si="2"/>
        <v>50.690199733688424</v>
      </c>
      <c r="N26" s="272">
        <v>325304</v>
      </c>
      <c r="O26" s="277"/>
      <c r="P26" s="276"/>
      <c r="Q26" s="276"/>
      <c r="R26" s="219" t="e">
        <f t="shared" si="3"/>
        <v>#DIV/0!</v>
      </c>
      <c r="S26" s="272"/>
      <c r="T26" s="278"/>
      <c r="U26" s="279"/>
      <c r="V26" s="279"/>
      <c r="W26" s="219" t="e">
        <f t="shared" si="4"/>
        <v>#DIV/0!</v>
      </c>
      <c r="X26" s="280"/>
    </row>
    <row r="27" spans="1:24" s="13" customFormat="1" ht="9.9499999999999993" customHeight="1" x14ac:dyDescent="0.2">
      <c r="A27" s="135" t="s">
        <v>44</v>
      </c>
      <c r="B27" s="236" t="s">
        <v>65</v>
      </c>
      <c r="C27" s="237"/>
      <c r="D27" s="133" t="s">
        <v>25</v>
      </c>
      <c r="E27" s="217">
        <f t="shared" si="7"/>
        <v>0</v>
      </c>
      <c r="F27" s="218">
        <f t="shared" si="8"/>
        <v>0</v>
      </c>
      <c r="G27" s="218">
        <f t="shared" si="9"/>
        <v>0</v>
      </c>
      <c r="H27" s="219" t="e">
        <f t="shared" si="0"/>
        <v>#DIV/0!</v>
      </c>
      <c r="I27" s="220">
        <f t="shared" si="6"/>
        <v>0</v>
      </c>
      <c r="J27" s="240"/>
      <c r="K27" s="276"/>
      <c r="L27" s="276"/>
      <c r="M27" s="219" t="e">
        <f t="shared" si="2"/>
        <v>#DIV/0!</v>
      </c>
      <c r="N27" s="229"/>
      <c r="O27" s="277"/>
      <c r="P27" s="276"/>
      <c r="Q27" s="276"/>
      <c r="R27" s="219" t="e">
        <f t="shared" si="3"/>
        <v>#DIV/0!</v>
      </c>
      <c r="S27" s="272"/>
      <c r="T27" s="278"/>
      <c r="U27" s="279"/>
      <c r="V27" s="279"/>
      <c r="W27" s="219" t="e">
        <f t="shared" si="4"/>
        <v>#DIV/0!</v>
      </c>
      <c r="X27" s="280"/>
    </row>
    <row r="28" spans="1:24" s="13" customFormat="1" ht="9.9499999999999993" customHeight="1" x14ac:dyDescent="0.2">
      <c r="A28" s="135" t="s">
        <v>50</v>
      </c>
      <c r="B28" s="236" t="s">
        <v>91</v>
      </c>
      <c r="C28" s="237"/>
      <c r="D28" s="133" t="s">
        <v>25</v>
      </c>
      <c r="E28" s="217">
        <f t="shared" si="7"/>
        <v>0</v>
      </c>
      <c r="F28" s="218">
        <f t="shared" si="8"/>
        <v>10000</v>
      </c>
      <c r="G28" s="218">
        <f t="shared" si="9"/>
        <v>4910</v>
      </c>
      <c r="H28" s="219">
        <f t="shared" si="0"/>
        <v>49.1</v>
      </c>
      <c r="I28" s="220">
        <f t="shared" ref="I28:I32" si="10">SUM(N28,S28)</f>
        <v>43324</v>
      </c>
      <c r="J28" s="240"/>
      <c r="K28" s="276">
        <v>10000</v>
      </c>
      <c r="L28" s="276">
        <v>4910</v>
      </c>
      <c r="M28" s="219">
        <f t="shared" si="2"/>
        <v>49.1</v>
      </c>
      <c r="N28" s="229">
        <v>43324</v>
      </c>
      <c r="O28" s="277"/>
      <c r="P28" s="276"/>
      <c r="Q28" s="276"/>
      <c r="R28" s="219" t="e">
        <f t="shared" si="3"/>
        <v>#DIV/0!</v>
      </c>
      <c r="S28" s="272"/>
      <c r="T28" s="278"/>
      <c r="U28" s="279"/>
      <c r="V28" s="279"/>
      <c r="W28" s="219" t="e">
        <f t="shared" si="4"/>
        <v>#DIV/0!</v>
      </c>
      <c r="X28" s="280"/>
    </row>
    <row r="29" spans="1:24" s="15" customFormat="1" ht="9.9499999999999993" customHeight="1" x14ac:dyDescent="0.2">
      <c r="A29" s="135" t="s">
        <v>51</v>
      </c>
      <c r="B29" s="236" t="s">
        <v>66</v>
      </c>
      <c r="C29" s="237"/>
      <c r="D29" s="133" t="s">
        <v>25</v>
      </c>
      <c r="E29" s="217">
        <f t="shared" si="7"/>
        <v>0</v>
      </c>
      <c r="F29" s="218">
        <f t="shared" si="8"/>
        <v>0</v>
      </c>
      <c r="G29" s="218">
        <f t="shared" si="9"/>
        <v>0</v>
      </c>
      <c r="H29" s="219" t="e">
        <f t="shared" si="0"/>
        <v>#DIV/0!</v>
      </c>
      <c r="I29" s="220">
        <f t="shared" si="10"/>
        <v>0</v>
      </c>
      <c r="J29" s="240"/>
      <c r="K29" s="276"/>
      <c r="L29" s="276"/>
      <c r="M29" s="219" t="e">
        <f t="shared" si="2"/>
        <v>#DIV/0!</v>
      </c>
      <c r="N29" s="272"/>
      <c r="O29" s="277"/>
      <c r="P29" s="276"/>
      <c r="Q29" s="276"/>
      <c r="R29" s="219" t="e">
        <f t="shared" si="3"/>
        <v>#DIV/0!</v>
      </c>
      <c r="S29" s="272"/>
      <c r="T29" s="278"/>
      <c r="U29" s="279"/>
      <c r="V29" s="279"/>
      <c r="W29" s="219" t="e">
        <f t="shared" si="4"/>
        <v>#DIV/0!</v>
      </c>
      <c r="X29" s="280"/>
    </row>
    <row r="30" spans="1:24" s="6" customFormat="1" ht="9.75" x14ac:dyDescent="0.2">
      <c r="A30" s="135" t="s">
        <v>53</v>
      </c>
      <c r="B30" s="236" t="s">
        <v>52</v>
      </c>
      <c r="C30" s="237"/>
      <c r="D30" s="133" t="s">
        <v>25</v>
      </c>
      <c r="E30" s="217">
        <f t="shared" si="7"/>
        <v>0</v>
      </c>
      <c r="F30" s="218">
        <f t="shared" si="8"/>
        <v>0</v>
      </c>
      <c r="G30" s="218">
        <f t="shared" si="9"/>
        <v>0</v>
      </c>
      <c r="H30" s="219" t="e">
        <f t="shared" si="0"/>
        <v>#DIV/0!</v>
      </c>
      <c r="I30" s="220">
        <f t="shared" si="10"/>
        <v>0</v>
      </c>
      <c r="J30" s="240"/>
      <c r="K30" s="276"/>
      <c r="L30" s="276"/>
      <c r="M30" s="219" t="e">
        <f t="shared" si="2"/>
        <v>#DIV/0!</v>
      </c>
      <c r="N30" s="272"/>
      <c r="O30" s="277"/>
      <c r="P30" s="276"/>
      <c r="Q30" s="276"/>
      <c r="R30" s="219" t="e">
        <f t="shared" si="3"/>
        <v>#DIV/0!</v>
      </c>
      <c r="S30" s="272"/>
      <c r="T30" s="278"/>
      <c r="U30" s="279"/>
      <c r="V30" s="279"/>
      <c r="W30" s="219" t="e">
        <f t="shared" si="4"/>
        <v>#DIV/0!</v>
      </c>
      <c r="X30" s="280"/>
    </row>
    <row r="31" spans="1:24" s="23" customFormat="1" ht="9.75" x14ac:dyDescent="0.2">
      <c r="A31" s="135" t="s">
        <v>54</v>
      </c>
      <c r="B31" s="236" t="s">
        <v>67</v>
      </c>
      <c r="C31" s="237"/>
      <c r="D31" s="133" t="s">
        <v>25</v>
      </c>
      <c r="E31" s="217">
        <f t="shared" si="7"/>
        <v>0</v>
      </c>
      <c r="F31" s="218">
        <f t="shared" si="8"/>
        <v>0</v>
      </c>
      <c r="G31" s="218">
        <f t="shared" si="9"/>
        <v>0</v>
      </c>
      <c r="H31" s="219" t="e">
        <f t="shared" si="0"/>
        <v>#DIV/0!</v>
      </c>
      <c r="I31" s="220">
        <f t="shared" si="10"/>
        <v>0</v>
      </c>
      <c r="J31" s="240"/>
      <c r="K31" s="281"/>
      <c r="L31" s="281"/>
      <c r="M31" s="219" t="e">
        <f t="shared" si="2"/>
        <v>#DIV/0!</v>
      </c>
      <c r="N31" s="282"/>
      <c r="O31" s="283"/>
      <c r="P31" s="281"/>
      <c r="Q31" s="281"/>
      <c r="R31" s="219" t="e">
        <f t="shared" si="3"/>
        <v>#DIV/0!</v>
      </c>
      <c r="S31" s="282"/>
      <c r="T31" s="284"/>
      <c r="U31" s="285"/>
      <c r="V31" s="285"/>
      <c r="W31" s="219" t="e">
        <f t="shared" si="4"/>
        <v>#DIV/0!</v>
      </c>
      <c r="X31" s="286"/>
    </row>
    <row r="32" spans="1:24" s="23" customFormat="1" ht="9.75" x14ac:dyDescent="0.2">
      <c r="A32" s="238" t="s">
        <v>55</v>
      </c>
      <c r="B32" s="233" t="s">
        <v>68</v>
      </c>
      <c r="C32" s="239"/>
      <c r="D32" s="235" t="s">
        <v>25</v>
      </c>
      <c r="E32" s="221">
        <f t="shared" si="7"/>
        <v>0</v>
      </c>
      <c r="F32" s="43">
        <f t="shared" si="8"/>
        <v>0</v>
      </c>
      <c r="G32" s="43">
        <f t="shared" si="9"/>
        <v>0</v>
      </c>
      <c r="H32" s="26" t="e">
        <f t="shared" si="0"/>
        <v>#DIV/0!</v>
      </c>
      <c r="I32" s="222">
        <f t="shared" si="10"/>
        <v>0</v>
      </c>
      <c r="J32" s="287"/>
      <c r="K32" s="288"/>
      <c r="L32" s="288"/>
      <c r="M32" s="219" t="e">
        <f t="shared" si="2"/>
        <v>#DIV/0!</v>
      </c>
      <c r="N32" s="289"/>
      <c r="O32" s="290"/>
      <c r="P32" s="288"/>
      <c r="Q32" s="288"/>
      <c r="R32" s="219" t="e">
        <f t="shared" si="3"/>
        <v>#DIV/0!</v>
      </c>
      <c r="S32" s="289"/>
      <c r="T32" s="290"/>
      <c r="U32" s="288"/>
      <c r="V32" s="288"/>
      <c r="W32" s="219" t="e">
        <f t="shared" si="4"/>
        <v>#DIV/0!</v>
      </c>
      <c r="X32" s="291"/>
    </row>
    <row r="33" spans="1:24" s="23" customFormat="1" ht="9.75" x14ac:dyDescent="0.2">
      <c r="A33" s="134" t="s">
        <v>56</v>
      </c>
      <c r="B33" s="21" t="s">
        <v>102</v>
      </c>
      <c r="C33" s="22"/>
      <c r="D33" s="20" t="s">
        <v>25</v>
      </c>
      <c r="E33" s="29">
        <f>E6-E11</f>
        <v>0</v>
      </c>
      <c r="F33" s="29">
        <f>F6-F11</f>
        <v>0</v>
      </c>
      <c r="G33" s="29">
        <f>G6-G11</f>
        <v>0</v>
      </c>
      <c r="H33" s="24" t="e">
        <f t="shared" si="0"/>
        <v>#DIV/0!</v>
      </c>
      <c r="I33" s="29">
        <f>I6-I11</f>
        <v>-170540</v>
      </c>
      <c r="J33" s="29">
        <f>J6-J11</f>
        <v>0</v>
      </c>
      <c r="K33" s="29">
        <f>K6-K11</f>
        <v>0</v>
      </c>
      <c r="L33" s="29">
        <f>L6-L11</f>
        <v>0</v>
      </c>
      <c r="M33" s="24" t="e">
        <f t="shared" si="2"/>
        <v>#DIV/0!</v>
      </c>
      <c r="N33" s="29">
        <f>N6-N11</f>
        <v>0</v>
      </c>
      <c r="O33" s="29">
        <f>O6-O11</f>
        <v>0</v>
      </c>
      <c r="P33" s="29">
        <f>P6-P11</f>
        <v>0</v>
      </c>
      <c r="Q33" s="29">
        <f>Q6-Q11</f>
        <v>0</v>
      </c>
      <c r="R33" s="24" t="e">
        <f t="shared" si="3"/>
        <v>#DIV/0!</v>
      </c>
      <c r="S33" s="29">
        <f>S6-S11</f>
        <v>0</v>
      </c>
      <c r="T33" s="29">
        <f>T6-T11</f>
        <v>130000</v>
      </c>
      <c r="U33" s="29">
        <f>U6-U11</f>
        <v>130000</v>
      </c>
      <c r="V33" s="29">
        <f>V6-V11</f>
        <v>255449.5</v>
      </c>
      <c r="W33" s="24">
        <f t="shared" si="4"/>
        <v>196.49961538461537</v>
      </c>
      <c r="X33" s="29">
        <f>X6-X11</f>
        <v>359158</v>
      </c>
    </row>
    <row r="34" spans="1:24" s="4" customFormat="1" ht="9" x14ac:dyDescent="0.2">
      <c r="A34" s="224" t="s">
        <v>57</v>
      </c>
      <c r="B34" s="509" t="s">
        <v>24</v>
      </c>
      <c r="C34" s="510"/>
      <c r="D34" s="136" t="s">
        <v>25</v>
      </c>
      <c r="E34" s="196">
        <v>23530</v>
      </c>
      <c r="F34" s="197">
        <v>23530</v>
      </c>
      <c r="G34" s="197">
        <v>23523</v>
      </c>
      <c r="H34" s="12">
        <f t="shared" si="0"/>
        <v>99.970250743731398</v>
      </c>
      <c r="I34" s="256">
        <v>22756</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292">
        <v>8.5</v>
      </c>
      <c r="F35" s="257">
        <v>8.5</v>
      </c>
      <c r="G35" s="257">
        <v>8.5</v>
      </c>
      <c r="H35" s="261">
        <f t="shared" si="0"/>
        <v>100</v>
      </c>
      <c r="I35" s="258">
        <v>8.5</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10</v>
      </c>
      <c r="F36" s="201">
        <v>10</v>
      </c>
      <c r="G36" s="201">
        <v>10</v>
      </c>
      <c r="H36" s="259">
        <f t="shared" si="0"/>
        <v>100</v>
      </c>
      <c r="I36" s="260">
        <v>10</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E4:E5"/>
    <mergeCell ref="A3:A5"/>
    <mergeCell ref="P4:R4"/>
    <mergeCell ref="J3:N3"/>
    <mergeCell ref="F4:H4"/>
    <mergeCell ref="O4:O5"/>
    <mergeCell ref="D3:D5"/>
    <mergeCell ref="S4:S5"/>
    <mergeCell ref="O3:S3"/>
    <mergeCell ref="B6:C6"/>
    <mergeCell ref="J4:J5"/>
    <mergeCell ref="K4:M4"/>
    <mergeCell ref="N4:N5"/>
    <mergeCell ref="B21:C21"/>
    <mergeCell ref="B7:C7"/>
    <mergeCell ref="B3:C5"/>
    <mergeCell ref="E3:I3"/>
    <mergeCell ref="B8:C8"/>
    <mergeCell ref="B10:C10"/>
    <mergeCell ref="B11:C11"/>
    <mergeCell ref="I4:I5"/>
    <mergeCell ref="B12:C12"/>
    <mergeCell ref="B13:C13"/>
    <mergeCell ref="B15:C15"/>
    <mergeCell ref="B16:C16"/>
    <mergeCell ref="B34:C34"/>
    <mergeCell ref="J34:X36"/>
    <mergeCell ref="B35:C35"/>
    <mergeCell ref="B36:C36"/>
    <mergeCell ref="B18:C18"/>
    <mergeCell ref="B19:C19"/>
    <mergeCell ref="B20:C20"/>
    <mergeCell ref="B22:C22"/>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
  <sheetViews>
    <sheetView tabSelected="1" zoomScaleNormal="100" workbookViewId="0">
      <selection activeCell="A29" sqref="A29:I29"/>
    </sheetView>
  </sheetViews>
  <sheetFormatPr defaultRowHeight="12.75" x14ac:dyDescent="0.2"/>
  <cols>
    <col min="1" max="1" width="74.75" style="71" customWidth="1"/>
    <col min="2" max="9" width="23.75" style="71" customWidth="1"/>
    <col min="12" max="12" width="17.75" bestFit="1" customWidth="1"/>
  </cols>
  <sheetData>
    <row r="1" spans="1:14" ht="18.75" x14ac:dyDescent="0.3">
      <c r="A1" s="70" t="s">
        <v>89</v>
      </c>
      <c r="B1" s="70"/>
      <c r="C1" s="70"/>
      <c r="D1" s="70"/>
      <c r="E1" s="70"/>
      <c r="F1" s="70"/>
      <c r="G1" s="70"/>
      <c r="H1" s="70"/>
      <c r="I1" s="70"/>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392" t="s">
        <v>25</v>
      </c>
      <c r="D5" s="472" t="s">
        <v>113</v>
      </c>
      <c r="E5" s="472"/>
      <c r="F5" s="472"/>
      <c r="G5" s="472"/>
      <c r="H5" s="472"/>
      <c r="I5" s="472"/>
    </row>
    <row r="6" spans="1:14" s="102" customFormat="1" ht="36" customHeight="1" x14ac:dyDescent="0.2">
      <c r="A6" s="467" t="s">
        <v>70</v>
      </c>
      <c r="B6" s="468"/>
      <c r="C6" s="180">
        <v>271190.31</v>
      </c>
      <c r="D6" s="473" t="s">
        <v>141</v>
      </c>
      <c r="E6" s="473"/>
      <c r="F6" s="473"/>
      <c r="G6" s="473"/>
      <c r="H6" s="473"/>
      <c r="I6" s="473"/>
    </row>
    <row r="7" spans="1:14" s="104" customFormat="1" ht="11.25" customHeight="1" x14ac:dyDescent="0.15">
      <c r="A7" s="467" t="s">
        <v>38</v>
      </c>
      <c r="B7" s="468"/>
      <c r="C7" s="180">
        <v>0</v>
      </c>
      <c r="D7" s="460"/>
      <c r="E7" s="461"/>
      <c r="F7" s="461"/>
      <c r="G7" s="461"/>
      <c r="H7" s="461"/>
      <c r="I7" s="462"/>
    </row>
    <row r="8" spans="1:14" s="104" customFormat="1" ht="10.5" x14ac:dyDescent="0.15">
      <c r="A8" s="467" t="s">
        <v>71</v>
      </c>
      <c r="B8" s="468"/>
      <c r="C8" s="180">
        <v>-734079</v>
      </c>
      <c r="D8" s="463"/>
      <c r="E8" s="464"/>
      <c r="F8" s="464"/>
      <c r="G8" s="464"/>
      <c r="H8" s="464"/>
      <c r="I8" s="465"/>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45.75" customHeight="1" x14ac:dyDescent="0.2">
      <c r="A13" s="205" t="s">
        <v>72</v>
      </c>
      <c r="B13" s="185">
        <v>127256.07</v>
      </c>
      <c r="C13" s="185">
        <v>93038.28</v>
      </c>
      <c r="D13" s="185">
        <v>29841</v>
      </c>
      <c r="E13" s="408">
        <v>190453.35</v>
      </c>
      <c r="F13" s="409">
        <v>190453.35</v>
      </c>
      <c r="G13" s="476" t="s">
        <v>142</v>
      </c>
      <c r="H13" s="549"/>
      <c r="I13" s="550"/>
    </row>
    <row r="14" spans="1:14" s="102" customFormat="1" ht="47.25" customHeight="1" x14ac:dyDescent="0.2">
      <c r="A14" s="207" t="s">
        <v>117</v>
      </c>
      <c r="B14" s="181">
        <v>146862.20000000001</v>
      </c>
      <c r="C14" s="181">
        <v>198891</v>
      </c>
      <c r="D14" s="181">
        <v>180471</v>
      </c>
      <c r="E14" s="181">
        <v>165282.20000000001</v>
      </c>
      <c r="F14" s="204">
        <v>165282.20000000001</v>
      </c>
      <c r="G14" s="482" t="s">
        <v>143</v>
      </c>
      <c r="H14" s="551"/>
      <c r="I14" s="552"/>
      <c r="N14" s="109"/>
    </row>
    <row r="15" spans="1:14" s="102" customFormat="1" ht="11.25" x14ac:dyDescent="0.2">
      <c r="A15" s="207" t="s">
        <v>73</v>
      </c>
      <c r="B15" s="181">
        <v>100135</v>
      </c>
      <c r="C15" s="181">
        <v>20000</v>
      </c>
      <c r="D15" s="181">
        <v>0</v>
      </c>
      <c r="E15" s="181">
        <v>120135</v>
      </c>
      <c r="F15" s="204">
        <v>120135</v>
      </c>
      <c r="G15" s="482" t="s">
        <v>144</v>
      </c>
      <c r="H15" s="551"/>
      <c r="I15" s="552"/>
    </row>
    <row r="16" spans="1:14" s="102" customFormat="1" ht="82.5" customHeight="1" x14ac:dyDescent="0.2">
      <c r="A16" s="209" t="s">
        <v>97</v>
      </c>
      <c r="B16" s="187">
        <v>12022.04</v>
      </c>
      <c r="C16" s="187">
        <v>32480</v>
      </c>
      <c r="D16" s="187">
        <v>40971</v>
      </c>
      <c r="E16" s="187">
        <v>3531.04</v>
      </c>
      <c r="F16" s="410">
        <v>12574.04</v>
      </c>
      <c r="G16" s="483" t="s">
        <v>274</v>
      </c>
      <c r="H16" s="553"/>
      <c r="I16" s="554"/>
    </row>
    <row r="17" spans="1:9" s="102" customFormat="1" ht="11.25" x14ac:dyDescent="0.2">
      <c r="A17" s="110" t="s">
        <v>34</v>
      </c>
      <c r="B17" s="111">
        <f>SUM(B13:B16)</f>
        <v>386275.31</v>
      </c>
      <c r="C17" s="111">
        <f>SUM(C13:C16)</f>
        <v>344409.28</v>
      </c>
      <c r="D17" s="111">
        <f>SUM(D13:D16)</f>
        <v>251283</v>
      </c>
      <c r="E17" s="111">
        <f>SUM(E13:E16)</f>
        <v>479401.59</v>
      </c>
      <c r="F17" s="111">
        <f>SUM(F13:F16)</f>
        <v>488444.59</v>
      </c>
      <c r="G17" s="633"/>
      <c r="H17" s="633"/>
      <c r="I17" s="633"/>
    </row>
    <row r="18" spans="1:9" s="116" customFormat="1" ht="11.25" x14ac:dyDescent="0.2">
      <c r="A18" s="102"/>
      <c r="B18" s="102"/>
      <c r="C18" s="105"/>
      <c r="D18" s="102"/>
      <c r="E18" s="102"/>
      <c r="F18" s="102"/>
      <c r="G18" s="102"/>
      <c r="H18" s="102"/>
      <c r="I18" s="102"/>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47.25" customHeight="1" x14ac:dyDescent="0.2">
      <c r="A21" s="620" t="s">
        <v>252</v>
      </c>
      <c r="B21" s="621"/>
      <c r="C21" s="621"/>
      <c r="D21" s="621"/>
      <c r="E21" s="621"/>
      <c r="F21" s="621"/>
      <c r="G21" s="621"/>
      <c r="H21" s="621"/>
      <c r="I21" s="622"/>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5.5" customHeight="1" x14ac:dyDescent="0.15">
      <c r="A33" s="585" t="s">
        <v>232</v>
      </c>
      <c r="B33" s="586"/>
      <c r="C33" s="586"/>
      <c r="D33" s="586"/>
      <c r="E33" s="586"/>
      <c r="F33" s="586"/>
      <c r="G33" s="586"/>
      <c r="H33" s="586"/>
      <c r="I33" s="587"/>
    </row>
    <row r="34" spans="1:9" s="23" customFormat="1" ht="10.5" x14ac:dyDescent="0.15">
      <c r="A34" s="623" t="s">
        <v>145</v>
      </c>
      <c r="B34" s="624"/>
      <c r="C34" s="624"/>
      <c r="D34" s="624"/>
      <c r="E34" s="624"/>
      <c r="F34" s="624"/>
      <c r="G34" s="624"/>
      <c r="H34" s="624"/>
      <c r="I34" s="625"/>
    </row>
    <row r="35" spans="1:9" x14ac:dyDescent="0.2">
      <c r="A35" s="28"/>
      <c r="B35" s="28"/>
      <c r="C35" s="28"/>
      <c r="D35" s="28"/>
      <c r="E35" s="28"/>
      <c r="F35" s="28"/>
      <c r="G35" s="28"/>
      <c r="H35" s="28"/>
      <c r="I35" s="28"/>
    </row>
    <row r="36" spans="1:9" x14ac:dyDescent="0.2">
      <c r="A36" s="28"/>
      <c r="B36" s="28"/>
      <c r="C36" s="28"/>
      <c r="D36" s="28"/>
      <c r="E36" s="28"/>
      <c r="F36" s="28"/>
      <c r="G36" s="28"/>
      <c r="H36" s="28"/>
      <c r="I36" s="28"/>
    </row>
  </sheetData>
  <mergeCells count="24">
    <mergeCell ref="A34:I34"/>
    <mergeCell ref="A33:I33"/>
    <mergeCell ref="A3:I3"/>
    <mergeCell ref="A5:B5"/>
    <mergeCell ref="D5:I5"/>
    <mergeCell ref="A6:B6"/>
    <mergeCell ref="D6:I6"/>
    <mergeCell ref="G17:I17"/>
    <mergeCell ref="D7:I8"/>
    <mergeCell ref="A23:I23"/>
    <mergeCell ref="A27:I27"/>
    <mergeCell ref="A31:I31"/>
    <mergeCell ref="A21:I21"/>
    <mergeCell ref="A25:I25"/>
    <mergeCell ref="A29:I29"/>
    <mergeCell ref="G12:I12"/>
    <mergeCell ref="A7:B7"/>
    <mergeCell ref="A8:B8"/>
    <mergeCell ref="A10:I10"/>
    <mergeCell ref="A19:I19"/>
    <mergeCell ref="G14:I14"/>
    <mergeCell ref="G15:I15"/>
    <mergeCell ref="G16:I16"/>
    <mergeCell ref="G13:I13"/>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112"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529" t="s">
        <v>89</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10609831</v>
      </c>
      <c r="F6" s="29">
        <f>SUM(F7:F9)</f>
        <v>10615831</v>
      </c>
      <c r="G6" s="29">
        <f>SUM(G7:G9)</f>
        <v>4464510</v>
      </c>
      <c r="H6" s="24">
        <f t="shared" ref="H6:H36" si="0">G6/F6*100</f>
        <v>42.055209808822312</v>
      </c>
      <c r="I6" s="29">
        <f>SUM(I7:I9)</f>
        <v>6044184</v>
      </c>
      <c r="J6" s="138">
        <v>8895610</v>
      </c>
      <c r="K6" s="29">
        <v>8901610</v>
      </c>
      <c r="L6" s="29">
        <v>4464510</v>
      </c>
      <c r="M6" s="24">
        <v>50.15</v>
      </c>
      <c r="N6" s="30">
        <v>4348519</v>
      </c>
      <c r="O6" s="29">
        <v>1714221</v>
      </c>
      <c r="P6" s="29">
        <v>1714221</v>
      </c>
      <c r="Q6" s="29">
        <v>0</v>
      </c>
      <c r="R6" s="24">
        <v>0</v>
      </c>
      <c r="S6" s="29">
        <v>1695665</v>
      </c>
      <c r="T6" s="29">
        <v>0</v>
      </c>
      <c r="U6" s="29">
        <v>0</v>
      </c>
      <c r="V6" s="29">
        <v>0</v>
      </c>
      <c r="W6" s="24" t="e">
        <v>#DIV/0!</v>
      </c>
      <c r="X6" s="29">
        <v>0</v>
      </c>
    </row>
    <row r="7" spans="1:24" s="6" customFormat="1" ht="9.9499999999999993" customHeight="1" x14ac:dyDescent="0.2">
      <c r="A7" s="130" t="s">
        <v>2</v>
      </c>
      <c r="B7" s="522" t="s">
        <v>45</v>
      </c>
      <c r="C7" s="523"/>
      <c r="D7" s="131" t="s">
        <v>25</v>
      </c>
      <c r="E7" s="32">
        <f t="shared" ref="E7:G10" si="1">SUM(J7,O7)</f>
        <v>626000</v>
      </c>
      <c r="F7" s="33">
        <f t="shared" si="1"/>
        <v>626000</v>
      </c>
      <c r="G7" s="33">
        <f t="shared" si="1"/>
        <v>323706</v>
      </c>
      <c r="H7" s="9">
        <f t="shared" si="0"/>
        <v>51.710223642172522</v>
      </c>
      <c r="I7" s="34">
        <f>SUM(N7,S7)</f>
        <v>370959</v>
      </c>
      <c r="J7" s="142">
        <v>626000</v>
      </c>
      <c r="K7" s="35">
        <v>626000</v>
      </c>
      <c r="L7" s="35">
        <v>323706</v>
      </c>
      <c r="M7" s="9">
        <v>51.71</v>
      </c>
      <c r="N7" s="36">
        <v>370959</v>
      </c>
      <c r="O7" s="37"/>
      <c r="P7" s="35"/>
      <c r="Q7" s="35"/>
      <c r="R7" s="9" t="e">
        <v>#DIV/0!</v>
      </c>
      <c r="S7" s="36"/>
      <c r="T7" s="37"/>
      <c r="U7" s="35"/>
      <c r="V7" s="35"/>
      <c r="W7" s="9" t="e">
        <v>#DIV/0!</v>
      </c>
      <c r="X7" s="65"/>
    </row>
    <row r="8" spans="1:24" s="6" customFormat="1" ht="9.9499999999999993" customHeight="1" x14ac:dyDescent="0.2">
      <c r="A8" s="132" t="s">
        <v>3</v>
      </c>
      <c r="B8" s="524" t="s">
        <v>46</v>
      </c>
      <c r="C8" s="525"/>
      <c r="D8" s="133" t="s">
        <v>25</v>
      </c>
      <c r="E8" s="38">
        <f t="shared" si="1"/>
        <v>0</v>
      </c>
      <c r="F8" s="39">
        <f t="shared" si="1"/>
        <v>0</v>
      </c>
      <c r="G8" s="39">
        <f t="shared" si="1"/>
        <v>0</v>
      </c>
      <c r="H8" s="10" t="e">
        <f t="shared" si="0"/>
        <v>#DIV/0!</v>
      </c>
      <c r="I8" s="40">
        <f>SUM(N8,S8)</f>
        <v>0</v>
      </c>
      <c r="J8" s="243">
        <v>0</v>
      </c>
      <c r="K8" s="39"/>
      <c r="L8" s="39"/>
      <c r="M8" s="10" t="e">
        <v>#DIV/0!</v>
      </c>
      <c r="N8" s="40"/>
      <c r="O8" s="38"/>
      <c r="P8" s="39"/>
      <c r="Q8" s="39"/>
      <c r="R8" s="10" t="e">
        <v>#DIV/0!</v>
      </c>
      <c r="S8" s="40"/>
      <c r="T8" s="38"/>
      <c r="U8" s="39"/>
      <c r="V8" s="39"/>
      <c r="W8" s="10" t="e">
        <v>#DIV/0!</v>
      </c>
      <c r="X8" s="41"/>
    </row>
    <row r="9" spans="1:24" s="6" customFormat="1" ht="9.9499999999999993" customHeight="1" x14ac:dyDescent="0.2">
      <c r="A9" s="232" t="s">
        <v>4</v>
      </c>
      <c r="B9" s="233" t="s">
        <v>60</v>
      </c>
      <c r="C9" s="234"/>
      <c r="D9" s="235" t="s">
        <v>25</v>
      </c>
      <c r="E9" s="42">
        <f t="shared" si="1"/>
        <v>9983831</v>
      </c>
      <c r="F9" s="43">
        <f t="shared" si="1"/>
        <v>9989831</v>
      </c>
      <c r="G9" s="43">
        <f t="shared" si="1"/>
        <v>4140804</v>
      </c>
      <c r="H9" s="26">
        <f t="shared" si="0"/>
        <v>41.450190698921737</v>
      </c>
      <c r="I9" s="44">
        <f>SUM(N9,S9)</f>
        <v>5673225</v>
      </c>
      <c r="J9" s="244">
        <v>8269610</v>
      </c>
      <c r="K9" s="43">
        <v>8275610</v>
      </c>
      <c r="L9" s="43">
        <v>4140804</v>
      </c>
      <c r="M9" s="26">
        <v>50.04</v>
      </c>
      <c r="N9" s="44">
        <v>3977560</v>
      </c>
      <c r="O9" s="42">
        <v>1714221</v>
      </c>
      <c r="P9" s="43">
        <v>1714221</v>
      </c>
      <c r="Q9" s="43">
        <v>0</v>
      </c>
      <c r="R9" s="26">
        <v>0</v>
      </c>
      <c r="S9" s="44">
        <v>1695665</v>
      </c>
      <c r="T9" s="42"/>
      <c r="U9" s="43"/>
      <c r="V9" s="43"/>
      <c r="W9" s="26" t="e">
        <v>#DIV/0!</v>
      </c>
      <c r="X9" s="45"/>
    </row>
    <row r="10" spans="1:24" s="6" customFormat="1" ht="9.9499999999999993" customHeight="1" x14ac:dyDescent="0.2">
      <c r="A10" s="134" t="s">
        <v>5</v>
      </c>
      <c r="B10" s="526" t="s">
        <v>7</v>
      </c>
      <c r="C10" s="527"/>
      <c r="D10" s="20" t="s">
        <v>25</v>
      </c>
      <c r="E10" s="46">
        <f t="shared" si="1"/>
        <v>0</v>
      </c>
      <c r="F10" s="46">
        <f t="shared" si="1"/>
        <v>0</v>
      </c>
      <c r="G10" s="46">
        <f t="shared" si="1"/>
        <v>0</v>
      </c>
      <c r="H10" s="24" t="e">
        <f t="shared" si="0"/>
        <v>#DIV/0!</v>
      </c>
      <c r="I10" s="47">
        <f>SUM(N10,S10)</f>
        <v>0</v>
      </c>
      <c r="J10" s="139"/>
      <c r="K10" s="46"/>
      <c r="L10" s="46"/>
      <c r="M10" s="24" t="e">
        <v>#DIV/0!</v>
      </c>
      <c r="N10" s="47"/>
      <c r="O10" s="46"/>
      <c r="P10" s="46"/>
      <c r="Q10" s="46"/>
      <c r="R10" s="24" t="e">
        <v>#DIV/0!</v>
      </c>
      <c r="S10" s="47"/>
      <c r="T10" s="46"/>
      <c r="U10" s="46"/>
      <c r="V10" s="46"/>
      <c r="W10" s="24" t="e">
        <v>#DIV/0!</v>
      </c>
      <c r="X10" s="46"/>
    </row>
    <row r="11" spans="1:24" s="6" customFormat="1" ht="9.9499999999999993" customHeight="1" x14ac:dyDescent="0.2">
      <c r="A11" s="134" t="s">
        <v>6</v>
      </c>
      <c r="B11" s="526" t="s">
        <v>9</v>
      </c>
      <c r="C11" s="527"/>
      <c r="D11" s="20" t="s">
        <v>25</v>
      </c>
      <c r="E11" s="29">
        <f>SUM(E12:E31)</f>
        <v>10609831</v>
      </c>
      <c r="F11" s="29">
        <f>SUM(F12:F31)</f>
        <v>10615831</v>
      </c>
      <c r="G11" s="29">
        <f>SUM(G12:G31)</f>
        <v>4927399</v>
      </c>
      <c r="H11" s="24">
        <f t="shared" si="0"/>
        <v>46.415575003030852</v>
      </c>
      <c r="I11" s="30">
        <f>SUM(I12:I31)</f>
        <v>4657777</v>
      </c>
      <c r="J11" s="30">
        <v>8895610</v>
      </c>
      <c r="K11" s="29">
        <v>8901610</v>
      </c>
      <c r="L11" s="29">
        <v>4193320</v>
      </c>
      <c r="M11" s="24">
        <v>47.11</v>
      </c>
      <c r="N11" s="30">
        <v>3980520</v>
      </c>
      <c r="O11" s="29">
        <v>1714221</v>
      </c>
      <c r="P11" s="29">
        <v>1714221</v>
      </c>
      <c r="Q11" s="29">
        <v>734079</v>
      </c>
      <c r="R11" s="24">
        <v>42.82</v>
      </c>
      <c r="S11" s="30">
        <v>677257</v>
      </c>
      <c r="T11" s="29">
        <v>0</v>
      </c>
      <c r="U11" s="29">
        <v>0</v>
      </c>
      <c r="V11" s="29">
        <v>0</v>
      </c>
      <c r="W11" s="24" t="e">
        <v>#DIV/0!</v>
      </c>
      <c r="X11" s="29">
        <v>0</v>
      </c>
    </row>
    <row r="12" spans="1:24" s="6" customFormat="1" ht="9.9499999999999993" customHeight="1" x14ac:dyDescent="0.2">
      <c r="A12" s="130" t="s">
        <v>8</v>
      </c>
      <c r="B12" s="528" t="s">
        <v>28</v>
      </c>
      <c r="C12" s="528"/>
      <c r="D12" s="131" t="s">
        <v>25</v>
      </c>
      <c r="E12" s="32">
        <f t="shared" ref="E12:I29" si="2">SUM(J12,O12)</f>
        <v>1379531</v>
      </c>
      <c r="F12" s="33">
        <f t="shared" si="2"/>
        <v>1384531</v>
      </c>
      <c r="G12" s="33">
        <f t="shared" si="2"/>
        <v>579419</v>
      </c>
      <c r="H12" s="9">
        <f t="shared" si="0"/>
        <v>41.849478270981294</v>
      </c>
      <c r="I12" s="34">
        <f t="shared" si="2"/>
        <v>496396</v>
      </c>
      <c r="J12" s="143">
        <v>1148110</v>
      </c>
      <c r="K12" s="48">
        <v>1153110</v>
      </c>
      <c r="L12" s="48">
        <v>579419</v>
      </c>
      <c r="M12" s="9">
        <v>50.25</v>
      </c>
      <c r="N12" s="49">
        <v>496396</v>
      </c>
      <c r="O12" s="50">
        <v>231421</v>
      </c>
      <c r="P12" s="48">
        <v>231421</v>
      </c>
      <c r="Q12" s="48">
        <v>0</v>
      </c>
      <c r="R12" s="9">
        <v>0</v>
      </c>
      <c r="S12" s="51">
        <v>0</v>
      </c>
      <c r="T12" s="50"/>
      <c r="U12" s="48"/>
      <c r="V12" s="48"/>
      <c r="W12" s="9" t="e">
        <v>#DIV/0!</v>
      </c>
      <c r="X12" s="52"/>
    </row>
    <row r="13" spans="1:24" s="6" customFormat="1" ht="9.9499999999999993" customHeight="1" x14ac:dyDescent="0.2">
      <c r="A13" s="135" t="s">
        <v>10</v>
      </c>
      <c r="B13" s="508" t="s">
        <v>29</v>
      </c>
      <c r="C13" s="508"/>
      <c r="D13" s="133" t="s">
        <v>25</v>
      </c>
      <c r="E13" s="38">
        <f t="shared" si="2"/>
        <v>665600</v>
      </c>
      <c r="F13" s="39">
        <f t="shared" si="2"/>
        <v>665600</v>
      </c>
      <c r="G13" s="39">
        <f t="shared" si="2"/>
        <v>223702</v>
      </c>
      <c r="H13" s="10">
        <f t="shared" si="0"/>
        <v>33.609074519230766</v>
      </c>
      <c r="I13" s="40">
        <f t="shared" si="2"/>
        <v>207274</v>
      </c>
      <c r="J13" s="240">
        <v>660000</v>
      </c>
      <c r="K13" s="39">
        <v>660000</v>
      </c>
      <c r="L13" s="39">
        <v>223702</v>
      </c>
      <c r="M13" s="10">
        <v>33.89</v>
      </c>
      <c r="N13" s="40">
        <v>207274</v>
      </c>
      <c r="O13" s="38">
        <v>5600</v>
      </c>
      <c r="P13" s="39">
        <v>5600</v>
      </c>
      <c r="Q13" s="39">
        <v>0</v>
      </c>
      <c r="R13" s="10">
        <v>0</v>
      </c>
      <c r="S13" s="40">
        <v>0</v>
      </c>
      <c r="T13" s="38"/>
      <c r="U13" s="39"/>
      <c r="V13" s="39"/>
      <c r="W13" s="10" t="e">
        <v>#DIV/0!</v>
      </c>
      <c r="X13" s="41"/>
    </row>
    <row r="14" spans="1:24" s="6" customFormat="1" ht="9.9499999999999993" customHeight="1" x14ac:dyDescent="0.2">
      <c r="A14" s="135" t="s">
        <v>11</v>
      </c>
      <c r="B14" s="236" t="s">
        <v>61</v>
      </c>
      <c r="C14" s="237"/>
      <c r="D14" s="133" t="s">
        <v>25</v>
      </c>
      <c r="E14" s="38">
        <f t="shared" si="2"/>
        <v>0</v>
      </c>
      <c r="F14" s="39">
        <f t="shared" si="2"/>
        <v>0</v>
      </c>
      <c r="G14" s="39">
        <f t="shared" si="2"/>
        <v>0</v>
      </c>
      <c r="H14" s="10" t="e">
        <f t="shared" si="0"/>
        <v>#DIV/0!</v>
      </c>
      <c r="I14" s="40">
        <f t="shared" si="2"/>
        <v>0</v>
      </c>
      <c r="J14" s="240"/>
      <c r="K14" s="39"/>
      <c r="L14" s="39"/>
      <c r="M14" s="10" t="e">
        <v>#DIV/0!</v>
      </c>
      <c r="N14" s="40"/>
      <c r="O14" s="38"/>
      <c r="P14" s="39"/>
      <c r="Q14" s="39"/>
      <c r="R14" s="10" t="e">
        <v>#DIV/0!</v>
      </c>
      <c r="S14" s="40"/>
      <c r="T14" s="38"/>
      <c r="U14" s="39"/>
      <c r="V14" s="39"/>
      <c r="W14" s="10" t="e">
        <v>#DIV/0!</v>
      </c>
      <c r="X14" s="41"/>
    </row>
    <row r="15" spans="1:24" s="6" customFormat="1" ht="9.9499999999999993" customHeight="1" x14ac:dyDescent="0.2">
      <c r="A15" s="135" t="s">
        <v>12</v>
      </c>
      <c r="B15" s="511" t="s">
        <v>109</v>
      </c>
      <c r="C15" s="512"/>
      <c r="D15" s="133" t="s">
        <v>25</v>
      </c>
      <c r="E15" s="38">
        <f t="shared" si="2"/>
        <v>142000</v>
      </c>
      <c r="F15" s="39">
        <f t="shared" si="2"/>
        <v>142000</v>
      </c>
      <c r="G15" s="39">
        <f t="shared" si="2"/>
        <v>36047</v>
      </c>
      <c r="H15" s="10">
        <f t="shared" si="0"/>
        <v>25.385211267605634</v>
      </c>
      <c r="I15" s="40">
        <f t="shared" si="2"/>
        <v>22556</v>
      </c>
      <c r="J15" s="240">
        <v>142000</v>
      </c>
      <c r="K15" s="39">
        <v>142000</v>
      </c>
      <c r="L15" s="39">
        <v>36047</v>
      </c>
      <c r="M15" s="10">
        <v>25.39</v>
      </c>
      <c r="N15" s="40">
        <v>22556</v>
      </c>
      <c r="O15" s="38"/>
      <c r="P15" s="39"/>
      <c r="Q15" s="39"/>
      <c r="R15" s="10" t="e">
        <v>#DIV/0!</v>
      </c>
      <c r="S15" s="40"/>
      <c r="T15" s="38"/>
      <c r="U15" s="39"/>
      <c r="V15" s="39"/>
      <c r="W15" s="10" t="e">
        <v>#DIV/0!</v>
      </c>
      <c r="X15" s="41"/>
    </row>
    <row r="16" spans="1:24" s="6" customFormat="1" ht="9.9499999999999993" customHeight="1" x14ac:dyDescent="0.2">
      <c r="A16" s="135" t="s">
        <v>13</v>
      </c>
      <c r="B16" s="511" t="s">
        <v>30</v>
      </c>
      <c r="C16" s="512"/>
      <c r="D16" s="133" t="s">
        <v>25</v>
      </c>
      <c r="E16" s="38">
        <f t="shared" si="2"/>
        <v>36000</v>
      </c>
      <c r="F16" s="39">
        <f t="shared" si="2"/>
        <v>36000</v>
      </c>
      <c r="G16" s="39">
        <f t="shared" si="2"/>
        <v>20587</v>
      </c>
      <c r="H16" s="10">
        <f t="shared" si="0"/>
        <v>57.186111111111117</v>
      </c>
      <c r="I16" s="40">
        <f t="shared" si="2"/>
        <v>8366</v>
      </c>
      <c r="J16" s="240">
        <v>22000</v>
      </c>
      <c r="K16" s="39">
        <v>22000</v>
      </c>
      <c r="L16" s="39">
        <v>12471</v>
      </c>
      <c r="M16" s="10">
        <v>56.69</v>
      </c>
      <c r="N16" s="40">
        <v>5709</v>
      </c>
      <c r="O16" s="38">
        <v>14000</v>
      </c>
      <c r="P16" s="39">
        <v>14000</v>
      </c>
      <c r="Q16" s="39">
        <v>8116</v>
      </c>
      <c r="R16" s="10">
        <v>57.97</v>
      </c>
      <c r="S16" s="40">
        <v>2657</v>
      </c>
      <c r="T16" s="38"/>
      <c r="U16" s="39"/>
      <c r="V16" s="39"/>
      <c r="W16" s="10" t="e">
        <v>#DIV/0!</v>
      </c>
      <c r="X16" s="41"/>
    </row>
    <row r="17" spans="1:24" s="6" customFormat="1" ht="9.9499999999999993" customHeight="1" x14ac:dyDescent="0.2">
      <c r="A17" s="135" t="s">
        <v>14</v>
      </c>
      <c r="B17" s="236" t="s">
        <v>47</v>
      </c>
      <c r="C17" s="237"/>
      <c r="D17" s="133" t="s">
        <v>25</v>
      </c>
      <c r="E17" s="38">
        <f t="shared" si="2"/>
        <v>5000</v>
      </c>
      <c r="F17" s="39">
        <f t="shared" si="2"/>
        <v>6000</v>
      </c>
      <c r="G17" s="39">
        <f t="shared" si="2"/>
        <v>2894</v>
      </c>
      <c r="H17" s="10">
        <f t="shared" si="0"/>
        <v>48.233333333333334</v>
      </c>
      <c r="I17" s="40">
        <f t="shared" si="2"/>
        <v>1390</v>
      </c>
      <c r="J17" s="240">
        <v>5000</v>
      </c>
      <c r="K17" s="39">
        <v>6000</v>
      </c>
      <c r="L17" s="39">
        <v>2894</v>
      </c>
      <c r="M17" s="10">
        <v>48.23</v>
      </c>
      <c r="N17" s="40">
        <v>1390</v>
      </c>
      <c r="O17" s="38"/>
      <c r="P17" s="39"/>
      <c r="Q17" s="39"/>
      <c r="R17" s="10" t="e">
        <v>#DIV/0!</v>
      </c>
      <c r="S17" s="40"/>
      <c r="T17" s="38"/>
      <c r="U17" s="39"/>
      <c r="V17" s="39"/>
      <c r="W17" s="10" t="e">
        <v>#DIV/0!</v>
      </c>
      <c r="X17" s="41"/>
    </row>
    <row r="18" spans="1:24" s="6" customFormat="1" ht="9.9499999999999993" customHeight="1" x14ac:dyDescent="0.2">
      <c r="A18" s="135" t="s">
        <v>15</v>
      </c>
      <c r="B18" s="511" t="s">
        <v>31</v>
      </c>
      <c r="C18" s="512"/>
      <c r="D18" s="133" t="s">
        <v>25</v>
      </c>
      <c r="E18" s="38">
        <f t="shared" si="2"/>
        <v>655500</v>
      </c>
      <c r="F18" s="39">
        <f t="shared" si="2"/>
        <v>655500</v>
      </c>
      <c r="G18" s="39">
        <f t="shared" si="2"/>
        <v>280686</v>
      </c>
      <c r="H18" s="10">
        <f t="shared" si="0"/>
        <v>42.820137299771169</v>
      </c>
      <c r="I18" s="40">
        <f t="shared" si="2"/>
        <v>255283</v>
      </c>
      <c r="J18" s="240">
        <v>648000</v>
      </c>
      <c r="K18" s="39">
        <v>648000</v>
      </c>
      <c r="L18" s="39">
        <v>280493</v>
      </c>
      <c r="M18" s="10">
        <v>43.29</v>
      </c>
      <c r="N18" s="40">
        <v>252216</v>
      </c>
      <c r="O18" s="38">
        <v>7500</v>
      </c>
      <c r="P18" s="39">
        <v>7500</v>
      </c>
      <c r="Q18" s="39">
        <v>193</v>
      </c>
      <c r="R18" s="10">
        <v>2.57</v>
      </c>
      <c r="S18" s="40">
        <v>3067</v>
      </c>
      <c r="T18" s="38"/>
      <c r="U18" s="39"/>
      <c r="V18" s="39"/>
      <c r="W18" s="10" t="e">
        <v>#DIV/0!</v>
      </c>
      <c r="X18" s="41"/>
    </row>
    <row r="19" spans="1:24" s="11" customFormat="1" ht="9.9499999999999993" customHeight="1" x14ac:dyDescent="0.2">
      <c r="A19" s="135" t="s">
        <v>16</v>
      </c>
      <c r="B19" s="508" t="s">
        <v>32</v>
      </c>
      <c r="C19" s="508"/>
      <c r="D19" s="133" t="s">
        <v>25</v>
      </c>
      <c r="E19" s="38">
        <f t="shared" si="2"/>
        <v>5290000</v>
      </c>
      <c r="F19" s="39">
        <f t="shared" si="2"/>
        <v>5290000</v>
      </c>
      <c r="G19" s="39">
        <f t="shared" si="2"/>
        <v>2622479</v>
      </c>
      <c r="H19" s="10">
        <f t="shared" si="0"/>
        <v>49.574272211720228</v>
      </c>
      <c r="I19" s="40">
        <f t="shared" si="2"/>
        <v>2532872</v>
      </c>
      <c r="J19" s="241">
        <v>4257000</v>
      </c>
      <c r="K19" s="39">
        <v>4257000</v>
      </c>
      <c r="L19" s="39">
        <v>2088577</v>
      </c>
      <c r="M19" s="10">
        <v>49.06</v>
      </c>
      <c r="N19" s="40">
        <v>2035059</v>
      </c>
      <c r="O19" s="38">
        <v>1033000</v>
      </c>
      <c r="P19" s="39">
        <v>1033000</v>
      </c>
      <c r="Q19" s="39">
        <v>533902</v>
      </c>
      <c r="R19" s="10">
        <v>51.68</v>
      </c>
      <c r="S19" s="40">
        <v>497813</v>
      </c>
      <c r="T19" s="62"/>
      <c r="U19" s="53"/>
      <c r="V19" s="53"/>
      <c r="W19" s="10" t="e">
        <v>#DIV/0!</v>
      </c>
      <c r="X19" s="66"/>
    </row>
    <row r="20" spans="1:24" s="6" customFormat="1" ht="9.9499999999999993" customHeight="1" x14ac:dyDescent="0.2">
      <c r="A20" s="135" t="s">
        <v>17</v>
      </c>
      <c r="B20" s="508" t="s">
        <v>48</v>
      </c>
      <c r="C20" s="508"/>
      <c r="D20" s="133" t="s">
        <v>25</v>
      </c>
      <c r="E20" s="38">
        <f t="shared" si="2"/>
        <v>1795700</v>
      </c>
      <c r="F20" s="39">
        <f t="shared" si="2"/>
        <v>1795700</v>
      </c>
      <c r="G20" s="39">
        <f t="shared" si="2"/>
        <v>886615</v>
      </c>
      <c r="H20" s="10">
        <f t="shared" si="0"/>
        <v>49.374338698000777</v>
      </c>
      <c r="I20" s="40">
        <f t="shared" si="2"/>
        <v>859989</v>
      </c>
      <c r="J20" s="240">
        <v>1445000</v>
      </c>
      <c r="K20" s="39">
        <v>1445000</v>
      </c>
      <c r="L20" s="39">
        <v>706332</v>
      </c>
      <c r="M20" s="10">
        <v>48.88</v>
      </c>
      <c r="N20" s="40">
        <v>691141</v>
      </c>
      <c r="O20" s="38">
        <v>350700</v>
      </c>
      <c r="P20" s="39">
        <v>350700</v>
      </c>
      <c r="Q20" s="39">
        <v>180283</v>
      </c>
      <c r="R20" s="10">
        <v>51.41</v>
      </c>
      <c r="S20" s="40">
        <v>168848</v>
      </c>
      <c r="T20" s="38"/>
      <c r="U20" s="39"/>
      <c r="V20" s="39"/>
      <c r="W20" s="10" t="e">
        <v>#DIV/0!</v>
      </c>
      <c r="X20" s="41"/>
    </row>
    <row r="21" spans="1:24" s="6" customFormat="1" ht="9.9499999999999993" customHeight="1" x14ac:dyDescent="0.2">
      <c r="A21" s="135" t="s">
        <v>18</v>
      </c>
      <c r="B21" s="508" t="s">
        <v>49</v>
      </c>
      <c r="C21" s="508"/>
      <c r="D21" s="133" t="s">
        <v>25</v>
      </c>
      <c r="E21" s="38">
        <f t="shared" si="2"/>
        <v>167500</v>
      </c>
      <c r="F21" s="39">
        <f t="shared" si="2"/>
        <v>167500</v>
      </c>
      <c r="G21" s="39">
        <f t="shared" si="2"/>
        <v>100499</v>
      </c>
      <c r="H21" s="10">
        <f t="shared" si="0"/>
        <v>59.999402985074624</v>
      </c>
      <c r="I21" s="40">
        <f t="shared" si="2"/>
        <v>73682</v>
      </c>
      <c r="J21" s="240">
        <v>144500</v>
      </c>
      <c r="K21" s="39">
        <v>144500</v>
      </c>
      <c r="L21" s="39">
        <v>88914</v>
      </c>
      <c r="M21" s="10">
        <v>61.53</v>
      </c>
      <c r="N21" s="40">
        <v>68810</v>
      </c>
      <c r="O21" s="38">
        <v>23000</v>
      </c>
      <c r="P21" s="39">
        <v>23000</v>
      </c>
      <c r="Q21" s="39">
        <v>11585</v>
      </c>
      <c r="R21" s="10">
        <v>50.37</v>
      </c>
      <c r="S21" s="40">
        <v>4872</v>
      </c>
      <c r="T21" s="38"/>
      <c r="U21" s="39"/>
      <c r="V21" s="39"/>
      <c r="W21" s="10" t="e">
        <v>#DIV/0!</v>
      </c>
      <c r="X21" s="41"/>
    </row>
    <row r="22" spans="1:24" s="6" customFormat="1" ht="9.9499999999999993" customHeight="1" x14ac:dyDescent="0.2">
      <c r="A22" s="135" t="s">
        <v>19</v>
      </c>
      <c r="B22" s="508" t="s">
        <v>62</v>
      </c>
      <c r="C22" s="508"/>
      <c r="D22" s="133" t="s">
        <v>25</v>
      </c>
      <c r="E22" s="38">
        <f t="shared" si="2"/>
        <v>0</v>
      </c>
      <c r="F22" s="39">
        <f t="shared" si="2"/>
        <v>0</v>
      </c>
      <c r="G22" s="39">
        <f t="shared" si="2"/>
        <v>0</v>
      </c>
      <c r="H22" s="10" t="e">
        <f t="shared" si="0"/>
        <v>#DIV/0!</v>
      </c>
      <c r="I22" s="40">
        <f t="shared" si="2"/>
        <v>0</v>
      </c>
      <c r="J22" s="240"/>
      <c r="K22" s="39"/>
      <c r="L22" s="39"/>
      <c r="M22" s="10" t="e">
        <v>#DIV/0!</v>
      </c>
      <c r="N22" s="40"/>
      <c r="O22" s="38"/>
      <c r="P22" s="39"/>
      <c r="Q22" s="39"/>
      <c r="R22" s="10" t="e">
        <v>#DIV/0!</v>
      </c>
      <c r="S22" s="40"/>
      <c r="T22" s="38"/>
      <c r="U22" s="39"/>
      <c r="V22" s="39"/>
      <c r="W22" s="10" t="e">
        <v>#DIV/0!</v>
      </c>
      <c r="X22" s="41"/>
    </row>
    <row r="23" spans="1:24" s="6" customFormat="1" ht="9.9499999999999993" customHeight="1" x14ac:dyDescent="0.2">
      <c r="A23" s="135" t="s">
        <v>20</v>
      </c>
      <c r="B23" s="223" t="s">
        <v>101</v>
      </c>
      <c r="C23" s="223"/>
      <c r="D23" s="133" t="s">
        <v>25</v>
      </c>
      <c r="E23" s="38">
        <f t="shared" si="2"/>
        <v>0</v>
      </c>
      <c r="F23" s="39">
        <f t="shared" si="2"/>
        <v>0</v>
      </c>
      <c r="G23" s="39">
        <f t="shared" si="2"/>
        <v>0</v>
      </c>
      <c r="H23" s="10" t="e">
        <f t="shared" si="0"/>
        <v>#DIV/0!</v>
      </c>
      <c r="I23" s="40">
        <f t="shared" si="2"/>
        <v>0</v>
      </c>
      <c r="J23" s="240"/>
      <c r="K23" s="39"/>
      <c r="L23" s="39"/>
      <c r="M23" s="10" t="e">
        <v>#DIV/0!</v>
      </c>
      <c r="N23" s="40"/>
      <c r="O23" s="38"/>
      <c r="P23" s="39"/>
      <c r="Q23" s="39"/>
      <c r="R23" s="10" t="e">
        <v>#DIV/0!</v>
      </c>
      <c r="S23" s="40"/>
      <c r="T23" s="38"/>
      <c r="U23" s="39"/>
      <c r="V23" s="39"/>
      <c r="W23" s="10" t="e">
        <v>#DIV/0!</v>
      </c>
      <c r="X23" s="41"/>
    </row>
    <row r="24" spans="1:24" s="6" customFormat="1" ht="9.9499999999999993" customHeight="1" x14ac:dyDescent="0.2">
      <c r="A24" s="135" t="s">
        <v>21</v>
      </c>
      <c r="B24" s="223" t="s">
        <v>110</v>
      </c>
      <c r="C24" s="223"/>
      <c r="D24" s="133" t="s">
        <v>25</v>
      </c>
      <c r="E24" s="38">
        <f t="shared" si="2"/>
        <v>0</v>
      </c>
      <c r="F24" s="39">
        <f t="shared" si="2"/>
        <v>0</v>
      </c>
      <c r="G24" s="39">
        <f t="shared" si="2"/>
        <v>0</v>
      </c>
      <c r="H24" s="10" t="e">
        <f t="shared" si="0"/>
        <v>#DIV/0!</v>
      </c>
      <c r="I24" s="40">
        <f t="shared" si="2"/>
        <v>0</v>
      </c>
      <c r="J24" s="240"/>
      <c r="K24" s="39"/>
      <c r="L24" s="39"/>
      <c r="M24" s="10" t="e">
        <v>#DIV/0!</v>
      </c>
      <c r="N24" s="40"/>
      <c r="O24" s="38"/>
      <c r="P24" s="39"/>
      <c r="Q24" s="39"/>
      <c r="R24" s="10" t="e">
        <v>#DIV/0!</v>
      </c>
      <c r="S24" s="40"/>
      <c r="T24" s="38"/>
      <c r="U24" s="39"/>
      <c r="V24" s="39"/>
      <c r="W24" s="10" t="e">
        <v>#DIV/0!</v>
      </c>
      <c r="X24" s="41"/>
    </row>
    <row r="25" spans="1:24" s="13" customFormat="1" ht="9.9499999999999993" customHeight="1" x14ac:dyDescent="0.2">
      <c r="A25" s="135" t="s">
        <v>22</v>
      </c>
      <c r="B25" s="223" t="s">
        <v>63</v>
      </c>
      <c r="C25" s="223"/>
      <c r="D25" s="133" t="s">
        <v>25</v>
      </c>
      <c r="E25" s="38">
        <f t="shared" si="2"/>
        <v>0</v>
      </c>
      <c r="F25" s="39">
        <f t="shared" si="2"/>
        <v>0</v>
      </c>
      <c r="G25" s="39">
        <f t="shared" si="2"/>
        <v>0</v>
      </c>
      <c r="H25" s="14" t="e">
        <f>G25/F25*100</f>
        <v>#DIV/0!</v>
      </c>
      <c r="I25" s="40">
        <f>SUM(N25,S25)</f>
        <v>0</v>
      </c>
      <c r="J25" s="240"/>
      <c r="K25" s="59"/>
      <c r="L25" s="59"/>
      <c r="M25" s="10" t="e">
        <v>#DIV/0!</v>
      </c>
      <c r="N25" s="55"/>
      <c r="O25" s="58"/>
      <c r="P25" s="59"/>
      <c r="Q25" s="59"/>
      <c r="R25" s="10" t="e">
        <v>#DIV/0!</v>
      </c>
      <c r="S25" s="55"/>
      <c r="T25" s="63"/>
      <c r="U25" s="60"/>
      <c r="V25" s="60"/>
      <c r="W25" s="10" t="e">
        <v>#DIV/0!</v>
      </c>
      <c r="X25" s="68"/>
    </row>
    <row r="26" spans="1:24" s="6" customFormat="1" ht="9.9499999999999993" customHeight="1" x14ac:dyDescent="0.2">
      <c r="A26" s="135" t="s">
        <v>23</v>
      </c>
      <c r="B26" s="511" t="s">
        <v>64</v>
      </c>
      <c r="C26" s="512"/>
      <c r="D26" s="133" t="s">
        <v>25</v>
      </c>
      <c r="E26" s="38">
        <f t="shared" si="2"/>
        <v>339000</v>
      </c>
      <c r="F26" s="39">
        <f t="shared" si="2"/>
        <v>339000</v>
      </c>
      <c r="G26" s="39">
        <f t="shared" si="2"/>
        <v>169050</v>
      </c>
      <c r="H26" s="10">
        <f t="shared" si="0"/>
        <v>49.86725663716814</v>
      </c>
      <c r="I26" s="40">
        <f t="shared" si="2"/>
        <v>143993</v>
      </c>
      <c r="J26" s="240">
        <v>339000</v>
      </c>
      <c r="K26" s="54">
        <v>339000</v>
      </c>
      <c r="L26" s="54">
        <v>169050</v>
      </c>
      <c r="M26" s="10">
        <v>49.87</v>
      </c>
      <c r="N26" s="55">
        <v>143993</v>
      </c>
      <c r="O26" s="56"/>
      <c r="P26" s="54"/>
      <c r="Q26" s="54"/>
      <c r="R26" s="10" t="e">
        <v>#DIV/0!</v>
      </c>
      <c r="S26" s="57"/>
      <c r="T26" s="56"/>
      <c r="U26" s="54"/>
      <c r="V26" s="54"/>
      <c r="W26" s="10" t="e">
        <v>#DIV/0!</v>
      </c>
      <c r="X26" s="67"/>
    </row>
    <row r="27" spans="1:24" s="13" customFormat="1" ht="9.9499999999999993" customHeight="1" x14ac:dyDescent="0.2">
      <c r="A27" s="135" t="s">
        <v>44</v>
      </c>
      <c r="B27" s="236" t="s">
        <v>65</v>
      </c>
      <c r="C27" s="237"/>
      <c r="D27" s="133" t="s">
        <v>25</v>
      </c>
      <c r="E27" s="38">
        <f t="shared" si="2"/>
        <v>5000</v>
      </c>
      <c r="F27" s="39">
        <f t="shared" si="2"/>
        <v>5000</v>
      </c>
      <c r="G27" s="39">
        <f t="shared" si="2"/>
        <v>-160</v>
      </c>
      <c r="H27" s="14">
        <f t="shared" si="0"/>
        <v>-3.2</v>
      </c>
      <c r="I27" s="40">
        <f t="shared" si="2"/>
        <v>-1380</v>
      </c>
      <c r="J27" s="240">
        <v>5000</v>
      </c>
      <c r="K27" s="59">
        <v>5000</v>
      </c>
      <c r="L27" s="59">
        <v>-160</v>
      </c>
      <c r="M27" s="10">
        <v>-3.2</v>
      </c>
      <c r="N27" s="40">
        <v>-1380</v>
      </c>
      <c r="O27" s="58"/>
      <c r="P27" s="59"/>
      <c r="Q27" s="59"/>
      <c r="R27" s="10" t="e">
        <v>#DIV/0!</v>
      </c>
      <c r="S27" s="55"/>
      <c r="T27" s="63"/>
      <c r="U27" s="60"/>
      <c r="V27" s="60"/>
      <c r="W27" s="10" t="e">
        <v>#DIV/0!</v>
      </c>
      <c r="X27" s="68"/>
    </row>
    <row r="28" spans="1:24" s="13" customFormat="1" ht="9.9499999999999993" customHeight="1" x14ac:dyDescent="0.2">
      <c r="A28" s="135" t="s">
        <v>50</v>
      </c>
      <c r="B28" s="236" t="s">
        <v>91</v>
      </c>
      <c r="C28" s="237"/>
      <c r="D28" s="133" t="s">
        <v>25</v>
      </c>
      <c r="E28" s="38">
        <f>SUM(J28,O28)</f>
        <v>128100</v>
      </c>
      <c r="F28" s="39">
        <f>SUM(K28,P28)</f>
        <v>128100</v>
      </c>
      <c r="G28" s="39">
        <f>SUM(L28,Q28)</f>
        <v>4797</v>
      </c>
      <c r="H28" s="14">
        <f>G28/F28*100</f>
        <v>3.7447306791569086</v>
      </c>
      <c r="I28" s="40">
        <f>SUM(N28,S28)</f>
        <v>56506</v>
      </c>
      <c r="J28" s="240">
        <v>79100</v>
      </c>
      <c r="K28" s="59">
        <v>79100</v>
      </c>
      <c r="L28" s="59">
        <v>4797</v>
      </c>
      <c r="M28" s="10">
        <v>6.06</v>
      </c>
      <c r="N28" s="40">
        <v>56506</v>
      </c>
      <c r="O28" s="58">
        <v>49000</v>
      </c>
      <c r="P28" s="59">
        <v>49000</v>
      </c>
      <c r="Q28" s="59">
        <v>0</v>
      </c>
      <c r="R28" s="10">
        <v>0</v>
      </c>
      <c r="S28" s="55">
        <v>0</v>
      </c>
      <c r="T28" s="63"/>
      <c r="U28" s="60"/>
      <c r="V28" s="60"/>
      <c r="W28" s="10" t="e">
        <v>#DIV/0!</v>
      </c>
      <c r="X28" s="68"/>
    </row>
    <row r="29" spans="1:24" s="15" customFormat="1" ht="9.9499999999999993" customHeight="1" x14ac:dyDescent="0.2">
      <c r="A29" s="135" t="s">
        <v>51</v>
      </c>
      <c r="B29" s="236" t="s">
        <v>66</v>
      </c>
      <c r="C29" s="237"/>
      <c r="D29" s="133" t="s">
        <v>25</v>
      </c>
      <c r="E29" s="38">
        <f t="shared" si="2"/>
        <v>900</v>
      </c>
      <c r="F29" s="39">
        <f t="shared" si="2"/>
        <v>900</v>
      </c>
      <c r="G29" s="39">
        <f t="shared" si="2"/>
        <v>784</v>
      </c>
      <c r="H29" s="14">
        <f t="shared" si="0"/>
        <v>87.1111111111111</v>
      </c>
      <c r="I29" s="40">
        <f t="shared" si="2"/>
        <v>850</v>
      </c>
      <c r="J29" s="240">
        <v>900</v>
      </c>
      <c r="K29" s="59">
        <v>900</v>
      </c>
      <c r="L29" s="59">
        <v>784</v>
      </c>
      <c r="M29" s="10">
        <v>87.11</v>
      </c>
      <c r="N29" s="55">
        <v>850</v>
      </c>
      <c r="O29" s="58"/>
      <c r="P29" s="59"/>
      <c r="Q29" s="59"/>
      <c r="R29" s="10" t="e">
        <v>#DIV/0!</v>
      </c>
      <c r="S29" s="55"/>
      <c r="T29" s="63"/>
      <c r="U29" s="60"/>
      <c r="V29" s="60"/>
      <c r="W29" s="10" t="e">
        <v>#DIV/0!</v>
      </c>
      <c r="X29" s="68"/>
    </row>
    <row r="30" spans="1:24" s="6" customFormat="1" ht="9.75" x14ac:dyDescent="0.2">
      <c r="A30" s="135" t="s">
        <v>53</v>
      </c>
      <c r="B30" s="236" t="s">
        <v>52</v>
      </c>
      <c r="C30" s="237"/>
      <c r="D30" s="133" t="s">
        <v>25</v>
      </c>
      <c r="E30" s="38">
        <f t="shared" ref="E30:G31" si="3">SUM(J30,O30)</f>
        <v>0</v>
      </c>
      <c r="F30" s="39">
        <f t="shared" si="3"/>
        <v>0</v>
      </c>
      <c r="G30" s="39">
        <f t="shared" si="3"/>
        <v>0</v>
      </c>
      <c r="H30" s="14" t="e">
        <f t="shared" si="0"/>
        <v>#DIV/0!</v>
      </c>
      <c r="I30" s="40">
        <f>SUM(N30,S30)</f>
        <v>0</v>
      </c>
      <c r="J30" s="240"/>
      <c r="K30" s="59"/>
      <c r="L30" s="59"/>
      <c r="M30" s="10" t="e">
        <v>#DIV/0!</v>
      </c>
      <c r="N30" s="55"/>
      <c r="O30" s="58"/>
      <c r="P30" s="59"/>
      <c r="Q30" s="59"/>
      <c r="R30" s="10" t="e">
        <v>#DIV/0!</v>
      </c>
      <c r="S30" s="55"/>
      <c r="T30" s="63"/>
      <c r="U30" s="60"/>
      <c r="V30" s="60"/>
      <c r="W30" s="10" t="e">
        <v>#DIV/0!</v>
      </c>
      <c r="X30" s="68"/>
    </row>
    <row r="31" spans="1:24" s="23" customFormat="1" ht="9.75" x14ac:dyDescent="0.2">
      <c r="A31" s="135" t="s">
        <v>54</v>
      </c>
      <c r="B31" s="236" t="s">
        <v>67</v>
      </c>
      <c r="C31" s="237"/>
      <c r="D31" s="133" t="s">
        <v>25</v>
      </c>
      <c r="E31" s="38">
        <f t="shared" si="3"/>
        <v>0</v>
      </c>
      <c r="F31" s="39">
        <f t="shared" si="3"/>
        <v>0</v>
      </c>
      <c r="G31" s="39">
        <f t="shared" si="3"/>
        <v>0</v>
      </c>
      <c r="H31" s="14" t="e">
        <f t="shared" si="0"/>
        <v>#DIV/0!</v>
      </c>
      <c r="I31" s="40">
        <f>SUM(N31,S31)</f>
        <v>0</v>
      </c>
      <c r="J31" s="240"/>
      <c r="K31" s="85"/>
      <c r="L31" s="85"/>
      <c r="M31" s="10" t="e">
        <v>#DIV/0!</v>
      </c>
      <c r="N31" s="86"/>
      <c r="O31" s="87"/>
      <c r="P31" s="85"/>
      <c r="Q31" s="85"/>
      <c r="R31" s="10" t="e">
        <v>#DIV/0!</v>
      </c>
      <c r="S31" s="86"/>
      <c r="T31" s="88"/>
      <c r="U31" s="89"/>
      <c r="V31" s="89"/>
      <c r="W31" s="10" t="e">
        <v>#DIV/0!</v>
      </c>
      <c r="X31" s="90"/>
    </row>
    <row r="32" spans="1:24" s="23" customFormat="1" ht="9.75" x14ac:dyDescent="0.2">
      <c r="A32" s="238" t="s">
        <v>55</v>
      </c>
      <c r="B32" s="233" t="s">
        <v>68</v>
      </c>
      <c r="C32" s="239"/>
      <c r="D32" s="235" t="s">
        <v>25</v>
      </c>
      <c r="E32" s="42">
        <f>SUM(J32,O32)</f>
        <v>0</v>
      </c>
      <c r="F32" s="43">
        <f>SUM(K32,P32)</f>
        <v>0</v>
      </c>
      <c r="G32" s="43">
        <f>SUM(L32,Q32)</f>
        <v>0</v>
      </c>
      <c r="H32" s="16" t="e">
        <f t="shared" si="0"/>
        <v>#DIV/0!</v>
      </c>
      <c r="I32" s="44">
        <f>SUM(N32,S32)</f>
        <v>0</v>
      </c>
      <c r="J32" s="242"/>
      <c r="K32" s="61"/>
      <c r="L32" s="61"/>
      <c r="M32" s="26" t="e">
        <v>#DIV/0!</v>
      </c>
      <c r="N32" s="91"/>
      <c r="O32" s="64"/>
      <c r="P32" s="61"/>
      <c r="Q32" s="61"/>
      <c r="R32" s="26" t="e">
        <v>#DIV/0!</v>
      </c>
      <c r="S32" s="91"/>
      <c r="T32" s="64"/>
      <c r="U32" s="61"/>
      <c r="V32" s="61"/>
      <c r="W32" s="26" t="e">
        <v>#DIV/0!</v>
      </c>
      <c r="X32" s="69"/>
    </row>
    <row r="33" spans="1:24" s="23" customFormat="1" ht="9.75" x14ac:dyDescent="0.2">
      <c r="A33" s="134" t="s">
        <v>56</v>
      </c>
      <c r="B33" s="21" t="s">
        <v>102</v>
      </c>
      <c r="C33" s="22"/>
      <c r="D33" s="20" t="s">
        <v>25</v>
      </c>
      <c r="E33" s="29">
        <f>E6-E11</f>
        <v>0</v>
      </c>
      <c r="F33" s="29">
        <f>F6-F11</f>
        <v>0</v>
      </c>
      <c r="G33" s="29">
        <f>G6-G11</f>
        <v>-462889</v>
      </c>
      <c r="H33" s="25" t="e">
        <f t="shared" si="0"/>
        <v>#DIV/0!</v>
      </c>
      <c r="I33" s="29">
        <f>I6-I11</f>
        <v>1386407</v>
      </c>
      <c r="J33" s="140">
        <v>0</v>
      </c>
      <c r="K33" s="29">
        <v>0</v>
      </c>
      <c r="L33" s="29">
        <v>271190</v>
      </c>
      <c r="M33" s="19" t="e">
        <v>#DIV/0!</v>
      </c>
      <c r="N33" s="29">
        <v>367999</v>
      </c>
      <c r="O33" s="29">
        <v>0</v>
      </c>
      <c r="P33" s="29">
        <v>0</v>
      </c>
      <c r="Q33" s="29">
        <v>-734079</v>
      </c>
      <c r="R33" s="19" t="e">
        <v>#DIV/0!</v>
      </c>
      <c r="S33" s="29">
        <v>1018408</v>
      </c>
      <c r="T33" s="29">
        <v>0</v>
      </c>
      <c r="U33" s="29">
        <v>0</v>
      </c>
      <c r="V33" s="29">
        <v>0</v>
      </c>
      <c r="W33" s="19" t="e">
        <v>#DIV/0!</v>
      </c>
      <c r="X33" s="29">
        <v>0</v>
      </c>
    </row>
    <row r="34" spans="1:24" s="4" customFormat="1" ht="9" x14ac:dyDescent="0.2">
      <c r="A34" s="224" t="s">
        <v>57</v>
      </c>
      <c r="B34" s="509" t="s">
        <v>24</v>
      </c>
      <c r="C34" s="510"/>
      <c r="D34" s="136" t="s">
        <v>25</v>
      </c>
      <c r="E34" s="196">
        <v>19100</v>
      </c>
      <c r="F34" s="197">
        <v>19100</v>
      </c>
      <c r="G34" s="197">
        <v>19126</v>
      </c>
      <c r="H34" s="12">
        <f t="shared" si="0"/>
        <v>100.13612565445027</v>
      </c>
      <c r="I34" s="256">
        <v>18573</v>
      </c>
      <c r="J34" s="502"/>
      <c r="K34" s="503"/>
      <c r="L34" s="503"/>
      <c r="M34" s="503"/>
      <c r="N34" s="503"/>
      <c r="O34" s="503"/>
      <c r="P34" s="503"/>
      <c r="Q34" s="503"/>
      <c r="R34" s="503"/>
      <c r="S34" s="503"/>
      <c r="T34" s="503"/>
      <c r="U34" s="503"/>
      <c r="V34" s="503"/>
      <c r="W34" s="503"/>
      <c r="X34" s="504"/>
    </row>
    <row r="35" spans="1:24" s="4" customFormat="1" ht="9" x14ac:dyDescent="0.2">
      <c r="A35" s="137" t="s">
        <v>58</v>
      </c>
      <c r="B35" s="498" t="s">
        <v>33</v>
      </c>
      <c r="C35" s="499"/>
      <c r="D35" s="137" t="s">
        <v>26</v>
      </c>
      <c r="E35" s="198">
        <v>18</v>
      </c>
      <c r="F35" s="199">
        <v>18</v>
      </c>
      <c r="G35" s="199">
        <v>18</v>
      </c>
      <c r="H35" s="261">
        <f t="shared" si="0"/>
        <v>100</v>
      </c>
      <c r="I35" s="301">
        <v>18</v>
      </c>
      <c r="J35" s="502"/>
      <c r="K35" s="503"/>
      <c r="L35" s="503"/>
      <c r="M35" s="503"/>
      <c r="N35" s="503"/>
      <c r="O35" s="503"/>
      <c r="P35" s="503"/>
      <c r="Q35" s="503"/>
      <c r="R35" s="503"/>
      <c r="S35" s="503"/>
      <c r="T35" s="503"/>
      <c r="U35" s="503"/>
      <c r="V35" s="503"/>
      <c r="W35" s="503"/>
      <c r="X35" s="504"/>
    </row>
    <row r="36" spans="1:24" s="4" customFormat="1" ht="9" x14ac:dyDescent="0.2">
      <c r="A36" s="225" t="s">
        <v>59</v>
      </c>
      <c r="B36" s="500" t="s">
        <v>27</v>
      </c>
      <c r="C36" s="501"/>
      <c r="D36" s="226" t="s">
        <v>26</v>
      </c>
      <c r="E36" s="200">
        <v>22</v>
      </c>
      <c r="F36" s="201">
        <v>22</v>
      </c>
      <c r="G36" s="201">
        <v>22</v>
      </c>
      <c r="H36" s="259">
        <f t="shared" si="0"/>
        <v>100</v>
      </c>
      <c r="I36" s="260">
        <v>22</v>
      </c>
      <c r="J36" s="505"/>
      <c r="K36" s="506"/>
      <c r="L36" s="506"/>
      <c r="M36" s="506"/>
      <c r="N36" s="506"/>
      <c r="O36" s="506"/>
      <c r="P36" s="506"/>
      <c r="Q36" s="506"/>
      <c r="R36" s="506"/>
      <c r="S36" s="506"/>
      <c r="T36" s="506"/>
      <c r="U36" s="506"/>
      <c r="V36" s="506"/>
      <c r="W36" s="506"/>
      <c r="X36" s="507"/>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E4:E5"/>
    <mergeCell ref="A3:A5"/>
    <mergeCell ref="P4:R4"/>
    <mergeCell ref="J3:N3"/>
    <mergeCell ref="F4:H4"/>
    <mergeCell ref="O4:O5"/>
    <mergeCell ref="D3:D5"/>
    <mergeCell ref="S4:S5"/>
    <mergeCell ref="O3:S3"/>
    <mergeCell ref="B6:C6"/>
    <mergeCell ref="J4:J5"/>
    <mergeCell ref="K4:M4"/>
    <mergeCell ref="N4:N5"/>
    <mergeCell ref="B21:C21"/>
    <mergeCell ref="B7:C7"/>
    <mergeCell ref="B3:C5"/>
    <mergeCell ref="E3:I3"/>
    <mergeCell ref="B8:C8"/>
    <mergeCell ref="B10:C10"/>
    <mergeCell ref="B11:C11"/>
    <mergeCell ref="I4:I5"/>
    <mergeCell ref="B12:C12"/>
    <mergeCell ref="B13:C13"/>
    <mergeCell ref="B15:C15"/>
    <mergeCell ref="B16:C16"/>
    <mergeCell ref="B34:C34"/>
    <mergeCell ref="J34:X36"/>
    <mergeCell ref="B35:C35"/>
    <mergeCell ref="B36:C36"/>
    <mergeCell ref="B18:C18"/>
    <mergeCell ref="B19:C19"/>
    <mergeCell ref="B20:C20"/>
    <mergeCell ref="B22:C22"/>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529" t="s">
        <v>74</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12364970</v>
      </c>
      <c r="F6" s="29">
        <f>SUM(F7:F9)</f>
        <v>12451804</v>
      </c>
      <c r="G6" s="29">
        <f>SUM(G7:G9)</f>
        <v>8370823</v>
      </c>
      <c r="H6" s="24">
        <f t="shared" ref="H6:H36" si="0">G6/F6*100</f>
        <v>67.225785115152789</v>
      </c>
      <c r="I6" s="29">
        <f>SUM(I7:I9)</f>
        <v>5967775</v>
      </c>
      <c r="J6" s="29">
        <f>SUM(J7:J9)</f>
        <v>3615270</v>
      </c>
      <c r="K6" s="29">
        <f t="shared" ref="K6:X6" si="1">SUM(K7:K9)</f>
        <v>3702104</v>
      </c>
      <c r="L6" s="29">
        <f t="shared" si="1"/>
        <v>2519023</v>
      </c>
      <c r="M6" s="24">
        <f t="shared" ref="M6:M33" si="2">L6/K6*100</f>
        <v>68.043010136938335</v>
      </c>
      <c r="N6" s="30">
        <f t="shared" si="1"/>
        <v>1565831</v>
      </c>
      <c r="O6" s="29">
        <f t="shared" si="1"/>
        <v>8749700</v>
      </c>
      <c r="P6" s="29">
        <f t="shared" si="1"/>
        <v>8749700</v>
      </c>
      <c r="Q6" s="29">
        <f t="shared" si="1"/>
        <v>5851800</v>
      </c>
      <c r="R6" s="24">
        <f t="shared" ref="R6:R33" si="3">Q6/P6*100</f>
        <v>66.880007314536499</v>
      </c>
      <c r="S6" s="29">
        <f t="shared" si="1"/>
        <v>4401944</v>
      </c>
      <c r="T6" s="29">
        <f t="shared" si="1"/>
        <v>0</v>
      </c>
      <c r="U6" s="29">
        <f t="shared" si="1"/>
        <v>0</v>
      </c>
      <c r="V6" s="29">
        <f t="shared" si="1"/>
        <v>0</v>
      </c>
      <c r="W6" s="24" t="e">
        <f t="shared" ref="W6:W33" si="4">V6/U6*100</f>
        <v>#DIV/0!</v>
      </c>
      <c r="X6" s="29">
        <f t="shared" si="1"/>
        <v>0</v>
      </c>
    </row>
    <row r="7" spans="1:24" s="6" customFormat="1" ht="9.9499999999999993" customHeight="1" x14ac:dyDescent="0.2">
      <c r="A7" s="130" t="s">
        <v>2</v>
      </c>
      <c r="B7" s="522" t="s">
        <v>45</v>
      </c>
      <c r="C7" s="523"/>
      <c r="D7" s="131" t="s">
        <v>25</v>
      </c>
      <c r="E7" s="32">
        <f t="shared" ref="E7:G10" si="5">SUM(J7,O7)</f>
        <v>1117600</v>
      </c>
      <c r="F7" s="33">
        <f t="shared" si="5"/>
        <v>1117600</v>
      </c>
      <c r="G7" s="33">
        <f t="shared" si="5"/>
        <v>670710</v>
      </c>
      <c r="H7" s="9">
        <f t="shared" si="0"/>
        <v>60.013421617752329</v>
      </c>
      <c r="I7" s="34">
        <f>SUM(N7,S7)</f>
        <v>605971</v>
      </c>
      <c r="J7" s="262">
        <v>1117600</v>
      </c>
      <c r="K7" s="35">
        <v>1117600</v>
      </c>
      <c r="L7" s="35">
        <v>670710</v>
      </c>
      <c r="M7" s="9">
        <f t="shared" si="2"/>
        <v>60.013421617752329</v>
      </c>
      <c r="N7" s="302">
        <v>605971</v>
      </c>
      <c r="O7" s="263"/>
      <c r="P7" s="35"/>
      <c r="Q7" s="35"/>
      <c r="R7" s="9" t="e">
        <f t="shared" si="3"/>
        <v>#DIV/0!</v>
      </c>
      <c r="S7" s="367"/>
      <c r="T7" s="263"/>
      <c r="U7" s="35"/>
      <c r="V7" s="35"/>
      <c r="W7" s="9" t="e">
        <f t="shared" si="4"/>
        <v>#DIV/0!</v>
      </c>
      <c r="X7" s="65"/>
    </row>
    <row r="8" spans="1:24" s="6" customFormat="1" ht="9.9499999999999993" customHeight="1" x14ac:dyDescent="0.2">
      <c r="A8" s="132" t="s">
        <v>3</v>
      </c>
      <c r="B8" s="524" t="s">
        <v>46</v>
      </c>
      <c r="C8" s="525"/>
      <c r="D8" s="133" t="s">
        <v>25</v>
      </c>
      <c r="E8" s="38">
        <f t="shared" si="5"/>
        <v>1000</v>
      </c>
      <c r="F8" s="39">
        <f t="shared" si="5"/>
        <v>1000</v>
      </c>
      <c r="G8" s="39">
        <f t="shared" si="5"/>
        <v>2659</v>
      </c>
      <c r="H8" s="10">
        <f t="shared" si="0"/>
        <v>265.89999999999998</v>
      </c>
      <c r="I8" s="40">
        <f>SUM(N8,S8)</f>
        <v>310</v>
      </c>
      <c r="J8" s="243">
        <v>1000</v>
      </c>
      <c r="K8" s="218">
        <v>1000</v>
      </c>
      <c r="L8" s="218">
        <v>2659</v>
      </c>
      <c r="M8" s="219">
        <f t="shared" si="2"/>
        <v>265.89999999999998</v>
      </c>
      <c r="N8" s="229">
        <v>310</v>
      </c>
      <c r="O8" s="217"/>
      <c r="P8" s="218"/>
      <c r="Q8" s="218"/>
      <c r="R8" s="219" t="e">
        <f t="shared" si="3"/>
        <v>#DIV/0!</v>
      </c>
      <c r="S8" s="368"/>
      <c r="T8" s="217"/>
      <c r="U8" s="218"/>
      <c r="V8" s="218"/>
      <c r="W8" s="219" t="e">
        <f t="shared" si="4"/>
        <v>#DIV/0!</v>
      </c>
      <c r="X8" s="220"/>
    </row>
    <row r="9" spans="1:24" s="6" customFormat="1" ht="9.9499999999999993" customHeight="1" x14ac:dyDescent="0.2">
      <c r="A9" s="232" t="s">
        <v>4</v>
      </c>
      <c r="B9" s="233" t="s">
        <v>60</v>
      </c>
      <c r="C9" s="234"/>
      <c r="D9" s="235" t="s">
        <v>25</v>
      </c>
      <c r="E9" s="42">
        <f t="shared" si="5"/>
        <v>11246370</v>
      </c>
      <c r="F9" s="43">
        <f t="shared" si="5"/>
        <v>11333204</v>
      </c>
      <c r="G9" s="43">
        <f t="shared" si="5"/>
        <v>7697454</v>
      </c>
      <c r="H9" s="26">
        <f t="shared" si="0"/>
        <v>67.919486845908722</v>
      </c>
      <c r="I9" s="44">
        <f>SUM(N9,S9)</f>
        <v>5361494</v>
      </c>
      <c r="J9" s="244">
        <v>2496670</v>
      </c>
      <c r="K9" s="264">
        <v>2583504</v>
      </c>
      <c r="L9" s="264">
        <v>1845654</v>
      </c>
      <c r="M9" s="265">
        <f t="shared" si="2"/>
        <v>71.439951321925562</v>
      </c>
      <c r="N9" s="230">
        <v>959550</v>
      </c>
      <c r="O9" s="221">
        <v>8749700</v>
      </c>
      <c r="P9" s="264">
        <v>8749700</v>
      </c>
      <c r="Q9" s="264">
        <v>5851800</v>
      </c>
      <c r="R9" s="265">
        <f t="shared" si="3"/>
        <v>66.880007314536499</v>
      </c>
      <c r="S9" s="325">
        <v>4401944</v>
      </c>
      <c r="T9" s="221"/>
      <c r="U9" s="264"/>
      <c r="V9" s="264"/>
      <c r="W9" s="265" t="e">
        <f t="shared" si="4"/>
        <v>#DIV/0!</v>
      </c>
      <c r="X9" s="222"/>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9.9499999999999993" customHeight="1" x14ac:dyDescent="0.2">
      <c r="A11" s="134" t="s">
        <v>6</v>
      </c>
      <c r="B11" s="526" t="s">
        <v>9</v>
      </c>
      <c r="C11" s="527"/>
      <c r="D11" s="20" t="s">
        <v>25</v>
      </c>
      <c r="E11" s="29">
        <f>SUM(E12:E31)</f>
        <v>12364970</v>
      </c>
      <c r="F11" s="29">
        <f>SUM(F12:F31)</f>
        <v>12451804</v>
      </c>
      <c r="G11" s="29">
        <f>SUM(G12:G31)</f>
        <v>5699149</v>
      </c>
      <c r="H11" s="24">
        <f t="shared" si="0"/>
        <v>45.769665182651451</v>
      </c>
      <c r="I11" s="30">
        <f>SUM(I12:I31)</f>
        <v>5385487</v>
      </c>
      <c r="J11" s="29">
        <f>SUM(J12:J31)</f>
        <v>3615270</v>
      </c>
      <c r="K11" s="29">
        <f>SUM(K12:K31)</f>
        <v>3702104</v>
      </c>
      <c r="L11" s="29">
        <f>SUM(L12:L31)</f>
        <v>1450620</v>
      </c>
      <c r="M11" s="24">
        <f t="shared" si="2"/>
        <v>39.183664208244821</v>
      </c>
      <c r="N11" s="30">
        <f>SUM(N12:N31)</f>
        <v>1187575</v>
      </c>
      <c r="O11" s="29">
        <f>SUM(O12:O31)</f>
        <v>8749700</v>
      </c>
      <c r="P11" s="29">
        <f>SUM(P12:P31)</f>
        <v>8749700</v>
      </c>
      <c r="Q11" s="29">
        <f>SUM(Q12:Q31)</f>
        <v>4248529</v>
      </c>
      <c r="R11" s="24">
        <f t="shared" si="3"/>
        <v>48.556281929666163</v>
      </c>
      <c r="S11" s="30">
        <f>SUM(S12:S31)</f>
        <v>4197912</v>
      </c>
      <c r="T11" s="29">
        <f>SUM(T12:T31)</f>
        <v>0</v>
      </c>
      <c r="U11" s="29">
        <f>SUM(U12:U31)</f>
        <v>0</v>
      </c>
      <c r="V11" s="29">
        <f>SUM(V12:V31)</f>
        <v>0</v>
      </c>
      <c r="W11" s="24" t="e">
        <f t="shared" si="4"/>
        <v>#DIV/0!</v>
      </c>
      <c r="X11" s="29">
        <f>SUM(X12:X31)</f>
        <v>0</v>
      </c>
    </row>
    <row r="12" spans="1:24" s="6" customFormat="1" ht="9.9499999999999993" customHeight="1" x14ac:dyDescent="0.2">
      <c r="A12" s="130" t="s">
        <v>8</v>
      </c>
      <c r="B12" s="528" t="s">
        <v>28</v>
      </c>
      <c r="C12" s="528"/>
      <c r="D12" s="131" t="s">
        <v>25</v>
      </c>
      <c r="E12" s="32">
        <f t="shared" ref="E12:I29" si="6">SUM(J12,O12)</f>
        <v>852378</v>
      </c>
      <c r="F12" s="33">
        <f t="shared" si="6"/>
        <v>840894</v>
      </c>
      <c r="G12" s="33">
        <f t="shared" si="6"/>
        <v>461023</v>
      </c>
      <c r="H12" s="9">
        <f t="shared" si="0"/>
        <v>54.825340649356512</v>
      </c>
      <c r="I12" s="34">
        <f t="shared" si="6"/>
        <v>379782</v>
      </c>
      <c r="J12" s="266">
        <v>796019</v>
      </c>
      <c r="K12" s="48">
        <v>784535</v>
      </c>
      <c r="L12" s="48">
        <v>461023</v>
      </c>
      <c r="M12" s="9">
        <f t="shared" si="2"/>
        <v>58.763853747761409</v>
      </c>
      <c r="N12" s="303">
        <v>370451</v>
      </c>
      <c r="O12" s="267">
        <v>56359</v>
      </c>
      <c r="P12" s="48">
        <v>56359</v>
      </c>
      <c r="Q12" s="48"/>
      <c r="R12" s="9">
        <f t="shared" si="3"/>
        <v>0</v>
      </c>
      <c r="S12" s="304">
        <v>9331</v>
      </c>
      <c r="T12" s="267"/>
      <c r="U12" s="48"/>
      <c r="V12" s="48"/>
      <c r="W12" s="9" t="e">
        <f t="shared" si="4"/>
        <v>#DIV/0!</v>
      </c>
      <c r="X12" s="52"/>
    </row>
    <row r="13" spans="1:24" s="6" customFormat="1" ht="9.9499999999999993" customHeight="1" x14ac:dyDescent="0.2">
      <c r="A13" s="135" t="s">
        <v>10</v>
      </c>
      <c r="B13" s="508" t="s">
        <v>29</v>
      </c>
      <c r="C13" s="508"/>
      <c r="D13" s="133" t="s">
        <v>25</v>
      </c>
      <c r="E13" s="38">
        <f t="shared" si="6"/>
        <v>1060000</v>
      </c>
      <c r="F13" s="39">
        <f t="shared" si="6"/>
        <v>1060000</v>
      </c>
      <c r="G13" s="39">
        <f t="shared" si="6"/>
        <v>406990</v>
      </c>
      <c r="H13" s="10">
        <f t="shared" si="0"/>
        <v>38.395283018867929</v>
      </c>
      <c r="I13" s="40">
        <f t="shared" si="6"/>
        <v>439433</v>
      </c>
      <c r="J13" s="240">
        <v>1060000</v>
      </c>
      <c r="K13" s="218">
        <v>1060000</v>
      </c>
      <c r="L13" s="218">
        <v>406990</v>
      </c>
      <c r="M13" s="219">
        <f t="shared" si="2"/>
        <v>38.395283018867929</v>
      </c>
      <c r="N13" s="229">
        <v>439433</v>
      </c>
      <c r="O13" s="217"/>
      <c r="P13" s="218"/>
      <c r="Q13" s="218"/>
      <c r="R13" s="219" t="e">
        <f t="shared" si="3"/>
        <v>#DIV/0!</v>
      </c>
      <c r="S13" s="272"/>
      <c r="T13" s="217"/>
      <c r="U13" s="218"/>
      <c r="V13" s="218"/>
      <c r="W13" s="219" t="e">
        <f t="shared" si="4"/>
        <v>#DIV/0!</v>
      </c>
      <c r="X13" s="220"/>
    </row>
    <row r="14" spans="1:24" s="6" customFormat="1" ht="9.9499999999999993" customHeight="1" x14ac:dyDescent="0.2">
      <c r="A14" s="135" t="s">
        <v>11</v>
      </c>
      <c r="B14" s="236" t="s">
        <v>61</v>
      </c>
      <c r="C14" s="237"/>
      <c r="D14" s="133" t="s">
        <v>25</v>
      </c>
      <c r="E14" s="38">
        <f t="shared" si="6"/>
        <v>0</v>
      </c>
      <c r="F14" s="39">
        <f t="shared" si="6"/>
        <v>0</v>
      </c>
      <c r="G14" s="39">
        <f t="shared" si="6"/>
        <v>0</v>
      </c>
      <c r="H14" s="10" t="e">
        <f t="shared" si="0"/>
        <v>#DIV/0!</v>
      </c>
      <c r="I14" s="40">
        <f t="shared" si="6"/>
        <v>0</v>
      </c>
      <c r="J14" s="240"/>
      <c r="K14" s="218"/>
      <c r="L14" s="218"/>
      <c r="M14" s="219" t="e">
        <f t="shared" si="2"/>
        <v>#DIV/0!</v>
      </c>
      <c r="N14" s="229"/>
      <c r="O14" s="217"/>
      <c r="P14" s="218"/>
      <c r="Q14" s="218"/>
      <c r="R14" s="219" t="e">
        <f t="shared" si="3"/>
        <v>#DIV/0!</v>
      </c>
      <c r="S14" s="272"/>
      <c r="T14" s="217"/>
      <c r="U14" s="218"/>
      <c r="V14" s="218"/>
      <c r="W14" s="219" t="e">
        <f t="shared" si="4"/>
        <v>#DIV/0!</v>
      </c>
      <c r="X14" s="220"/>
    </row>
    <row r="15" spans="1:24" s="6" customFormat="1" ht="9.9499999999999993" customHeight="1" x14ac:dyDescent="0.2">
      <c r="A15" s="135" t="s">
        <v>12</v>
      </c>
      <c r="B15" s="511" t="s">
        <v>109</v>
      </c>
      <c r="C15" s="512"/>
      <c r="D15" s="133" t="s">
        <v>25</v>
      </c>
      <c r="E15" s="38">
        <f t="shared" si="6"/>
        <v>420000</v>
      </c>
      <c r="F15" s="39">
        <f t="shared" si="6"/>
        <v>420000</v>
      </c>
      <c r="G15" s="39">
        <f t="shared" si="6"/>
        <v>71452</v>
      </c>
      <c r="H15" s="10">
        <f t="shared" si="0"/>
        <v>17.012380952380951</v>
      </c>
      <c r="I15" s="40">
        <f t="shared" si="6"/>
        <v>42393</v>
      </c>
      <c r="J15" s="240">
        <v>420000</v>
      </c>
      <c r="K15" s="218">
        <v>420000</v>
      </c>
      <c r="L15" s="218">
        <v>71452</v>
      </c>
      <c r="M15" s="219">
        <f t="shared" si="2"/>
        <v>17.012380952380951</v>
      </c>
      <c r="N15" s="229">
        <v>42393</v>
      </c>
      <c r="O15" s="217"/>
      <c r="P15" s="218"/>
      <c r="Q15" s="218"/>
      <c r="R15" s="219" t="e">
        <f t="shared" si="3"/>
        <v>#DIV/0!</v>
      </c>
      <c r="S15" s="272"/>
      <c r="T15" s="217"/>
      <c r="U15" s="218"/>
      <c r="V15" s="218"/>
      <c r="W15" s="219" t="e">
        <f t="shared" si="4"/>
        <v>#DIV/0!</v>
      </c>
      <c r="X15" s="220"/>
    </row>
    <row r="16" spans="1:24" s="6" customFormat="1" ht="9.9499999999999993" customHeight="1" x14ac:dyDescent="0.2">
      <c r="A16" s="135" t="s">
        <v>13</v>
      </c>
      <c r="B16" s="511" t="s">
        <v>30</v>
      </c>
      <c r="C16" s="512"/>
      <c r="D16" s="133" t="s">
        <v>25</v>
      </c>
      <c r="E16" s="38">
        <f t="shared" si="6"/>
        <v>1000</v>
      </c>
      <c r="F16" s="39">
        <f t="shared" si="6"/>
        <v>1000</v>
      </c>
      <c r="G16" s="39">
        <f t="shared" si="6"/>
        <v>0</v>
      </c>
      <c r="H16" s="10">
        <f t="shared" si="0"/>
        <v>0</v>
      </c>
      <c r="I16" s="40">
        <f t="shared" si="6"/>
        <v>334</v>
      </c>
      <c r="J16" s="240">
        <v>1000</v>
      </c>
      <c r="K16" s="218">
        <v>1000</v>
      </c>
      <c r="L16" s="218">
        <v>0</v>
      </c>
      <c r="M16" s="219">
        <f t="shared" si="2"/>
        <v>0</v>
      </c>
      <c r="N16" s="229">
        <v>334</v>
      </c>
      <c r="O16" s="217"/>
      <c r="P16" s="218"/>
      <c r="Q16" s="218"/>
      <c r="R16" s="219" t="e">
        <f t="shared" si="3"/>
        <v>#DIV/0!</v>
      </c>
      <c r="S16" s="272"/>
      <c r="T16" s="217"/>
      <c r="U16" s="218"/>
      <c r="V16" s="218"/>
      <c r="W16" s="219" t="e">
        <f t="shared" si="4"/>
        <v>#DIV/0!</v>
      </c>
      <c r="X16" s="220"/>
    </row>
    <row r="17" spans="1:24" s="6" customFormat="1" ht="9.9499999999999993" customHeight="1" x14ac:dyDescent="0.2">
      <c r="A17" s="135" t="s">
        <v>14</v>
      </c>
      <c r="B17" s="236" t="s">
        <v>47</v>
      </c>
      <c r="C17" s="237"/>
      <c r="D17" s="133" t="s">
        <v>25</v>
      </c>
      <c r="E17" s="38">
        <f t="shared" si="6"/>
        <v>2000</v>
      </c>
      <c r="F17" s="39">
        <f t="shared" si="6"/>
        <v>2000</v>
      </c>
      <c r="G17" s="39">
        <f t="shared" si="6"/>
        <v>183</v>
      </c>
      <c r="H17" s="10">
        <f t="shared" si="0"/>
        <v>9.15</v>
      </c>
      <c r="I17" s="40">
        <f t="shared" si="6"/>
        <v>0</v>
      </c>
      <c r="J17" s="240">
        <v>2000</v>
      </c>
      <c r="K17" s="218">
        <v>2000</v>
      </c>
      <c r="L17" s="218">
        <v>183</v>
      </c>
      <c r="M17" s="219">
        <f t="shared" si="2"/>
        <v>9.15</v>
      </c>
      <c r="N17" s="229"/>
      <c r="O17" s="217"/>
      <c r="P17" s="218"/>
      <c r="Q17" s="218"/>
      <c r="R17" s="219" t="e">
        <f t="shared" si="3"/>
        <v>#DIV/0!</v>
      </c>
      <c r="S17" s="272"/>
      <c r="T17" s="217"/>
      <c r="U17" s="218"/>
      <c r="V17" s="218"/>
      <c r="W17" s="219" t="e">
        <f t="shared" si="4"/>
        <v>#DIV/0!</v>
      </c>
      <c r="X17" s="220"/>
    </row>
    <row r="18" spans="1:24" s="6" customFormat="1" ht="9.9499999999999993" customHeight="1" x14ac:dyDescent="0.2">
      <c r="A18" s="135" t="s">
        <v>15</v>
      </c>
      <c r="B18" s="511" t="s">
        <v>31</v>
      </c>
      <c r="C18" s="512"/>
      <c r="D18" s="133" t="s">
        <v>25</v>
      </c>
      <c r="E18" s="38">
        <f t="shared" si="6"/>
        <v>351580</v>
      </c>
      <c r="F18" s="39">
        <f t="shared" si="6"/>
        <v>351580</v>
      </c>
      <c r="G18" s="39">
        <f t="shared" si="6"/>
        <v>196693</v>
      </c>
      <c r="H18" s="10">
        <f t="shared" si="0"/>
        <v>55.945446271118946</v>
      </c>
      <c r="I18" s="40">
        <f t="shared" si="6"/>
        <v>136479</v>
      </c>
      <c r="J18" s="240">
        <v>345080</v>
      </c>
      <c r="K18" s="218">
        <v>345080</v>
      </c>
      <c r="L18" s="218">
        <v>191693</v>
      </c>
      <c r="M18" s="219">
        <f t="shared" si="2"/>
        <v>55.550307175147793</v>
      </c>
      <c r="N18" s="229">
        <v>135529</v>
      </c>
      <c r="O18" s="217">
        <v>6500</v>
      </c>
      <c r="P18" s="218">
        <v>6500</v>
      </c>
      <c r="Q18" s="218">
        <v>5000</v>
      </c>
      <c r="R18" s="219">
        <f t="shared" si="3"/>
        <v>76.923076923076934</v>
      </c>
      <c r="S18" s="272">
        <v>950</v>
      </c>
      <c r="T18" s="217"/>
      <c r="U18" s="218"/>
      <c r="V18" s="218"/>
      <c r="W18" s="219" t="e">
        <f t="shared" si="4"/>
        <v>#DIV/0!</v>
      </c>
      <c r="X18" s="220"/>
    </row>
    <row r="19" spans="1:24" s="11" customFormat="1" ht="9.9499999999999993" customHeight="1" x14ac:dyDescent="0.2">
      <c r="A19" s="135" t="s">
        <v>16</v>
      </c>
      <c r="B19" s="508" t="s">
        <v>32</v>
      </c>
      <c r="C19" s="508"/>
      <c r="D19" s="133" t="s">
        <v>25</v>
      </c>
      <c r="E19" s="38">
        <f t="shared" si="6"/>
        <v>6391000</v>
      </c>
      <c r="F19" s="39">
        <f t="shared" si="6"/>
        <v>6391000</v>
      </c>
      <c r="G19" s="39">
        <f t="shared" si="6"/>
        <v>3134225</v>
      </c>
      <c r="H19" s="10">
        <f t="shared" si="0"/>
        <v>49.041229854482864</v>
      </c>
      <c r="I19" s="40">
        <f t="shared" si="6"/>
        <v>3100552</v>
      </c>
      <c r="J19" s="241"/>
      <c r="K19" s="218"/>
      <c r="L19" s="218"/>
      <c r="M19" s="219" t="e">
        <f t="shared" si="2"/>
        <v>#DIV/0!</v>
      </c>
      <c r="N19" s="229"/>
      <c r="O19" s="217">
        <v>6391000</v>
      </c>
      <c r="P19" s="218">
        <v>6391000</v>
      </c>
      <c r="Q19" s="218">
        <v>3134225</v>
      </c>
      <c r="R19" s="219">
        <f t="shared" si="3"/>
        <v>49.041229854482864</v>
      </c>
      <c r="S19" s="272">
        <v>3100552</v>
      </c>
      <c r="T19" s="268"/>
      <c r="U19" s="269"/>
      <c r="V19" s="269"/>
      <c r="W19" s="219" t="e">
        <f t="shared" si="4"/>
        <v>#DIV/0!</v>
      </c>
      <c r="X19" s="270"/>
    </row>
    <row r="20" spans="1:24" s="6" customFormat="1" ht="9.9499999999999993" customHeight="1" x14ac:dyDescent="0.2">
      <c r="A20" s="135" t="s">
        <v>17</v>
      </c>
      <c r="B20" s="508" t="s">
        <v>48</v>
      </c>
      <c r="C20" s="508"/>
      <c r="D20" s="133" t="s">
        <v>25</v>
      </c>
      <c r="E20" s="38">
        <f t="shared" si="6"/>
        <v>2199976</v>
      </c>
      <c r="F20" s="39">
        <f t="shared" si="6"/>
        <v>2199976</v>
      </c>
      <c r="G20" s="39">
        <f t="shared" si="6"/>
        <v>1061491</v>
      </c>
      <c r="H20" s="10">
        <f t="shared" si="0"/>
        <v>48.250117274006627</v>
      </c>
      <c r="I20" s="40">
        <f t="shared" si="6"/>
        <v>1056073</v>
      </c>
      <c r="J20" s="240"/>
      <c r="K20" s="218"/>
      <c r="L20" s="218"/>
      <c r="M20" s="219" t="e">
        <f t="shared" si="2"/>
        <v>#DIV/0!</v>
      </c>
      <c r="N20" s="229"/>
      <c r="O20" s="217">
        <v>2199976</v>
      </c>
      <c r="P20" s="218">
        <v>2199976</v>
      </c>
      <c r="Q20" s="218">
        <v>1061491</v>
      </c>
      <c r="R20" s="219">
        <f t="shared" si="3"/>
        <v>48.250117274006627</v>
      </c>
      <c r="S20" s="272">
        <v>1056073</v>
      </c>
      <c r="T20" s="217"/>
      <c r="U20" s="218"/>
      <c r="V20" s="218"/>
      <c r="W20" s="219" t="e">
        <f t="shared" si="4"/>
        <v>#DIV/0!</v>
      </c>
      <c r="X20" s="220"/>
    </row>
    <row r="21" spans="1:24" s="6" customFormat="1" ht="9.9499999999999993" customHeight="1" x14ac:dyDescent="0.2">
      <c r="A21" s="135" t="s">
        <v>18</v>
      </c>
      <c r="B21" s="508" t="s">
        <v>49</v>
      </c>
      <c r="C21" s="508"/>
      <c r="D21" s="133" t="s">
        <v>25</v>
      </c>
      <c r="E21" s="38">
        <f t="shared" si="6"/>
        <v>95865</v>
      </c>
      <c r="F21" s="39">
        <f t="shared" si="6"/>
        <v>95865</v>
      </c>
      <c r="G21" s="39">
        <f t="shared" si="6"/>
        <v>47813</v>
      </c>
      <c r="H21" s="10">
        <f t="shared" si="0"/>
        <v>49.875345537996139</v>
      </c>
      <c r="I21" s="40">
        <f t="shared" si="6"/>
        <v>31006</v>
      </c>
      <c r="J21" s="240"/>
      <c r="K21" s="218"/>
      <c r="L21" s="218"/>
      <c r="M21" s="219" t="e">
        <f t="shared" si="2"/>
        <v>#DIV/0!</v>
      </c>
      <c r="N21" s="229"/>
      <c r="O21" s="217">
        <v>95865</v>
      </c>
      <c r="P21" s="218">
        <v>95865</v>
      </c>
      <c r="Q21" s="218">
        <v>47813</v>
      </c>
      <c r="R21" s="219">
        <f t="shared" si="3"/>
        <v>49.875345537996139</v>
      </c>
      <c r="S21" s="272">
        <v>31006</v>
      </c>
      <c r="T21" s="217"/>
      <c r="U21" s="218"/>
      <c r="V21" s="218"/>
      <c r="W21" s="219" t="e">
        <f t="shared" si="4"/>
        <v>#DIV/0!</v>
      </c>
      <c r="X21" s="220"/>
    </row>
    <row r="22" spans="1:24" s="6" customFormat="1" ht="9.9499999999999993" customHeight="1" x14ac:dyDescent="0.2">
      <c r="A22" s="135" t="s">
        <v>19</v>
      </c>
      <c r="B22" s="508" t="s">
        <v>62</v>
      </c>
      <c r="C22" s="508"/>
      <c r="D22" s="133" t="s">
        <v>25</v>
      </c>
      <c r="E22" s="38">
        <f t="shared" si="6"/>
        <v>0</v>
      </c>
      <c r="F22" s="39">
        <f t="shared" si="6"/>
        <v>0</v>
      </c>
      <c r="G22" s="39">
        <f t="shared" si="6"/>
        <v>0</v>
      </c>
      <c r="H22" s="10" t="e">
        <f t="shared" si="0"/>
        <v>#DIV/0!</v>
      </c>
      <c r="I22" s="40">
        <f t="shared" si="6"/>
        <v>0</v>
      </c>
      <c r="J22" s="240"/>
      <c r="K22" s="218"/>
      <c r="L22" s="218"/>
      <c r="M22" s="219" t="e">
        <f t="shared" si="2"/>
        <v>#DIV/0!</v>
      </c>
      <c r="N22" s="229"/>
      <c r="O22" s="217"/>
      <c r="P22" s="218"/>
      <c r="Q22" s="218"/>
      <c r="R22" s="219" t="e">
        <f t="shared" si="3"/>
        <v>#DIV/0!</v>
      </c>
      <c r="S22" s="272"/>
      <c r="T22" s="217"/>
      <c r="U22" s="218"/>
      <c r="V22" s="218"/>
      <c r="W22" s="219" t="e">
        <f t="shared" si="4"/>
        <v>#DIV/0!</v>
      </c>
      <c r="X22" s="220"/>
    </row>
    <row r="23" spans="1:24" s="6" customFormat="1" ht="9.9499999999999993" customHeight="1" x14ac:dyDescent="0.2">
      <c r="A23" s="135" t="s">
        <v>20</v>
      </c>
      <c r="B23" s="223" t="s">
        <v>101</v>
      </c>
      <c r="C23" s="223"/>
      <c r="D23" s="133" t="s">
        <v>25</v>
      </c>
      <c r="E23" s="38">
        <f t="shared" si="6"/>
        <v>0</v>
      </c>
      <c r="F23" s="39">
        <f t="shared" si="6"/>
        <v>0</v>
      </c>
      <c r="G23" s="39">
        <f t="shared" si="6"/>
        <v>0</v>
      </c>
      <c r="H23" s="10" t="e">
        <f t="shared" si="0"/>
        <v>#DIV/0!</v>
      </c>
      <c r="I23" s="40">
        <f t="shared" si="6"/>
        <v>0</v>
      </c>
      <c r="J23" s="240"/>
      <c r="K23" s="218"/>
      <c r="L23" s="218"/>
      <c r="M23" s="219" t="e">
        <f t="shared" si="2"/>
        <v>#DIV/0!</v>
      </c>
      <c r="N23" s="229"/>
      <c r="O23" s="217"/>
      <c r="P23" s="218"/>
      <c r="Q23" s="218"/>
      <c r="R23" s="219" t="e">
        <f t="shared" si="3"/>
        <v>#DIV/0!</v>
      </c>
      <c r="S23" s="272"/>
      <c r="T23" s="217"/>
      <c r="U23" s="218"/>
      <c r="V23" s="218"/>
      <c r="W23" s="219" t="e">
        <f t="shared" si="4"/>
        <v>#DIV/0!</v>
      </c>
      <c r="X23" s="220"/>
    </row>
    <row r="24" spans="1:24" s="6" customFormat="1" ht="9.9499999999999993" customHeight="1" x14ac:dyDescent="0.2">
      <c r="A24" s="135" t="s">
        <v>21</v>
      </c>
      <c r="B24" s="223" t="s">
        <v>110</v>
      </c>
      <c r="C24" s="223"/>
      <c r="D24" s="133" t="s">
        <v>25</v>
      </c>
      <c r="E24" s="38">
        <f t="shared" si="6"/>
        <v>0</v>
      </c>
      <c r="F24" s="39">
        <f t="shared" si="6"/>
        <v>0</v>
      </c>
      <c r="G24" s="39">
        <f t="shared" si="6"/>
        <v>0</v>
      </c>
      <c r="H24" s="10" t="e">
        <f t="shared" si="0"/>
        <v>#DIV/0!</v>
      </c>
      <c r="I24" s="40">
        <f t="shared" si="6"/>
        <v>0</v>
      </c>
      <c r="J24" s="240"/>
      <c r="K24" s="218"/>
      <c r="L24" s="218"/>
      <c r="M24" s="219" t="e">
        <f t="shared" si="2"/>
        <v>#DIV/0!</v>
      </c>
      <c r="N24" s="229"/>
      <c r="O24" s="217"/>
      <c r="P24" s="218"/>
      <c r="Q24" s="218"/>
      <c r="R24" s="219" t="e">
        <f t="shared" si="3"/>
        <v>#DIV/0!</v>
      </c>
      <c r="S24" s="272"/>
      <c r="T24" s="217"/>
      <c r="U24" s="218"/>
      <c r="V24" s="218"/>
      <c r="W24" s="219" t="e">
        <f t="shared" si="4"/>
        <v>#DIV/0!</v>
      </c>
      <c r="X24" s="220"/>
    </row>
    <row r="25" spans="1:24" s="13" customFormat="1" ht="9.9499999999999993" customHeight="1" x14ac:dyDescent="0.2">
      <c r="A25" s="135" t="s">
        <v>22</v>
      </c>
      <c r="B25" s="223" t="s">
        <v>63</v>
      </c>
      <c r="C25" s="223"/>
      <c r="D25" s="133" t="s">
        <v>25</v>
      </c>
      <c r="E25" s="38">
        <f t="shared" si="6"/>
        <v>0</v>
      </c>
      <c r="F25" s="39">
        <f t="shared" si="6"/>
        <v>0</v>
      </c>
      <c r="G25" s="39">
        <f t="shared" si="6"/>
        <v>0</v>
      </c>
      <c r="H25" s="14" t="e">
        <f>G25/F25*100</f>
        <v>#DIV/0!</v>
      </c>
      <c r="I25" s="40">
        <f>SUM(N25,S25)</f>
        <v>0</v>
      </c>
      <c r="J25" s="240"/>
      <c r="K25" s="271"/>
      <c r="L25" s="271"/>
      <c r="M25" s="219" t="e">
        <f t="shared" si="2"/>
        <v>#DIV/0!</v>
      </c>
      <c r="N25" s="272"/>
      <c r="O25" s="273"/>
      <c r="P25" s="271"/>
      <c r="Q25" s="271"/>
      <c r="R25" s="219" t="e">
        <f t="shared" si="3"/>
        <v>#DIV/0!</v>
      </c>
      <c r="S25" s="274"/>
      <c r="T25" s="273"/>
      <c r="U25" s="271"/>
      <c r="V25" s="271"/>
      <c r="W25" s="219" t="e">
        <f t="shared" si="4"/>
        <v>#DIV/0!</v>
      </c>
      <c r="X25" s="275"/>
    </row>
    <row r="26" spans="1:24" s="6" customFormat="1" ht="9.9499999999999993" customHeight="1" x14ac:dyDescent="0.2">
      <c r="A26" s="135" t="s">
        <v>23</v>
      </c>
      <c r="B26" s="511" t="s">
        <v>64</v>
      </c>
      <c r="C26" s="512"/>
      <c r="D26" s="133" t="s">
        <v>25</v>
      </c>
      <c r="E26" s="38">
        <f t="shared" si="6"/>
        <v>369942</v>
      </c>
      <c r="F26" s="39">
        <f t="shared" si="6"/>
        <v>468260</v>
      </c>
      <c r="G26" s="39">
        <f t="shared" si="6"/>
        <v>230930</v>
      </c>
      <c r="H26" s="10">
        <f t="shared" si="0"/>
        <v>49.316618972365781</v>
      </c>
      <c r="I26" s="40">
        <f t="shared" si="6"/>
        <v>158933</v>
      </c>
      <c r="J26" s="240">
        <v>369942</v>
      </c>
      <c r="K26" s="276">
        <v>468260</v>
      </c>
      <c r="L26" s="276">
        <v>230930</v>
      </c>
      <c r="M26" s="219">
        <f>L26/K26*100</f>
        <v>49.316618972365781</v>
      </c>
      <c r="N26" s="272">
        <v>158933</v>
      </c>
      <c r="O26" s="277"/>
      <c r="P26" s="276"/>
      <c r="Q26" s="276"/>
      <c r="R26" s="219" t="e">
        <f>Q26/P26*100</f>
        <v>#DIV/0!</v>
      </c>
      <c r="S26" s="272"/>
      <c r="T26" s="278"/>
      <c r="U26" s="279"/>
      <c r="V26" s="279"/>
      <c r="W26" s="219" t="e">
        <f>V26/U26*100</f>
        <v>#DIV/0!</v>
      </c>
      <c r="X26" s="280"/>
    </row>
    <row r="27" spans="1:24" s="13" customFormat="1" ht="9.9499999999999993" customHeight="1" x14ac:dyDescent="0.2">
      <c r="A27" s="135" t="s">
        <v>44</v>
      </c>
      <c r="B27" s="236" t="s">
        <v>65</v>
      </c>
      <c r="C27" s="237"/>
      <c r="D27" s="133" t="s">
        <v>25</v>
      </c>
      <c r="E27" s="38">
        <f t="shared" si="6"/>
        <v>0</v>
      </c>
      <c r="F27" s="39">
        <f t="shared" si="6"/>
        <v>0</v>
      </c>
      <c r="G27" s="39">
        <f t="shared" si="6"/>
        <v>0</v>
      </c>
      <c r="H27" s="14" t="e">
        <f t="shared" si="0"/>
        <v>#DIV/0!</v>
      </c>
      <c r="I27" s="40">
        <f t="shared" si="6"/>
        <v>0</v>
      </c>
      <c r="J27" s="240"/>
      <c r="K27" s="276"/>
      <c r="L27" s="276"/>
      <c r="M27" s="219" t="e">
        <f t="shared" si="2"/>
        <v>#DIV/0!</v>
      </c>
      <c r="N27" s="229"/>
      <c r="O27" s="277"/>
      <c r="P27" s="276"/>
      <c r="Q27" s="276"/>
      <c r="R27" s="219" t="e">
        <f t="shared" si="3"/>
        <v>#DIV/0!</v>
      </c>
      <c r="S27" s="272"/>
      <c r="T27" s="278"/>
      <c r="U27" s="279"/>
      <c r="V27" s="279"/>
      <c r="W27" s="219" t="e">
        <f t="shared" si="4"/>
        <v>#DIV/0!</v>
      </c>
      <c r="X27" s="280"/>
    </row>
    <row r="28" spans="1:24" s="13" customFormat="1" ht="9.9499999999999993" customHeight="1" x14ac:dyDescent="0.2">
      <c r="A28" s="135" t="s">
        <v>50</v>
      </c>
      <c r="B28" s="236" t="s">
        <v>91</v>
      </c>
      <c r="C28" s="237"/>
      <c r="D28" s="133" t="s">
        <v>25</v>
      </c>
      <c r="E28" s="38">
        <f>SUM(J28,O28)</f>
        <v>621000</v>
      </c>
      <c r="F28" s="39">
        <f>SUM(K28,P28)</f>
        <v>621000</v>
      </c>
      <c r="G28" s="39">
        <f>SUM(L28,Q28)</f>
        <v>88121</v>
      </c>
      <c r="H28" s="14">
        <f>G28/F28*100</f>
        <v>14.190177133655393</v>
      </c>
      <c r="I28" s="40">
        <f>SUM(N28,S28)</f>
        <v>33979</v>
      </c>
      <c r="J28" s="240">
        <v>621000</v>
      </c>
      <c r="K28" s="276">
        <v>621000</v>
      </c>
      <c r="L28" s="276">
        <v>88121</v>
      </c>
      <c r="M28" s="219">
        <f>L28/K28*100</f>
        <v>14.190177133655393</v>
      </c>
      <c r="N28" s="229">
        <v>33979</v>
      </c>
      <c r="O28" s="277"/>
      <c r="P28" s="276"/>
      <c r="Q28" s="276"/>
      <c r="R28" s="219" t="e">
        <f>Q28/P28*100</f>
        <v>#DIV/0!</v>
      </c>
      <c r="S28" s="272"/>
      <c r="T28" s="278"/>
      <c r="U28" s="279"/>
      <c r="V28" s="279"/>
      <c r="W28" s="219" t="e">
        <f>V28/U28*100</f>
        <v>#DIV/0!</v>
      </c>
      <c r="X28" s="280"/>
    </row>
    <row r="29" spans="1:24" s="15" customFormat="1" ht="9.9499999999999993" customHeight="1" x14ac:dyDescent="0.2">
      <c r="A29" s="135" t="s">
        <v>51</v>
      </c>
      <c r="B29" s="236" t="s">
        <v>66</v>
      </c>
      <c r="C29" s="237"/>
      <c r="D29" s="133" t="s">
        <v>25</v>
      </c>
      <c r="E29" s="38">
        <f t="shared" si="6"/>
        <v>229</v>
      </c>
      <c r="F29" s="39">
        <f t="shared" si="6"/>
        <v>229</v>
      </c>
      <c r="G29" s="39">
        <f t="shared" si="6"/>
        <v>228</v>
      </c>
      <c r="H29" s="14">
        <f t="shared" si="0"/>
        <v>99.563318777292579</v>
      </c>
      <c r="I29" s="40">
        <f t="shared" si="6"/>
        <v>6523</v>
      </c>
      <c r="J29" s="240">
        <v>229</v>
      </c>
      <c r="K29" s="276">
        <v>229</v>
      </c>
      <c r="L29" s="276">
        <v>228</v>
      </c>
      <c r="M29" s="219">
        <f t="shared" si="2"/>
        <v>99.563318777292579</v>
      </c>
      <c r="N29" s="272">
        <v>6523</v>
      </c>
      <c r="O29" s="277"/>
      <c r="P29" s="276"/>
      <c r="Q29" s="276"/>
      <c r="R29" s="219" t="e">
        <f t="shared" si="3"/>
        <v>#DIV/0!</v>
      </c>
      <c r="S29" s="272"/>
      <c r="T29" s="278"/>
      <c r="U29" s="279"/>
      <c r="V29" s="279"/>
      <c r="W29" s="219" t="e">
        <f t="shared" si="4"/>
        <v>#DIV/0!</v>
      </c>
      <c r="X29" s="280"/>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40">
        <f>SUM(N30,S30)</f>
        <v>0</v>
      </c>
      <c r="J30" s="240"/>
      <c r="K30" s="276"/>
      <c r="L30" s="276"/>
      <c r="M30" s="219" t="e">
        <f t="shared" si="2"/>
        <v>#DIV/0!</v>
      </c>
      <c r="N30" s="272"/>
      <c r="O30" s="277"/>
      <c r="P30" s="276"/>
      <c r="Q30" s="276"/>
      <c r="R30" s="219" t="e">
        <f t="shared" si="3"/>
        <v>#DIV/0!</v>
      </c>
      <c r="S30" s="272"/>
      <c r="T30" s="278"/>
      <c r="U30" s="279"/>
      <c r="V30" s="279"/>
      <c r="W30" s="219" t="e">
        <f t="shared" si="4"/>
        <v>#DIV/0!</v>
      </c>
      <c r="X30" s="280"/>
    </row>
    <row r="31" spans="1:24" s="23" customFormat="1" ht="9.75" x14ac:dyDescent="0.2">
      <c r="A31" s="135" t="s">
        <v>54</v>
      </c>
      <c r="B31" s="236" t="s">
        <v>67</v>
      </c>
      <c r="C31" s="237"/>
      <c r="D31" s="133" t="s">
        <v>25</v>
      </c>
      <c r="E31" s="38">
        <f t="shared" si="7"/>
        <v>0</v>
      </c>
      <c r="F31" s="39">
        <f t="shared" si="7"/>
        <v>0</v>
      </c>
      <c r="G31" s="39">
        <f t="shared" si="7"/>
        <v>0</v>
      </c>
      <c r="H31" s="14" t="e">
        <f t="shared" si="0"/>
        <v>#DIV/0!</v>
      </c>
      <c r="I31" s="40">
        <f>SUM(N31,S31)</f>
        <v>0</v>
      </c>
      <c r="J31" s="240"/>
      <c r="K31" s="281"/>
      <c r="L31" s="281"/>
      <c r="M31" s="219" t="e">
        <f t="shared" si="2"/>
        <v>#DIV/0!</v>
      </c>
      <c r="N31" s="282"/>
      <c r="O31" s="283"/>
      <c r="P31" s="281"/>
      <c r="Q31" s="281"/>
      <c r="R31" s="219" t="e">
        <f t="shared" si="3"/>
        <v>#DIV/0!</v>
      </c>
      <c r="S31" s="334"/>
      <c r="T31" s="284"/>
      <c r="U31" s="285"/>
      <c r="V31" s="285"/>
      <c r="W31" s="219" t="e">
        <f t="shared" si="4"/>
        <v>#DIV/0!</v>
      </c>
      <c r="X31" s="286"/>
    </row>
    <row r="32" spans="1:24" s="23" customFormat="1" ht="9.75" x14ac:dyDescent="0.2">
      <c r="A32" s="238" t="s">
        <v>55</v>
      </c>
      <c r="B32" s="233" t="s">
        <v>68</v>
      </c>
      <c r="C32" s="239"/>
      <c r="D32" s="235" t="s">
        <v>25</v>
      </c>
      <c r="E32" s="42">
        <f>SUM(J32,O32)</f>
        <v>0</v>
      </c>
      <c r="F32" s="43">
        <f>SUM(K32,P32)</f>
        <v>0</v>
      </c>
      <c r="G32" s="43">
        <f>SUM(L32,Q32)</f>
        <v>0</v>
      </c>
      <c r="H32" s="16" t="e">
        <f t="shared" si="0"/>
        <v>#DIV/0!</v>
      </c>
      <c r="I32" s="44">
        <f>SUM(N32,S32)</f>
        <v>0</v>
      </c>
      <c r="J32" s="287"/>
      <c r="K32" s="288"/>
      <c r="L32" s="288"/>
      <c r="M32" s="265" t="e">
        <f t="shared" si="2"/>
        <v>#DIV/0!</v>
      </c>
      <c r="N32" s="289"/>
      <c r="O32" s="290"/>
      <c r="P32" s="288"/>
      <c r="Q32" s="288"/>
      <c r="R32" s="265" t="e">
        <f t="shared" si="3"/>
        <v>#DIV/0!</v>
      </c>
      <c r="S32" s="369"/>
      <c r="T32" s="290"/>
      <c r="U32" s="288"/>
      <c r="V32" s="288"/>
      <c r="W32" s="265" t="e">
        <f t="shared" si="4"/>
        <v>#DIV/0!</v>
      </c>
      <c r="X32" s="291"/>
    </row>
    <row r="33" spans="1:24" s="23" customFormat="1" ht="9.75" x14ac:dyDescent="0.2">
      <c r="A33" s="134" t="s">
        <v>56</v>
      </c>
      <c r="B33" s="21" t="s">
        <v>102</v>
      </c>
      <c r="C33" s="22"/>
      <c r="D33" s="20" t="s">
        <v>25</v>
      </c>
      <c r="E33" s="29">
        <f>E6-E11</f>
        <v>0</v>
      </c>
      <c r="F33" s="29">
        <f>F6-F11</f>
        <v>0</v>
      </c>
      <c r="G33" s="29">
        <f>G6-G11</f>
        <v>2671674</v>
      </c>
      <c r="H33" s="25" t="e">
        <f t="shared" si="0"/>
        <v>#DIV/0!</v>
      </c>
      <c r="I33" s="29">
        <f>I6-I11</f>
        <v>582288</v>
      </c>
      <c r="J33" s="29">
        <f>J6-J11</f>
        <v>0</v>
      </c>
      <c r="K33" s="29">
        <f>K6-K11</f>
        <v>0</v>
      </c>
      <c r="L33" s="29">
        <f>L6-L11</f>
        <v>1068403</v>
      </c>
      <c r="M33" s="19" t="e">
        <f t="shared" si="2"/>
        <v>#DIV/0!</v>
      </c>
      <c r="N33" s="29">
        <f>N6-N11</f>
        <v>378256</v>
      </c>
      <c r="O33" s="29">
        <f>O6-O11</f>
        <v>0</v>
      </c>
      <c r="P33" s="29">
        <f>P6-P11</f>
        <v>0</v>
      </c>
      <c r="Q33" s="29">
        <f>Q6-Q11</f>
        <v>1603271</v>
      </c>
      <c r="R33" s="19" t="e">
        <f t="shared" si="3"/>
        <v>#DIV/0!</v>
      </c>
      <c r="S33" s="29">
        <f>S6-S11</f>
        <v>204032</v>
      </c>
      <c r="T33" s="29">
        <f>T6-T11</f>
        <v>0</v>
      </c>
      <c r="U33" s="29">
        <f>U6-U11</f>
        <v>0</v>
      </c>
      <c r="V33" s="29">
        <f>V6-V11</f>
        <v>0</v>
      </c>
      <c r="W33" s="19" t="e">
        <f t="shared" si="4"/>
        <v>#DIV/0!</v>
      </c>
      <c r="X33" s="29">
        <f>X6-X11</f>
        <v>0</v>
      </c>
    </row>
    <row r="34" spans="1:24" ht="9" x14ac:dyDescent="0.2">
      <c r="A34" s="224" t="s">
        <v>57</v>
      </c>
      <c r="B34" s="509" t="s">
        <v>24</v>
      </c>
      <c r="C34" s="510"/>
      <c r="D34" s="136" t="s">
        <v>25</v>
      </c>
      <c r="E34" s="196">
        <v>19020</v>
      </c>
      <c r="F34" s="197">
        <v>19020</v>
      </c>
      <c r="G34" s="197">
        <v>17869</v>
      </c>
      <c r="H34" s="12">
        <f t="shared" si="0"/>
        <v>93.948475289169295</v>
      </c>
      <c r="I34" s="256">
        <v>16536</v>
      </c>
      <c r="J34" s="502"/>
      <c r="K34" s="503"/>
      <c r="L34" s="503"/>
      <c r="M34" s="503"/>
      <c r="N34" s="503"/>
      <c r="O34" s="503"/>
      <c r="P34" s="503"/>
      <c r="Q34" s="503"/>
      <c r="R34" s="503"/>
      <c r="S34" s="503"/>
      <c r="T34" s="503"/>
      <c r="U34" s="503"/>
      <c r="V34" s="503"/>
      <c r="W34" s="503"/>
      <c r="X34" s="504"/>
    </row>
    <row r="35" spans="1:24" ht="9" x14ac:dyDescent="0.2">
      <c r="A35" s="137" t="s">
        <v>58</v>
      </c>
      <c r="B35" s="498" t="s">
        <v>33</v>
      </c>
      <c r="C35" s="499"/>
      <c r="D35" s="137" t="s">
        <v>26</v>
      </c>
      <c r="E35" s="198">
        <v>26.67</v>
      </c>
      <c r="F35" s="199">
        <v>27</v>
      </c>
      <c r="G35" s="199" t="s">
        <v>92</v>
      </c>
      <c r="H35" s="261" t="e">
        <f t="shared" si="0"/>
        <v>#VALUE!</v>
      </c>
      <c r="I35" s="301">
        <v>28</v>
      </c>
      <c r="J35" s="502"/>
      <c r="K35" s="503"/>
      <c r="L35" s="503"/>
      <c r="M35" s="503"/>
      <c r="N35" s="503"/>
      <c r="O35" s="503"/>
      <c r="P35" s="503"/>
      <c r="Q35" s="503"/>
      <c r="R35" s="503"/>
      <c r="S35" s="503"/>
      <c r="T35" s="503"/>
      <c r="U35" s="503"/>
      <c r="V35" s="503"/>
      <c r="W35" s="503"/>
      <c r="X35" s="504"/>
    </row>
    <row r="36" spans="1:24" ht="9" x14ac:dyDescent="0.2">
      <c r="A36" s="225" t="s">
        <v>59</v>
      </c>
      <c r="B36" s="500" t="s">
        <v>27</v>
      </c>
      <c r="C36" s="501"/>
      <c r="D36" s="226" t="s">
        <v>26</v>
      </c>
      <c r="E36" s="200">
        <v>29</v>
      </c>
      <c r="F36" s="201">
        <v>29</v>
      </c>
      <c r="G36" s="201">
        <v>29</v>
      </c>
      <c r="H36" s="259">
        <f t="shared" si="0"/>
        <v>100</v>
      </c>
      <c r="I36" s="260">
        <v>31</v>
      </c>
      <c r="J36" s="505"/>
      <c r="K36" s="506"/>
      <c r="L36" s="506"/>
      <c r="M36" s="506"/>
      <c r="N36" s="506"/>
      <c r="O36" s="506"/>
      <c r="P36" s="506"/>
      <c r="Q36" s="506"/>
      <c r="R36" s="506"/>
      <c r="S36" s="506"/>
      <c r="T36" s="506"/>
      <c r="U36" s="506"/>
      <c r="V36" s="506"/>
      <c r="W36" s="506"/>
      <c r="X36" s="507"/>
    </row>
    <row r="37" spans="1:24" customFormat="1" x14ac:dyDescent="0.15">
      <c r="A37" s="2"/>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tabSelected="1" zoomScaleNormal="100" workbookViewId="0">
      <selection activeCell="A29" sqref="A29:I29"/>
    </sheetView>
  </sheetViews>
  <sheetFormatPr defaultRowHeight="12.75" x14ac:dyDescent="0.2"/>
  <cols>
    <col min="1" max="1" width="74.75" style="28" customWidth="1"/>
    <col min="2" max="9" width="23.75" style="28" customWidth="1"/>
    <col min="15" max="15" width="17.75" bestFit="1" customWidth="1"/>
  </cols>
  <sheetData>
    <row r="1" spans="1:14" ht="18.75" x14ac:dyDescent="0.3">
      <c r="A1" s="72" t="s">
        <v>75</v>
      </c>
      <c r="B1" s="27"/>
      <c r="C1" s="27"/>
      <c r="D1" s="27"/>
      <c r="E1" s="27"/>
      <c r="F1" s="27"/>
      <c r="G1" s="27"/>
      <c r="H1" s="27"/>
      <c r="I1" s="27"/>
    </row>
    <row r="3" spans="1:14" s="115" customFormat="1" ht="10.5" x14ac:dyDescent="0.15">
      <c r="A3" s="489" t="s">
        <v>125</v>
      </c>
      <c r="B3" s="489"/>
      <c r="C3" s="489"/>
      <c r="D3" s="489"/>
      <c r="E3" s="489"/>
      <c r="F3" s="489"/>
      <c r="G3" s="489"/>
      <c r="H3" s="489"/>
      <c r="I3" s="489"/>
    </row>
    <row r="4" spans="1:14" s="116" customFormat="1" ht="11.25" x14ac:dyDescent="0.2"/>
    <row r="5" spans="1:14" s="117" customFormat="1" ht="9.75" x14ac:dyDescent="0.2">
      <c r="A5" s="562" t="s">
        <v>69</v>
      </c>
      <c r="B5" s="563"/>
      <c r="C5" s="372" t="s">
        <v>25</v>
      </c>
      <c r="D5" s="564" t="s">
        <v>113</v>
      </c>
      <c r="E5" s="564"/>
      <c r="F5" s="564"/>
      <c r="G5" s="564"/>
      <c r="H5" s="564"/>
      <c r="I5" s="564"/>
    </row>
    <row r="6" spans="1:14" s="116" customFormat="1" ht="24" customHeight="1" x14ac:dyDescent="0.2">
      <c r="A6" s="565" t="s">
        <v>70</v>
      </c>
      <c r="B6" s="566"/>
      <c r="C6" s="374">
        <v>127050</v>
      </c>
      <c r="D6" s="567" t="s">
        <v>129</v>
      </c>
      <c r="E6" s="568"/>
      <c r="F6" s="568"/>
      <c r="G6" s="568"/>
      <c r="H6" s="568"/>
      <c r="I6" s="568"/>
    </row>
    <row r="7" spans="1:14" s="118" customFormat="1" ht="12" x14ac:dyDescent="0.15">
      <c r="A7" s="565" t="s">
        <v>38</v>
      </c>
      <c r="B7" s="566"/>
      <c r="C7" s="374">
        <v>0</v>
      </c>
      <c r="D7" s="576"/>
      <c r="E7" s="577"/>
      <c r="F7" s="577"/>
      <c r="G7" s="577"/>
      <c r="H7" s="577"/>
      <c r="I7" s="578"/>
    </row>
    <row r="8" spans="1:14" s="118" customFormat="1" ht="12" x14ac:dyDescent="0.15">
      <c r="A8" s="565" t="s">
        <v>71</v>
      </c>
      <c r="B8" s="566"/>
      <c r="C8" s="374">
        <v>2308124.94</v>
      </c>
      <c r="D8" s="579"/>
      <c r="E8" s="580"/>
      <c r="F8" s="580"/>
      <c r="G8" s="580"/>
      <c r="H8" s="580"/>
      <c r="I8" s="581"/>
    </row>
    <row r="9" spans="1:14" s="116" customFormat="1" ht="11.25" x14ac:dyDescent="0.2">
      <c r="C9" s="119"/>
    </row>
    <row r="10" spans="1:14" s="120" customFormat="1" ht="11.25" x14ac:dyDescent="0.2">
      <c r="A10" s="489" t="s">
        <v>134</v>
      </c>
      <c r="B10" s="489"/>
      <c r="C10" s="489"/>
      <c r="D10" s="489"/>
      <c r="E10" s="489"/>
      <c r="F10" s="489"/>
      <c r="G10" s="489"/>
      <c r="H10" s="489"/>
      <c r="I10" s="489"/>
    </row>
    <row r="11" spans="1:14" s="116" customFormat="1" ht="11.25" x14ac:dyDescent="0.2">
      <c r="C11" s="119"/>
    </row>
    <row r="12" spans="1:14" s="121" customFormat="1" ht="19.5" x14ac:dyDescent="0.15">
      <c r="A12" s="126" t="s">
        <v>93</v>
      </c>
      <c r="B12" s="126" t="s">
        <v>114</v>
      </c>
      <c r="C12" s="126" t="s">
        <v>94</v>
      </c>
      <c r="D12" s="126" t="s">
        <v>95</v>
      </c>
      <c r="E12" s="126" t="s">
        <v>115</v>
      </c>
      <c r="F12" s="126" t="s">
        <v>116</v>
      </c>
      <c r="G12" s="569" t="s">
        <v>96</v>
      </c>
      <c r="H12" s="569"/>
      <c r="I12" s="569"/>
    </row>
    <row r="13" spans="1:14" s="116" customFormat="1" ht="24" customHeight="1" x14ac:dyDescent="0.2">
      <c r="A13" s="376" t="s">
        <v>72</v>
      </c>
      <c r="B13" s="377">
        <v>228858.23999999999</v>
      </c>
      <c r="C13" s="377">
        <v>121318.97</v>
      </c>
      <c r="D13" s="377">
        <v>150000</v>
      </c>
      <c r="E13" s="377">
        <v>200177.21</v>
      </c>
      <c r="F13" s="378">
        <v>200177.21</v>
      </c>
      <c r="G13" s="571" t="s">
        <v>196</v>
      </c>
      <c r="H13" s="572"/>
      <c r="I13" s="573"/>
    </row>
    <row r="14" spans="1:14" s="116" customFormat="1" ht="12" x14ac:dyDescent="0.2">
      <c r="A14" s="379" t="s">
        <v>117</v>
      </c>
      <c r="B14" s="380">
        <v>135867.1</v>
      </c>
      <c r="C14" s="380">
        <v>445456</v>
      </c>
      <c r="D14" s="380">
        <v>560692</v>
      </c>
      <c r="E14" s="380">
        <v>20631.099999999999</v>
      </c>
      <c r="F14" s="381">
        <v>20631.099999999999</v>
      </c>
      <c r="G14" s="574" t="s">
        <v>197</v>
      </c>
      <c r="H14" s="551"/>
      <c r="I14" s="552"/>
      <c r="N14" s="122"/>
    </row>
    <row r="15" spans="1:14" s="116" customFormat="1" ht="12" x14ac:dyDescent="0.2">
      <c r="A15" s="379" t="s">
        <v>73</v>
      </c>
      <c r="B15" s="380">
        <v>75750.67</v>
      </c>
      <c r="C15" s="380">
        <v>10000</v>
      </c>
      <c r="D15" s="380">
        <v>0</v>
      </c>
      <c r="E15" s="380">
        <v>85750.67</v>
      </c>
      <c r="F15" s="381">
        <v>85750.67</v>
      </c>
      <c r="G15" s="574" t="s">
        <v>242</v>
      </c>
      <c r="H15" s="551"/>
      <c r="I15" s="552"/>
    </row>
    <row r="16" spans="1:14" s="116" customFormat="1" ht="24" customHeight="1" x14ac:dyDescent="0.2">
      <c r="A16" s="382" t="s">
        <v>97</v>
      </c>
      <c r="B16" s="383">
        <v>116584.03</v>
      </c>
      <c r="C16" s="383">
        <v>72286.53</v>
      </c>
      <c r="D16" s="383">
        <v>39648</v>
      </c>
      <c r="E16" s="383">
        <v>149222.56</v>
      </c>
      <c r="F16" s="384">
        <v>149222.56</v>
      </c>
      <c r="G16" s="575" t="s">
        <v>130</v>
      </c>
      <c r="H16" s="553"/>
      <c r="I16" s="554"/>
    </row>
    <row r="17" spans="1:9" s="116" customFormat="1" ht="12" x14ac:dyDescent="0.2">
      <c r="A17" s="375" t="s">
        <v>34</v>
      </c>
      <c r="B17" s="177">
        <f>SUM(B13:B16)</f>
        <v>557060.03999999992</v>
      </c>
      <c r="C17" s="177">
        <f>SUM(C13:C16)</f>
        <v>649061.5</v>
      </c>
      <c r="D17" s="177">
        <f>SUM(D13:D16)</f>
        <v>750340</v>
      </c>
      <c r="E17" s="177">
        <f>SUM(E13:E16)</f>
        <v>455781.54</v>
      </c>
      <c r="F17" s="177">
        <f>SUM(F13:F16)</f>
        <v>455781.54</v>
      </c>
      <c r="G17" s="570"/>
      <c r="H17" s="570"/>
      <c r="I17" s="570"/>
    </row>
    <row r="18" spans="1:9" s="81" customFormat="1" ht="11.25" x14ac:dyDescent="0.2">
      <c r="A18" s="175"/>
      <c r="B18" s="175"/>
      <c r="C18" s="124"/>
      <c r="D18" s="175"/>
      <c r="E18" s="175"/>
      <c r="F18" s="175"/>
      <c r="G18" s="175"/>
      <c r="H18" s="175"/>
      <c r="I18" s="175"/>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48" customHeight="1" x14ac:dyDescent="0.15">
      <c r="A33" s="486" t="s">
        <v>247</v>
      </c>
      <c r="B33" s="487"/>
      <c r="C33" s="487"/>
      <c r="D33" s="487"/>
      <c r="E33" s="487"/>
      <c r="F33" s="487"/>
      <c r="G33" s="487"/>
      <c r="H33" s="487"/>
      <c r="I33" s="488"/>
    </row>
  </sheetData>
  <mergeCells count="23">
    <mergeCell ref="A33:I33"/>
    <mergeCell ref="A7:B7"/>
    <mergeCell ref="A19:I19"/>
    <mergeCell ref="A8:B8"/>
    <mergeCell ref="G12:I12"/>
    <mergeCell ref="G17:I17"/>
    <mergeCell ref="G13:I13"/>
    <mergeCell ref="G15:I15"/>
    <mergeCell ref="G16:I16"/>
    <mergeCell ref="D7:I8"/>
    <mergeCell ref="A10:I10"/>
    <mergeCell ref="G14:I14"/>
    <mergeCell ref="A31:I31"/>
    <mergeCell ref="A23:I23"/>
    <mergeCell ref="A27:I27"/>
    <mergeCell ref="A21:I21"/>
    <mergeCell ref="A25:I25"/>
    <mergeCell ref="A29:I29"/>
    <mergeCell ref="A3:I3"/>
    <mergeCell ref="A5:B5"/>
    <mergeCell ref="D5:I5"/>
    <mergeCell ref="A6:B6"/>
    <mergeCell ref="D6:I6"/>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529" t="s">
        <v>75</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18260550</v>
      </c>
      <c r="F6" s="29">
        <f>SUM(F7:F9)</f>
        <v>18365486</v>
      </c>
      <c r="G6" s="29">
        <f>SUM(G7:G9)</f>
        <v>11665236</v>
      </c>
      <c r="H6" s="24">
        <f t="shared" ref="H6:H36" si="0">G6/F6*100</f>
        <v>63.517164751316677</v>
      </c>
      <c r="I6" s="30">
        <f>SUM(I7:I9)</f>
        <v>8668718</v>
      </c>
      <c r="J6" s="30">
        <f t="shared" ref="J6:L6" si="1">SUM(J7:J9)</f>
        <v>5141250</v>
      </c>
      <c r="K6" s="30">
        <f t="shared" si="1"/>
        <v>5209186</v>
      </c>
      <c r="L6" s="30">
        <f t="shared" si="1"/>
        <v>2865736</v>
      </c>
      <c r="M6" s="24">
        <v>55.01</v>
      </c>
      <c r="N6" s="30">
        <f>SUM(N7:N9)</f>
        <v>2489829</v>
      </c>
      <c r="O6" s="30">
        <f t="shared" ref="O6:Q6" si="2">SUM(O7:O9)</f>
        <v>13119300</v>
      </c>
      <c r="P6" s="30">
        <f t="shared" si="2"/>
        <v>13156300</v>
      </c>
      <c r="Q6" s="30">
        <f t="shared" si="2"/>
        <v>8799500</v>
      </c>
      <c r="R6" s="24">
        <v>66.88</v>
      </c>
      <c r="S6" s="30">
        <f>SUM(S7:S9)</f>
        <v>6178889</v>
      </c>
      <c r="T6" s="30">
        <f t="shared" ref="T6:V6" si="3">SUM(T7:T9)</f>
        <v>0</v>
      </c>
      <c r="U6" s="30">
        <f t="shared" si="3"/>
        <v>0</v>
      </c>
      <c r="V6" s="30">
        <f t="shared" si="3"/>
        <v>0</v>
      </c>
      <c r="W6" s="24" t="e">
        <v>#DIV/0!</v>
      </c>
      <c r="X6" s="30">
        <f>SUM(X7:X9)</f>
        <v>14408</v>
      </c>
    </row>
    <row r="7" spans="1:24" s="6" customFormat="1" ht="9.9499999999999993" customHeight="1" x14ac:dyDescent="0.2">
      <c r="A7" s="130" t="s">
        <v>2</v>
      </c>
      <c r="B7" s="522" t="s">
        <v>45</v>
      </c>
      <c r="C7" s="523"/>
      <c r="D7" s="131" t="s">
        <v>25</v>
      </c>
      <c r="E7" s="32">
        <f t="shared" ref="E7:G10" si="4">SUM(J7,O7)</f>
        <v>1890000</v>
      </c>
      <c r="F7" s="33">
        <f t="shared" si="4"/>
        <v>1890000</v>
      </c>
      <c r="G7" s="33">
        <f t="shared" si="4"/>
        <v>1189550</v>
      </c>
      <c r="H7" s="9">
        <f t="shared" si="0"/>
        <v>62.939153439153436</v>
      </c>
      <c r="I7" s="34">
        <f>SUM(N7,S7)</f>
        <v>1132051</v>
      </c>
      <c r="J7" s="245">
        <v>1890000</v>
      </c>
      <c r="K7" s="35">
        <v>1890000</v>
      </c>
      <c r="L7" s="35">
        <v>1189550</v>
      </c>
      <c r="M7" s="9">
        <v>62.94</v>
      </c>
      <c r="N7" s="36">
        <v>1132051</v>
      </c>
      <c r="O7" s="37"/>
      <c r="P7" s="35"/>
      <c r="Q7" s="35"/>
      <c r="R7" s="9" t="e">
        <v>#DIV/0!</v>
      </c>
      <c r="S7" s="36"/>
      <c r="T7" s="37"/>
      <c r="U7" s="35"/>
      <c r="V7" s="35"/>
      <c r="W7" s="9" t="e">
        <v>#DIV/0!</v>
      </c>
      <c r="X7" s="65"/>
    </row>
    <row r="8" spans="1:24" s="6" customFormat="1" ht="9.9499999999999993" customHeight="1" x14ac:dyDescent="0.2">
      <c r="A8" s="132" t="s">
        <v>3</v>
      </c>
      <c r="B8" s="524" t="s">
        <v>46</v>
      </c>
      <c r="C8" s="525"/>
      <c r="D8" s="133" t="s">
        <v>25</v>
      </c>
      <c r="E8" s="38">
        <f t="shared" si="4"/>
        <v>1000</v>
      </c>
      <c r="F8" s="39">
        <f t="shared" si="4"/>
        <v>1000</v>
      </c>
      <c r="G8" s="39">
        <f t="shared" si="4"/>
        <v>1654</v>
      </c>
      <c r="H8" s="10">
        <f t="shared" si="0"/>
        <v>165.39999999999998</v>
      </c>
      <c r="I8" s="229">
        <f>SUM(N8,S8)</f>
        <v>0</v>
      </c>
      <c r="J8" s="231">
        <v>1000</v>
      </c>
      <c r="K8" s="39">
        <v>1000</v>
      </c>
      <c r="L8" s="39">
        <v>1654</v>
      </c>
      <c r="M8" s="10">
        <v>165.4</v>
      </c>
      <c r="N8" s="40"/>
      <c r="O8" s="38"/>
      <c r="P8" s="39"/>
      <c r="Q8" s="39"/>
      <c r="R8" s="10" t="e">
        <v>#DIV/0!</v>
      </c>
      <c r="S8" s="40"/>
      <c r="T8" s="38"/>
      <c r="U8" s="39"/>
      <c r="V8" s="39"/>
      <c r="W8" s="10" t="e">
        <v>#DIV/0!</v>
      </c>
      <c r="X8" s="41"/>
    </row>
    <row r="9" spans="1:24" s="6" customFormat="1" ht="9.9499999999999993" customHeight="1" x14ac:dyDescent="0.2">
      <c r="A9" s="232" t="s">
        <v>4</v>
      </c>
      <c r="B9" s="233" t="s">
        <v>60</v>
      </c>
      <c r="C9" s="234"/>
      <c r="D9" s="235" t="s">
        <v>25</v>
      </c>
      <c r="E9" s="42">
        <f t="shared" si="4"/>
        <v>16369550</v>
      </c>
      <c r="F9" s="43">
        <f t="shared" si="4"/>
        <v>16474486</v>
      </c>
      <c r="G9" s="43">
        <f t="shared" si="4"/>
        <v>10474032</v>
      </c>
      <c r="H9" s="26">
        <f t="shared" si="0"/>
        <v>63.577291576805493</v>
      </c>
      <c r="I9" s="230">
        <f>SUM(N9,S9)</f>
        <v>7536667</v>
      </c>
      <c r="J9" s="246">
        <v>3250250</v>
      </c>
      <c r="K9" s="43">
        <v>3318186</v>
      </c>
      <c r="L9" s="43">
        <v>1674532</v>
      </c>
      <c r="M9" s="26">
        <v>50.47</v>
      </c>
      <c r="N9" s="44">
        <v>1357778</v>
      </c>
      <c r="O9" s="42">
        <v>13119300</v>
      </c>
      <c r="P9" s="43">
        <v>13156300</v>
      </c>
      <c r="Q9" s="43">
        <v>8799500</v>
      </c>
      <c r="R9" s="26">
        <v>66.88</v>
      </c>
      <c r="S9" s="44">
        <v>6178889</v>
      </c>
      <c r="T9" s="42"/>
      <c r="U9" s="43"/>
      <c r="V9" s="43"/>
      <c r="W9" s="26" t="e">
        <v>#DIV/0!</v>
      </c>
      <c r="X9" s="45">
        <v>14408</v>
      </c>
    </row>
    <row r="10" spans="1:24" s="6" customFormat="1" ht="9.9499999999999993" customHeight="1" x14ac:dyDescent="0.2">
      <c r="A10" s="134" t="s">
        <v>5</v>
      </c>
      <c r="B10" s="526" t="s">
        <v>7</v>
      </c>
      <c r="C10" s="527"/>
      <c r="D10" s="20" t="s">
        <v>25</v>
      </c>
      <c r="E10" s="46">
        <f t="shared" si="4"/>
        <v>0</v>
      </c>
      <c r="F10" s="46">
        <f t="shared" si="4"/>
        <v>0</v>
      </c>
      <c r="G10" s="46">
        <f t="shared" si="4"/>
        <v>0</v>
      </c>
      <c r="H10" s="24" t="e">
        <f t="shared" si="0"/>
        <v>#DIV/0!</v>
      </c>
      <c r="I10" s="47">
        <f>SUM(N10,S10)</f>
        <v>0</v>
      </c>
      <c r="J10" s="31"/>
      <c r="K10" s="46"/>
      <c r="L10" s="46"/>
      <c r="M10" s="24" t="e">
        <v>#DIV/0!</v>
      </c>
      <c r="N10" s="47"/>
      <c r="O10" s="46"/>
      <c r="P10" s="46"/>
      <c r="Q10" s="46"/>
      <c r="R10" s="24" t="e">
        <v>#DIV/0!</v>
      </c>
      <c r="S10" s="47"/>
      <c r="T10" s="46"/>
      <c r="U10" s="46"/>
      <c r="V10" s="46"/>
      <c r="W10" s="24" t="e">
        <v>#DIV/0!</v>
      </c>
      <c r="X10" s="46"/>
    </row>
    <row r="11" spans="1:24" s="6" customFormat="1" ht="9.9499999999999993" customHeight="1" x14ac:dyDescent="0.2">
      <c r="A11" s="134" t="s">
        <v>6</v>
      </c>
      <c r="B11" s="526" t="s">
        <v>9</v>
      </c>
      <c r="C11" s="527"/>
      <c r="D11" s="20" t="s">
        <v>25</v>
      </c>
      <c r="E11" s="29">
        <f>SUM(E12:E31)</f>
        <v>18260550</v>
      </c>
      <c r="F11" s="29">
        <f>SUM(F12:F31)</f>
        <v>18365486</v>
      </c>
      <c r="G11" s="29">
        <f>SUM(G12:G31)</f>
        <v>9230062</v>
      </c>
      <c r="H11" s="24">
        <f t="shared" si="0"/>
        <v>50.257651771371584</v>
      </c>
      <c r="I11" s="30">
        <f>SUM(I12:I32)</f>
        <v>8553096</v>
      </c>
      <c r="J11" s="30">
        <f t="shared" ref="J11:L11" si="5">SUM(J12:J32)</f>
        <v>5141250</v>
      </c>
      <c r="K11" s="30">
        <f t="shared" si="5"/>
        <v>5209186</v>
      </c>
      <c r="L11" s="30">
        <f t="shared" si="5"/>
        <v>2738686</v>
      </c>
      <c r="M11" s="24">
        <v>52.57</v>
      </c>
      <c r="N11" s="30">
        <f>SUM(N12:N32)</f>
        <v>2481647</v>
      </c>
      <c r="O11" s="30">
        <f t="shared" ref="O11:Q11" si="6">SUM(O12:O32)</f>
        <v>13119300</v>
      </c>
      <c r="P11" s="30">
        <f t="shared" si="6"/>
        <v>13156300</v>
      </c>
      <c r="Q11" s="30">
        <f t="shared" si="6"/>
        <v>6491376</v>
      </c>
      <c r="R11" s="24">
        <v>49.34</v>
      </c>
      <c r="S11" s="30">
        <f>SUM(S12:S32)</f>
        <v>6071449</v>
      </c>
      <c r="T11" s="30">
        <f t="shared" ref="T11:V11" si="7">SUM(T12:T32)</f>
        <v>0</v>
      </c>
      <c r="U11" s="30">
        <f t="shared" si="7"/>
        <v>0</v>
      </c>
      <c r="V11" s="30">
        <f t="shared" si="7"/>
        <v>0</v>
      </c>
      <c r="W11" s="24" t="e">
        <v>#DIV/0!</v>
      </c>
      <c r="X11" s="30">
        <f>SUM(X12:X32)</f>
        <v>2648</v>
      </c>
    </row>
    <row r="12" spans="1:24" s="6" customFormat="1" ht="9.9499999999999993" customHeight="1" x14ac:dyDescent="0.2">
      <c r="A12" s="130" t="s">
        <v>8</v>
      </c>
      <c r="B12" s="528" t="s">
        <v>28</v>
      </c>
      <c r="C12" s="528"/>
      <c r="D12" s="131" t="s">
        <v>25</v>
      </c>
      <c r="E12" s="32">
        <f t="shared" ref="E12:I29" si="8">SUM(J12,O12)</f>
        <v>1612300</v>
      </c>
      <c r="F12" s="33">
        <f t="shared" si="8"/>
        <v>1612300</v>
      </c>
      <c r="G12" s="33">
        <f t="shared" si="8"/>
        <v>1085301</v>
      </c>
      <c r="H12" s="9">
        <f t="shared" si="0"/>
        <v>67.313837375178323</v>
      </c>
      <c r="I12" s="34">
        <f t="shared" si="8"/>
        <v>994068</v>
      </c>
      <c r="J12" s="247">
        <v>1528000</v>
      </c>
      <c r="K12" s="48">
        <v>1528000</v>
      </c>
      <c r="L12" s="48">
        <v>1085301</v>
      </c>
      <c r="M12" s="9">
        <v>71.03</v>
      </c>
      <c r="N12" s="49">
        <v>929868</v>
      </c>
      <c r="O12" s="50">
        <v>84300</v>
      </c>
      <c r="P12" s="48">
        <v>84300</v>
      </c>
      <c r="Q12" s="48"/>
      <c r="R12" s="9">
        <v>0</v>
      </c>
      <c r="S12" s="51">
        <v>64200</v>
      </c>
      <c r="T12" s="50"/>
      <c r="U12" s="48"/>
      <c r="V12" s="48"/>
      <c r="W12" s="9" t="e">
        <v>#DIV/0!</v>
      </c>
      <c r="X12" s="52"/>
    </row>
    <row r="13" spans="1:24" s="6" customFormat="1" ht="9.9499999999999993" customHeight="1" x14ac:dyDescent="0.2">
      <c r="A13" s="135" t="s">
        <v>10</v>
      </c>
      <c r="B13" s="508" t="s">
        <v>29</v>
      </c>
      <c r="C13" s="508"/>
      <c r="D13" s="133" t="s">
        <v>25</v>
      </c>
      <c r="E13" s="38">
        <f t="shared" si="8"/>
        <v>1800000</v>
      </c>
      <c r="F13" s="39">
        <f t="shared" si="8"/>
        <v>1670000</v>
      </c>
      <c r="G13" s="39">
        <f t="shared" si="8"/>
        <v>624875</v>
      </c>
      <c r="H13" s="10">
        <f t="shared" si="0"/>
        <v>37.417664670658688</v>
      </c>
      <c r="I13" s="229">
        <f t="shared" si="8"/>
        <v>886319</v>
      </c>
      <c r="J13" s="227">
        <v>1800000</v>
      </c>
      <c r="K13" s="39">
        <v>1670000</v>
      </c>
      <c r="L13" s="39">
        <v>624875</v>
      </c>
      <c r="M13" s="10">
        <v>37.42</v>
      </c>
      <c r="N13" s="40">
        <v>886319</v>
      </c>
      <c r="O13" s="38"/>
      <c r="P13" s="39"/>
      <c r="Q13" s="39"/>
      <c r="R13" s="10" t="e">
        <v>#DIV/0!</v>
      </c>
      <c r="S13" s="40"/>
      <c r="T13" s="38"/>
      <c r="U13" s="39"/>
      <c r="V13" s="39"/>
      <c r="W13" s="10" t="e">
        <v>#DIV/0!</v>
      </c>
      <c r="X13" s="41"/>
    </row>
    <row r="14" spans="1:24" s="6" customFormat="1" ht="9.9499999999999993" customHeight="1" x14ac:dyDescent="0.2">
      <c r="A14" s="135" t="s">
        <v>11</v>
      </c>
      <c r="B14" s="236" t="s">
        <v>61</v>
      </c>
      <c r="C14" s="237"/>
      <c r="D14" s="133" t="s">
        <v>25</v>
      </c>
      <c r="E14" s="38">
        <f t="shared" si="8"/>
        <v>0</v>
      </c>
      <c r="F14" s="39">
        <f t="shared" si="8"/>
        <v>0</v>
      </c>
      <c r="G14" s="39">
        <f t="shared" si="8"/>
        <v>0</v>
      </c>
      <c r="H14" s="10" t="e">
        <f t="shared" si="0"/>
        <v>#DIV/0!</v>
      </c>
      <c r="I14" s="229">
        <f t="shared" si="8"/>
        <v>0</v>
      </c>
      <c r="J14" s="227"/>
      <c r="K14" s="39"/>
      <c r="L14" s="39"/>
      <c r="M14" s="10" t="e">
        <v>#DIV/0!</v>
      </c>
      <c r="N14" s="40"/>
      <c r="O14" s="38"/>
      <c r="P14" s="39"/>
      <c r="Q14" s="39"/>
      <c r="R14" s="10" t="e">
        <v>#DIV/0!</v>
      </c>
      <c r="S14" s="40"/>
      <c r="T14" s="38"/>
      <c r="U14" s="39"/>
      <c r="V14" s="39"/>
      <c r="W14" s="10" t="e">
        <v>#DIV/0!</v>
      </c>
      <c r="X14" s="41"/>
    </row>
    <row r="15" spans="1:24" s="6" customFormat="1" ht="9.9499999999999993" customHeight="1" x14ac:dyDescent="0.2">
      <c r="A15" s="135" t="s">
        <v>12</v>
      </c>
      <c r="B15" s="511" t="s">
        <v>109</v>
      </c>
      <c r="C15" s="512"/>
      <c r="D15" s="133" t="s">
        <v>25</v>
      </c>
      <c r="E15" s="38">
        <f t="shared" si="8"/>
        <v>400000</v>
      </c>
      <c r="F15" s="39">
        <f t="shared" si="8"/>
        <v>400000</v>
      </c>
      <c r="G15" s="39">
        <f t="shared" si="8"/>
        <v>110961</v>
      </c>
      <c r="H15" s="10">
        <f t="shared" si="0"/>
        <v>27.74025</v>
      </c>
      <c r="I15" s="229">
        <f t="shared" si="8"/>
        <v>61047</v>
      </c>
      <c r="J15" s="227">
        <v>400000</v>
      </c>
      <c r="K15" s="39">
        <v>400000</v>
      </c>
      <c r="L15" s="39">
        <v>110961</v>
      </c>
      <c r="M15" s="10">
        <v>27.74</v>
      </c>
      <c r="N15" s="40">
        <v>61047</v>
      </c>
      <c r="O15" s="38"/>
      <c r="P15" s="39"/>
      <c r="Q15" s="39"/>
      <c r="R15" s="10" t="e">
        <v>#DIV/0!</v>
      </c>
      <c r="S15" s="40"/>
      <c r="T15" s="38"/>
      <c r="U15" s="39"/>
      <c r="V15" s="39"/>
      <c r="W15" s="10" t="e">
        <v>#DIV/0!</v>
      </c>
      <c r="X15" s="41">
        <v>700</v>
      </c>
    </row>
    <row r="16" spans="1:24" s="6" customFormat="1" ht="9.9499999999999993" customHeight="1" x14ac:dyDescent="0.2">
      <c r="A16" s="135" t="s">
        <v>13</v>
      </c>
      <c r="B16" s="511" t="s">
        <v>30</v>
      </c>
      <c r="C16" s="512"/>
      <c r="D16" s="133" t="s">
        <v>25</v>
      </c>
      <c r="E16" s="38">
        <f t="shared" si="8"/>
        <v>2000</v>
      </c>
      <c r="F16" s="39">
        <f t="shared" si="8"/>
        <v>2000</v>
      </c>
      <c r="G16" s="39">
        <f t="shared" si="8"/>
        <v>0</v>
      </c>
      <c r="H16" s="10">
        <f t="shared" si="0"/>
        <v>0</v>
      </c>
      <c r="I16" s="229">
        <f t="shared" si="8"/>
        <v>0</v>
      </c>
      <c r="J16" s="227">
        <v>2000</v>
      </c>
      <c r="K16" s="39">
        <v>2000</v>
      </c>
      <c r="L16" s="39"/>
      <c r="M16" s="10">
        <v>0</v>
      </c>
      <c r="N16" s="40"/>
      <c r="O16" s="38"/>
      <c r="P16" s="39"/>
      <c r="Q16" s="39"/>
      <c r="R16" s="10" t="e">
        <v>#DIV/0!</v>
      </c>
      <c r="S16" s="40"/>
      <c r="T16" s="38"/>
      <c r="U16" s="39"/>
      <c r="V16" s="39"/>
      <c r="W16" s="10" t="e">
        <v>#DIV/0!</v>
      </c>
      <c r="X16" s="41"/>
    </row>
    <row r="17" spans="1:24" s="6" customFormat="1" ht="9.9499999999999993" customHeight="1" x14ac:dyDescent="0.2">
      <c r="A17" s="135" t="s">
        <v>14</v>
      </c>
      <c r="B17" s="236" t="s">
        <v>47</v>
      </c>
      <c r="C17" s="237"/>
      <c r="D17" s="133" t="s">
        <v>25</v>
      </c>
      <c r="E17" s="38">
        <f t="shared" si="8"/>
        <v>0</v>
      </c>
      <c r="F17" s="39">
        <f t="shared" si="8"/>
        <v>0</v>
      </c>
      <c r="G17" s="39">
        <f t="shared" si="8"/>
        <v>0</v>
      </c>
      <c r="H17" s="10" t="e">
        <f t="shared" si="0"/>
        <v>#DIV/0!</v>
      </c>
      <c r="I17" s="229">
        <f t="shared" si="8"/>
        <v>0</v>
      </c>
      <c r="J17" s="227"/>
      <c r="K17" s="39"/>
      <c r="L17" s="39"/>
      <c r="M17" s="10" t="e">
        <v>#DIV/0!</v>
      </c>
      <c r="N17" s="40"/>
      <c r="O17" s="38"/>
      <c r="P17" s="39"/>
      <c r="Q17" s="39"/>
      <c r="R17" s="10" t="e">
        <v>#DIV/0!</v>
      </c>
      <c r="S17" s="40"/>
      <c r="T17" s="38"/>
      <c r="U17" s="39"/>
      <c r="V17" s="39"/>
      <c r="W17" s="10" t="e">
        <v>#DIV/0!</v>
      </c>
      <c r="X17" s="41"/>
    </row>
    <row r="18" spans="1:24" s="6" customFormat="1" ht="9.9499999999999993" customHeight="1" x14ac:dyDescent="0.2">
      <c r="A18" s="135" t="s">
        <v>15</v>
      </c>
      <c r="B18" s="511" t="s">
        <v>31</v>
      </c>
      <c r="C18" s="512"/>
      <c r="D18" s="133" t="s">
        <v>25</v>
      </c>
      <c r="E18" s="38">
        <f t="shared" si="8"/>
        <v>534340</v>
      </c>
      <c r="F18" s="39">
        <f t="shared" si="8"/>
        <v>534340</v>
      </c>
      <c r="G18" s="39">
        <f t="shared" si="8"/>
        <v>268893</v>
      </c>
      <c r="H18" s="10">
        <f t="shared" si="0"/>
        <v>50.322453868323535</v>
      </c>
      <c r="I18" s="229">
        <f t="shared" si="8"/>
        <v>198131</v>
      </c>
      <c r="J18" s="227">
        <v>534340</v>
      </c>
      <c r="K18" s="39">
        <v>534340</v>
      </c>
      <c r="L18" s="39">
        <v>268893</v>
      </c>
      <c r="M18" s="10">
        <v>50.32</v>
      </c>
      <c r="N18" s="40">
        <v>198131</v>
      </c>
      <c r="O18" s="38"/>
      <c r="P18" s="39"/>
      <c r="Q18" s="39"/>
      <c r="R18" s="10" t="e">
        <v>#DIV/0!</v>
      </c>
      <c r="S18" s="40"/>
      <c r="T18" s="38"/>
      <c r="U18" s="39"/>
      <c r="V18" s="39"/>
      <c r="W18" s="10" t="e">
        <v>#DIV/0!</v>
      </c>
      <c r="X18" s="41">
        <v>1948</v>
      </c>
    </row>
    <row r="19" spans="1:24" s="11" customFormat="1" ht="9.9499999999999993" customHeight="1" x14ac:dyDescent="0.2">
      <c r="A19" s="135" t="s">
        <v>16</v>
      </c>
      <c r="B19" s="508" t="s">
        <v>32</v>
      </c>
      <c r="C19" s="508"/>
      <c r="D19" s="133" t="s">
        <v>25</v>
      </c>
      <c r="E19" s="38">
        <f t="shared" si="8"/>
        <v>9640500</v>
      </c>
      <c r="F19" s="39">
        <f t="shared" si="8"/>
        <v>9667500</v>
      </c>
      <c r="G19" s="39">
        <f t="shared" si="8"/>
        <v>4819100</v>
      </c>
      <c r="H19" s="10">
        <f t="shared" si="0"/>
        <v>49.848461339539696</v>
      </c>
      <c r="I19" s="229">
        <f t="shared" si="8"/>
        <v>4479633</v>
      </c>
      <c r="J19" s="228">
        <v>61500</v>
      </c>
      <c r="K19" s="39">
        <v>61500</v>
      </c>
      <c r="L19" s="39">
        <v>34441</v>
      </c>
      <c r="M19" s="10">
        <v>56</v>
      </c>
      <c r="N19" s="40">
        <v>31261</v>
      </c>
      <c r="O19" s="38">
        <v>9579000</v>
      </c>
      <c r="P19" s="39">
        <v>9606000</v>
      </c>
      <c r="Q19" s="39">
        <v>4784659</v>
      </c>
      <c r="R19" s="10">
        <v>49.81</v>
      </c>
      <c r="S19" s="40">
        <v>4448372</v>
      </c>
      <c r="T19" s="62"/>
      <c r="U19" s="53"/>
      <c r="V19" s="53"/>
      <c r="W19" s="10" t="e">
        <v>#DIV/0!</v>
      </c>
      <c r="X19" s="66"/>
    </row>
    <row r="20" spans="1:24" s="6" customFormat="1" ht="9.9499999999999993" customHeight="1" x14ac:dyDescent="0.2">
      <c r="A20" s="135" t="s">
        <v>17</v>
      </c>
      <c r="B20" s="508" t="s">
        <v>48</v>
      </c>
      <c r="C20" s="508"/>
      <c r="D20" s="133" t="s">
        <v>25</v>
      </c>
      <c r="E20" s="38">
        <f t="shared" si="8"/>
        <v>3317500</v>
      </c>
      <c r="F20" s="39">
        <f t="shared" si="8"/>
        <v>3327500</v>
      </c>
      <c r="G20" s="39">
        <f t="shared" si="8"/>
        <v>1640847</v>
      </c>
      <c r="H20" s="10">
        <f t="shared" si="0"/>
        <v>49.311705484598043</v>
      </c>
      <c r="I20" s="229">
        <f t="shared" si="8"/>
        <v>1523063</v>
      </c>
      <c r="J20" s="227">
        <v>21500</v>
      </c>
      <c r="K20" s="39">
        <v>21500</v>
      </c>
      <c r="L20" s="39">
        <v>7900</v>
      </c>
      <c r="M20" s="10">
        <v>36.74</v>
      </c>
      <c r="N20" s="40">
        <v>8666</v>
      </c>
      <c r="O20" s="38">
        <v>3296000</v>
      </c>
      <c r="P20" s="39">
        <v>3306000</v>
      </c>
      <c r="Q20" s="39">
        <v>1632947</v>
      </c>
      <c r="R20" s="10">
        <v>49.39</v>
      </c>
      <c r="S20" s="40">
        <v>1514397</v>
      </c>
      <c r="T20" s="38"/>
      <c r="U20" s="39"/>
      <c r="V20" s="39"/>
      <c r="W20" s="10" t="e">
        <v>#DIV/0!</v>
      </c>
      <c r="X20" s="41"/>
    </row>
    <row r="21" spans="1:24" s="6" customFormat="1" ht="9.9499999999999993" customHeight="1" x14ac:dyDescent="0.2">
      <c r="A21" s="135" t="s">
        <v>18</v>
      </c>
      <c r="B21" s="508" t="s">
        <v>49</v>
      </c>
      <c r="C21" s="508"/>
      <c r="D21" s="133" t="s">
        <v>25</v>
      </c>
      <c r="E21" s="38">
        <f t="shared" si="8"/>
        <v>175000</v>
      </c>
      <c r="F21" s="39">
        <f t="shared" si="8"/>
        <v>175000</v>
      </c>
      <c r="G21" s="39">
        <f t="shared" si="8"/>
        <v>75616</v>
      </c>
      <c r="H21" s="10">
        <f t="shared" si="0"/>
        <v>43.209142857142858</v>
      </c>
      <c r="I21" s="229">
        <f t="shared" si="8"/>
        <v>48396</v>
      </c>
      <c r="J21" s="227">
        <v>15000</v>
      </c>
      <c r="K21" s="39">
        <v>15000</v>
      </c>
      <c r="L21" s="39">
        <v>1846</v>
      </c>
      <c r="M21" s="10">
        <v>12.31</v>
      </c>
      <c r="N21" s="40">
        <v>3916</v>
      </c>
      <c r="O21" s="38">
        <v>160000</v>
      </c>
      <c r="P21" s="39">
        <v>160000</v>
      </c>
      <c r="Q21" s="39">
        <v>73770</v>
      </c>
      <c r="R21" s="10">
        <v>46.11</v>
      </c>
      <c r="S21" s="40">
        <v>44480</v>
      </c>
      <c r="T21" s="38"/>
      <c r="U21" s="39"/>
      <c r="V21" s="39"/>
      <c r="W21" s="10" t="e">
        <v>#DIV/0!</v>
      </c>
      <c r="X21" s="41"/>
    </row>
    <row r="22" spans="1:24" s="6" customFormat="1" ht="9.9499999999999993" customHeight="1" x14ac:dyDescent="0.2">
      <c r="A22" s="135" t="s">
        <v>19</v>
      </c>
      <c r="B22" s="508" t="s">
        <v>62</v>
      </c>
      <c r="C22" s="508"/>
      <c r="D22" s="133" t="s">
        <v>25</v>
      </c>
      <c r="E22" s="38">
        <f t="shared" si="8"/>
        <v>0</v>
      </c>
      <c r="F22" s="39">
        <f t="shared" si="8"/>
        <v>0</v>
      </c>
      <c r="G22" s="39">
        <f t="shared" si="8"/>
        <v>0</v>
      </c>
      <c r="H22" s="10" t="e">
        <f t="shared" si="0"/>
        <v>#DIV/0!</v>
      </c>
      <c r="I22" s="229">
        <f t="shared" si="8"/>
        <v>0</v>
      </c>
      <c r="J22" s="227"/>
      <c r="K22" s="39"/>
      <c r="L22" s="39"/>
      <c r="M22" s="10" t="e">
        <v>#DIV/0!</v>
      </c>
      <c r="N22" s="40"/>
      <c r="O22" s="38"/>
      <c r="P22" s="39"/>
      <c r="Q22" s="39"/>
      <c r="R22" s="10" t="e">
        <v>#DIV/0!</v>
      </c>
      <c r="S22" s="40"/>
      <c r="T22" s="38"/>
      <c r="U22" s="39"/>
      <c r="V22" s="39"/>
      <c r="W22" s="10" t="e">
        <v>#DIV/0!</v>
      </c>
      <c r="X22" s="41"/>
    </row>
    <row r="23" spans="1:24" s="6" customFormat="1" ht="9.9499999999999993" customHeight="1" x14ac:dyDescent="0.2">
      <c r="A23" s="135" t="s">
        <v>20</v>
      </c>
      <c r="B23" s="223" t="s">
        <v>101</v>
      </c>
      <c r="C23" s="223"/>
      <c r="D23" s="133" t="s">
        <v>25</v>
      </c>
      <c r="E23" s="38">
        <f t="shared" si="8"/>
        <v>0</v>
      </c>
      <c r="F23" s="39">
        <f t="shared" si="8"/>
        <v>0</v>
      </c>
      <c r="G23" s="39">
        <f t="shared" si="8"/>
        <v>0</v>
      </c>
      <c r="H23" s="10" t="e">
        <f t="shared" si="0"/>
        <v>#DIV/0!</v>
      </c>
      <c r="I23" s="229">
        <f t="shared" si="8"/>
        <v>0</v>
      </c>
      <c r="J23" s="227"/>
      <c r="K23" s="39"/>
      <c r="L23" s="39"/>
      <c r="M23" s="10" t="e">
        <v>#DIV/0!</v>
      </c>
      <c r="N23" s="40"/>
      <c r="O23" s="38"/>
      <c r="P23" s="39"/>
      <c r="Q23" s="39"/>
      <c r="R23" s="10" t="e">
        <v>#DIV/0!</v>
      </c>
      <c r="S23" s="40"/>
      <c r="T23" s="38"/>
      <c r="U23" s="39"/>
      <c r="V23" s="39"/>
      <c r="W23" s="10" t="e">
        <v>#DIV/0!</v>
      </c>
      <c r="X23" s="41"/>
    </row>
    <row r="24" spans="1:24" s="6" customFormat="1" ht="9.9499999999999993" customHeight="1" x14ac:dyDescent="0.2">
      <c r="A24" s="135" t="s">
        <v>21</v>
      </c>
      <c r="B24" s="223" t="s">
        <v>110</v>
      </c>
      <c r="C24" s="223"/>
      <c r="D24" s="133" t="s">
        <v>25</v>
      </c>
      <c r="E24" s="38">
        <f t="shared" si="8"/>
        <v>0</v>
      </c>
      <c r="F24" s="39">
        <f t="shared" si="8"/>
        <v>0</v>
      </c>
      <c r="G24" s="39">
        <f t="shared" si="8"/>
        <v>0</v>
      </c>
      <c r="H24" s="10" t="e">
        <f t="shared" si="0"/>
        <v>#DIV/0!</v>
      </c>
      <c r="I24" s="229">
        <f t="shared" si="8"/>
        <v>0</v>
      </c>
      <c r="J24" s="227"/>
      <c r="K24" s="39"/>
      <c r="L24" s="39"/>
      <c r="M24" s="10" t="e">
        <v>#DIV/0!</v>
      </c>
      <c r="N24" s="40"/>
      <c r="O24" s="38"/>
      <c r="P24" s="39"/>
      <c r="Q24" s="39"/>
      <c r="R24" s="10" t="e">
        <v>#DIV/0!</v>
      </c>
      <c r="S24" s="40"/>
      <c r="T24" s="38"/>
      <c r="U24" s="39"/>
      <c r="V24" s="39"/>
      <c r="W24" s="10" t="e">
        <v>#DIV/0!</v>
      </c>
      <c r="X24" s="41"/>
    </row>
    <row r="25" spans="1:24" s="13" customFormat="1" ht="9.9499999999999993" customHeight="1" x14ac:dyDescent="0.2">
      <c r="A25" s="135" t="s">
        <v>22</v>
      </c>
      <c r="B25" s="223" t="s">
        <v>63</v>
      </c>
      <c r="C25" s="223"/>
      <c r="D25" s="133" t="s">
        <v>25</v>
      </c>
      <c r="E25" s="38">
        <f t="shared" si="8"/>
        <v>0</v>
      </c>
      <c r="F25" s="39">
        <f t="shared" si="8"/>
        <v>0</v>
      </c>
      <c r="G25" s="39">
        <f t="shared" si="8"/>
        <v>0</v>
      </c>
      <c r="H25" s="10" t="e">
        <f>G25/F25*100</f>
        <v>#DIV/0!</v>
      </c>
      <c r="I25" s="229">
        <f>SUM(N25,S25)</f>
        <v>391</v>
      </c>
      <c r="J25" s="227"/>
      <c r="K25" s="59"/>
      <c r="L25" s="59"/>
      <c r="M25" s="10" t="e">
        <v>#DIV/0!</v>
      </c>
      <c r="N25" s="55">
        <v>391</v>
      </c>
      <c r="O25" s="58"/>
      <c r="P25" s="59"/>
      <c r="Q25" s="59"/>
      <c r="R25" s="10" t="e">
        <v>#DIV/0!</v>
      </c>
      <c r="S25" s="55"/>
      <c r="T25" s="63"/>
      <c r="U25" s="60"/>
      <c r="V25" s="60"/>
      <c r="W25" s="10" t="e">
        <v>#DIV/0!</v>
      </c>
      <c r="X25" s="68"/>
    </row>
    <row r="26" spans="1:24" s="6" customFormat="1" ht="9.9499999999999993" customHeight="1" x14ac:dyDescent="0.2">
      <c r="A26" s="135" t="s">
        <v>23</v>
      </c>
      <c r="B26" s="511" t="s">
        <v>64</v>
      </c>
      <c r="C26" s="512"/>
      <c r="D26" s="133" t="s">
        <v>25</v>
      </c>
      <c r="E26" s="38">
        <f t="shared" si="8"/>
        <v>529146</v>
      </c>
      <c r="F26" s="39">
        <f t="shared" si="8"/>
        <v>597082</v>
      </c>
      <c r="G26" s="39">
        <f t="shared" si="8"/>
        <v>295456</v>
      </c>
      <c r="H26" s="10">
        <f t="shared" si="0"/>
        <v>49.483320548936327</v>
      </c>
      <c r="I26" s="229">
        <f t="shared" si="8"/>
        <v>0</v>
      </c>
      <c r="J26" s="227">
        <v>529146</v>
      </c>
      <c r="K26" s="54">
        <v>597082</v>
      </c>
      <c r="L26" s="54">
        <v>295456</v>
      </c>
      <c r="M26" s="10">
        <v>49.48</v>
      </c>
      <c r="N26" s="55"/>
      <c r="O26" s="56"/>
      <c r="P26" s="54"/>
      <c r="Q26" s="54"/>
      <c r="R26" s="10" t="e">
        <v>#DIV/0!</v>
      </c>
      <c r="S26" s="57"/>
      <c r="T26" s="56"/>
      <c r="U26" s="54"/>
      <c r="V26" s="54"/>
      <c r="W26" s="10" t="e">
        <v>#DIV/0!</v>
      </c>
      <c r="X26" s="67"/>
    </row>
    <row r="27" spans="1:24" s="13" customFormat="1" ht="9.9499999999999993" customHeight="1" x14ac:dyDescent="0.2">
      <c r="A27" s="135" t="s">
        <v>44</v>
      </c>
      <c r="B27" s="236" t="s">
        <v>65</v>
      </c>
      <c r="C27" s="237"/>
      <c r="D27" s="133" t="s">
        <v>25</v>
      </c>
      <c r="E27" s="38">
        <f t="shared" si="8"/>
        <v>0</v>
      </c>
      <c r="F27" s="39">
        <f t="shared" si="8"/>
        <v>0</v>
      </c>
      <c r="G27" s="39">
        <f t="shared" si="8"/>
        <v>0</v>
      </c>
      <c r="H27" s="10" t="e">
        <f t="shared" si="0"/>
        <v>#DIV/0!</v>
      </c>
      <c r="I27" s="229">
        <f t="shared" si="8"/>
        <v>225204</v>
      </c>
      <c r="J27" s="227"/>
      <c r="K27" s="59"/>
      <c r="L27" s="59"/>
      <c r="M27" s="10" t="e">
        <v>#DIV/0!</v>
      </c>
      <c r="N27" s="40">
        <v>225204</v>
      </c>
      <c r="O27" s="58"/>
      <c r="P27" s="59"/>
      <c r="Q27" s="59"/>
      <c r="R27" s="10" t="e">
        <v>#DIV/0!</v>
      </c>
      <c r="S27" s="55"/>
      <c r="T27" s="63"/>
      <c r="U27" s="60"/>
      <c r="V27" s="60"/>
      <c r="W27" s="10" t="e">
        <v>#DIV/0!</v>
      </c>
      <c r="X27" s="68"/>
    </row>
    <row r="28" spans="1:24" s="13" customFormat="1" ht="9.9499999999999993" customHeight="1" x14ac:dyDescent="0.2">
      <c r="A28" s="135" t="s">
        <v>50</v>
      </c>
      <c r="B28" s="236" t="s">
        <v>91</v>
      </c>
      <c r="C28" s="237"/>
      <c r="D28" s="133" t="s">
        <v>25</v>
      </c>
      <c r="E28" s="38">
        <f>SUM(J28,O28)</f>
        <v>228786</v>
      </c>
      <c r="F28" s="39">
        <f>SUM(K28,P28)</f>
        <v>358786</v>
      </c>
      <c r="G28" s="39">
        <f>SUM(L28,Q28)</f>
        <v>308622</v>
      </c>
      <c r="H28" s="10">
        <f>G28/F28*100</f>
        <v>86.018406515304392</v>
      </c>
      <c r="I28" s="229">
        <f>SUM(N28,S28)</f>
        <v>136844</v>
      </c>
      <c r="J28" s="227">
        <v>228786</v>
      </c>
      <c r="K28" s="59">
        <v>358786</v>
      </c>
      <c r="L28" s="59">
        <v>308622</v>
      </c>
      <c r="M28" s="10">
        <v>86.02</v>
      </c>
      <c r="N28" s="40">
        <v>136844</v>
      </c>
      <c r="O28" s="58"/>
      <c r="P28" s="59"/>
      <c r="Q28" s="59"/>
      <c r="R28" s="10" t="e">
        <v>#DIV/0!</v>
      </c>
      <c r="S28" s="55"/>
      <c r="T28" s="63"/>
      <c r="U28" s="60"/>
      <c r="V28" s="60"/>
      <c r="W28" s="10" t="e">
        <v>#DIV/0!</v>
      </c>
      <c r="X28" s="68"/>
    </row>
    <row r="29" spans="1:24" s="15" customFormat="1" ht="9.9499999999999993" customHeight="1" x14ac:dyDescent="0.2">
      <c r="A29" s="135" t="s">
        <v>51</v>
      </c>
      <c r="B29" s="236" t="s">
        <v>66</v>
      </c>
      <c r="C29" s="237"/>
      <c r="D29" s="133" t="s">
        <v>25</v>
      </c>
      <c r="E29" s="38">
        <f t="shared" si="8"/>
        <v>20978</v>
      </c>
      <c r="F29" s="39">
        <f t="shared" si="8"/>
        <v>20978</v>
      </c>
      <c r="G29" s="39">
        <f t="shared" si="8"/>
        <v>391</v>
      </c>
      <c r="H29" s="10">
        <f t="shared" si="0"/>
        <v>1.8638573743922204</v>
      </c>
      <c r="I29" s="229">
        <f t="shared" si="8"/>
        <v>0</v>
      </c>
      <c r="J29" s="227">
        <v>20978</v>
      </c>
      <c r="K29" s="59">
        <v>20978</v>
      </c>
      <c r="L29" s="59">
        <v>391</v>
      </c>
      <c r="M29" s="10">
        <v>1.86</v>
      </c>
      <c r="N29" s="55"/>
      <c r="O29" s="58"/>
      <c r="P29" s="59"/>
      <c r="Q29" s="59"/>
      <c r="R29" s="10" t="e">
        <v>#DIV/0!</v>
      </c>
      <c r="S29" s="55"/>
      <c r="T29" s="63"/>
      <c r="U29" s="60"/>
      <c r="V29" s="60"/>
      <c r="W29" s="10" t="e">
        <v>#DIV/0!</v>
      </c>
      <c r="X29" s="68"/>
    </row>
    <row r="30" spans="1:24" s="6" customFormat="1" ht="9.75" x14ac:dyDescent="0.2">
      <c r="A30" s="135" t="s">
        <v>53</v>
      </c>
      <c r="B30" s="236" t="s">
        <v>52</v>
      </c>
      <c r="C30" s="237"/>
      <c r="D30" s="133" t="s">
        <v>25</v>
      </c>
      <c r="E30" s="38">
        <f t="shared" ref="E30:G31" si="9">SUM(J30,O30)</f>
        <v>0</v>
      </c>
      <c r="F30" s="39">
        <f t="shared" si="9"/>
        <v>0</v>
      </c>
      <c r="G30" s="39">
        <f t="shared" si="9"/>
        <v>0</v>
      </c>
      <c r="H30" s="10" t="e">
        <f t="shared" si="0"/>
        <v>#DIV/0!</v>
      </c>
      <c r="I30" s="229">
        <f>SUM(N30,S30)</f>
        <v>0</v>
      </c>
      <c r="J30" s="227"/>
      <c r="K30" s="59"/>
      <c r="L30" s="59"/>
      <c r="M30" s="10" t="e">
        <v>#DIV/0!</v>
      </c>
      <c r="N30" s="55"/>
      <c r="O30" s="58"/>
      <c r="P30" s="59"/>
      <c r="Q30" s="59"/>
      <c r="R30" s="10" t="e">
        <v>#DIV/0!</v>
      </c>
      <c r="S30" s="55"/>
      <c r="T30" s="63"/>
      <c r="U30" s="60"/>
      <c r="V30" s="60"/>
      <c r="W30" s="10" t="e">
        <v>#DIV/0!</v>
      </c>
      <c r="X30" s="68"/>
    </row>
    <row r="31" spans="1:24" s="23" customFormat="1" ht="9.75" x14ac:dyDescent="0.2">
      <c r="A31" s="135" t="s">
        <v>54</v>
      </c>
      <c r="B31" s="236" t="s">
        <v>67</v>
      </c>
      <c r="C31" s="237"/>
      <c r="D31" s="133" t="s">
        <v>25</v>
      </c>
      <c r="E31" s="38">
        <f t="shared" si="9"/>
        <v>0</v>
      </c>
      <c r="F31" s="39">
        <f t="shared" si="9"/>
        <v>0</v>
      </c>
      <c r="G31" s="39">
        <f t="shared" si="9"/>
        <v>0</v>
      </c>
      <c r="H31" s="10" t="e">
        <f t="shared" si="0"/>
        <v>#DIV/0!</v>
      </c>
      <c r="I31" s="229">
        <f>SUM(N31,S31)</f>
        <v>0</v>
      </c>
      <c r="J31" s="227"/>
      <c r="K31" s="85"/>
      <c r="L31" s="85"/>
      <c r="M31" s="10" t="e">
        <v>#DIV/0!</v>
      </c>
      <c r="N31" s="86"/>
      <c r="O31" s="87"/>
      <c r="P31" s="85"/>
      <c r="Q31" s="85"/>
      <c r="R31" s="10" t="e">
        <v>#DIV/0!</v>
      </c>
      <c r="S31" s="86"/>
      <c r="T31" s="88"/>
      <c r="U31" s="89"/>
      <c r="V31" s="89"/>
      <c r="W31" s="10" t="e">
        <v>#DIV/0!</v>
      </c>
      <c r="X31" s="90"/>
    </row>
    <row r="32" spans="1:24" s="23" customFormat="1" ht="9.75" x14ac:dyDescent="0.2">
      <c r="A32" s="238" t="s">
        <v>55</v>
      </c>
      <c r="B32" s="233" t="s">
        <v>68</v>
      </c>
      <c r="C32" s="239"/>
      <c r="D32" s="235" t="s">
        <v>25</v>
      </c>
      <c r="E32" s="42">
        <f>SUM(J32,O32)</f>
        <v>0</v>
      </c>
      <c r="F32" s="43">
        <f>SUM(K32,P32)</f>
        <v>0</v>
      </c>
      <c r="G32" s="43">
        <f>SUM(L32,Q32)</f>
        <v>0</v>
      </c>
      <c r="H32" s="26" t="e">
        <f t="shared" si="0"/>
        <v>#DIV/0!</v>
      </c>
      <c r="I32" s="230">
        <f>SUM(N32,S32)</f>
        <v>0</v>
      </c>
      <c r="J32" s="252"/>
      <c r="K32" s="61"/>
      <c r="L32" s="61"/>
      <c r="M32" s="26" t="e">
        <v>#DIV/0!</v>
      </c>
      <c r="N32" s="91"/>
      <c r="O32" s="64"/>
      <c r="P32" s="61"/>
      <c r="Q32" s="61"/>
      <c r="R32" s="26" t="e">
        <v>#DIV/0!</v>
      </c>
      <c r="S32" s="91"/>
      <c r="T32" s="64"/>
      <c r="U32" s="61"/>
      <c r="V32" s="61"/>
      <c r="W32" s="26" t="e">
        <v>#DIV/0!</v>
      </c>
      <c r="X32" s="69"/>
    </row>
    <row r="33" spans="1:24" s="23" customFormat="1" ht="9.75" x14ac:dyDescent="0.2">
      <c r="A33" s="134" t="s">
        <v>56</v>
      </c>
      <c r="B33" s="21" t="s">
        <v>102</v>
      </c>
      <c r="C33" s="22"/>
      <c r="D33" s="20" t="s">
        <v>25</v>
      </c>
      <c r="E33" s="29">
        <f>E6-E11</f>
        <v>0</v>
      </c>
      <c r="F33" s="29">
        <f>F6-F11</f>
        <v>0</v>
      </c>
      <c r="G33" s="29">
        <f>G6-G11</f>
        <v>2435174</v>
      </c>
      <c r="H33" s="25" t="e">
        <f t="shared" si="0"/>
        <v>#DIV/0!</v>
      </c>
      <c r="I33" s="30">
        <f>I6-I11</f>
        <v>115622</v>
      </c>
      <c r="J33" s="30">
        <f t="shared" ref="J33:L33" si="10">J6-J11</f>
        <v>0</v>
      </c>
      <c r="K33" s="30">
        <f t="shared" si="10"/>
        <v>0</v>
      </c>
      <c r="L33" s="30">
        <f t="shared" si="10"/>
        <v>127050</v>
      </c>
      <c r="M33" s="19" t="e">
        <v>#DIV/0!</v>
      </c>
      <c r="N33" s="30">
        <f>N6-N11</f>
        <v>8182</v>
      </c>
      <c r="O33" s="30">
        <f t="shared" ref="O33:Q33" si="11">O6-O11</f>
        <v>0</v>
      </c>
      <c r="P33" s="30">
        <f t="shared" si="11"/>
        <v>0</v>
      </c>
      <c r="Q33" s="30">
        <f t="shared" si="11"/>
        <v>2308124</v>
      </c>
      <c r="R33" s="19" t="e">
        <v>#DIV/0!</v>
      </c>
      <c r="S33" s="30">
        <f t="shared" ref="S33:V33" si="12">S6-S11</f>
        <v>107440</v>
      </c>
      <c r="T33" s="30">
        <f t="shared" si="12"/>
        <v>0</v>
      </c>
      <c r="U33" s="30">
        <f t="shared" si="12"/>
        <v>0</v>
      </c>
      <c r="V33" s="30">
        <f t="shared" si="12"/>
        <v>0</v>
      </c>
      <c r="W33" s="19" t="e">
        <v>#DIV/0!</v>
      </c>
      <c r="X33" s="30">
        <f>X6-X11</f>
        <v>11760</v>
      </c>
    </row>
    <row r="34" spans="1:24" ht="9" x14ac:dyDescent="0.2">
      <c r="A34" s="224" t="s">
        <v>57</v>
      </c>
      <c r="B34" s="509" t="s">
        <v>24</v>
      </c>
      <c r="C34" s="510"/>
      <c r="D34" s="136" t="s">
        <v>25</v>
      </c>
      <c r="E34" s="196">
        <v>18600</v>
      </c>
      <c r="F34" s="197">
        <v>19000</v>
      </c>
      <c r="G34" s="197">
        <v>19073</v>
      </c>
      <c r="H34" s="12">
        <f t="shared" si="0"/>
        <v>100.38421052631578</v>
      </c>
      <c r="I34" s="256">
        <v>18535</v>
      </c>
      <c r="J34" s="502"/>
      <c r="K34" s="503"/>
      <c r="L34" s="503"/>
      <c r="M34" s="503"/>
      <c r="N34" s="503"/>
      <c r="O34" s="503"/>
      <c r="P34" s="503"/>
      <c r="Q34" s="503"/>
      <c r="R34" s="503"/>
      <c r="S34" s="503"/>
      <c r="T34" s="503"/>
      <c r="U34" s="503"/>
      <c r="V34" s="503"/>
      <c r="W34" s="503"/>
      <c r="X34" s="504"/>
    </row>
    <row r="35" spans="1:24" ht="9" x14ac:dyDescent="0.2">
      <c r="A35" s="137" t="s">
        <v>58</v>
      </c>
      <c r="B35" s="498" t="s">
        <v>33</v>
      </c>
      <c r="C35" s="499"/>
      <c r="D35" s="137" t="s">
        <v>26</v>
      </c>
      <c r="E35" s="198">
        <v>40</v>
      </c>
      <c r="F35" s="199">
        <v>42</v>
      </c>
      <c r="G35" s="199">
        <v>41.856000000000002</v>
      </c>
      <c r="H35" s="261">
        <f t="shared" si="0"/>
        <v>99.657142857142873</v>
      </c>
      <c r="I35" s="301">
        <v>40</v>
      </c>
      <c r="J35" s="502"/>
      <c r="K35" s="503"/>
      <c r="L35" s="503"/>
      <c r="M35" s="503"/>
      <c r="N35" s="503"/>
      <c r="O35" s="503"/>
      <c r="P35" s="503"/>
      <c r="Q35" s="503"/>
      <c r="R35" s="503"/>
      <c r="S35" s="503"/>
      <c r="T35" s="503"/>
      <c r="U35" s="503"/>
      <c r="V35" s="503"/>
      <c r="W35" s="503"/>
      <c r="X35" s="504"/>
    </row>
    <row r="36" spans="1:24" ht="9" x14ac:dyDescent="0.2">
      <c r="A36" s="225" t="s">
        <v>59</v>
      </c>
      <c r="B36" s="500" t="s">
        <v>27</v>
      </c>
      <c r="C36" s="501"/>
      <c r="D36" s="226" t="s">
        <v>26</v>
      </c>
      <c r="E36" s="200">
        <v>45</v>
      </c>
      <c r="F36" s="201">
        <v>48</v>
      </c>
      <c r="G36" s="201">
        <v>48</v>
      </c>
      <c r="H36" s="259">
        <f t="shared" si="0"/>
        <v>100</v>
      </c>
      <c r="I36" s="260">
        <v>45</v>
      </c>
      <c r="J36" s="505"/>
      <c r="K36" s="506"/>
      <c r="L36" s="506"/>
      <c r="M36" s="506"/>
      <c r="N36" s="506"/>
      <c r="O36" s="506"/>
      <c r="P36" s="506"/>
      <c r="Q36" s="506"/>
      <c r="R36" s="506"/>
      <c r="S36" s="506"/>
      <c r="T36" s="506"/>
      <c r="U36" s="506"/>
      <c r="V36" s="506"/>
      <c r="W36" s="506"/>
      <c r="X36" s="507"/>
    </row>
    <row r="37" spans="1:24" customFormat="1" x14ac:dyDescent="0.15">
      <c r="A37" s="2"/>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4"/>
  <sheetViews>
    <sheetView tabSelected="1" zoomScaleNormal="100" workbookViewId="0">
      <selection activeCell="A29" sqref="A29:I29"/>
    </sheetView>
  </sheetViews>
  <sheetFormatPr defaultRowHeight="12.75" x14ac:dyDescent="0.2"/>
  <cols>
    <col min="1" max="1" width="74.75" style="71" customWidth="1"/>
    <col min="2" max="9" width="23.75" style="71" customWidth="1"/>
  </cols>
  <sheetData>
    <row r="1" spans="1:14" s="73" customFormat="1" ht="18.75" x14ac:dyDescent="0.3">
      <c r="A1" s="70" t="s">
        <v>76</v>
      </c>
      <c r="B1" s="70"/>
      <c r="C1" s="70"/>
      <c r="D1" s="70"/>
      <c r="E1" s="70"/>
      <c r="F1" s="70"/>
      <c r="G1" s="70"/>
      <c r="H1" s="70"/>
      <c r="I1" s="70"/>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11" t="s">
        <v>25</v>
      </c>
      <c r="D5" s="472" t="s">
        <v>113</v>
      </c>
      <c r="E5" s="472"/>
      <c r="F5" s="472"/>
      <c r="G5" s="472"/>
      <c r="H5" s="472"/>
      <c r="I5" s="472"/>
    </row>
    <row r="6" spans="1:14" s="102" customFormat="1" ht="45.75" customHeight="1" x14ac:dyDescent="0.2">
      <c r="A6" s="467" t="s">
        <v>70</v>
      </c>
      <c r="B6" s="468"/>
      <c r="C6" s="180">
        <v>537298.80000000005</v>
      </c>
      <c r="D6" s="473" t="s">
        <v>255</v>
      </c>
      <c r="E6" s="473"/>
      <c r="F6" s="473"/>
      <c r="G6" s="473"/>
      <c r="H6" s="473"/>
      <c r="I6" s="473"/>
    </row>
    <row r="7" spans="1:14" s="104" customFormat="1" ht="24.75" customHeight="1" x14ac:dyDescent="0.15">
      <c r="A7" s="467" t="s">
        <v>38</v>
      </c>
      <c r="B7" s="468"/>
      <c r="C7" s="180">
        <v>20718</v>
      </c>
      <c r="D7" s="473" t="s">
        <v>202</v>
      </c>
      <c r="E7" s="473"/>
      <c r="F7" s="473"/>
      <c r="G7" s="473"/>
      <c r="H7" s="473"/>
      <c r="I7" s="473"/>
    </row>
    <row r="8" spans="1:14" s="104" customFormat="1" ht="11.25" x14ac:dyDescent="0.15">
      <c r="A8" s="467" t="s">
        <v>71</v>
      </c>
      <c r="B8" s="468"/>
      <c r="C8" s="180">
        <v>0</v>
      </c>
      <c r="D8" s="582"/>
      <c r="E8" s="583"/>
      <c r="F8" s="583"/>
      <c r="G8" s="583"/>
      <c r="H8" s="583"/>
      <c r="I8" s="584"/>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71.25" customHeight="1" x14ac:dyDescent="0.2">
      <c r="A13" s="205" t="s">
        <v>72</v>
      </c>
      <c r="B13" s="211">
        <v>23649.65</v>
      </c>
      <c r="C13" s="211">
        <v>207208.69</v>
      </c>
      <c r="D13" s="211">
        <v>0</v>
      </c>
      <c r="E13" s="211">
        <v>230858.34</v>
      </c>
      <c r="F13" s="439">
        <v>230858.34</v>
      </c>
      <c r="G13" s="476" t="s">
        <v>205</v>
      </c>
      <c r="H13" s="549"/>
      <c r="I13" s="550"/>
    </row>
    <row r="14" spans="1:14" s="102" customFormat="1" ht="82.5" customHeight="1" x14ac:dyDescent="0.2">
      <c r="A14" s="207" t="s">
        <v>117</v>
      </c>
      <c r="B14" s="189">
        <v>139389.74</v>
      </c>
      <c r="C14" s="189">
        <v>237194.1</v>
      </c>
      <c r="D14" s="189">
        <v>170648</v>
      </c>
      <c r="E14" s="189">
        <v>205935.84</v>
      </c>
      <c r="F14" s="440">
        <v>205935.84</v>
      </c>
      <c r="G14" s="482" t="s">
        <v>256</v>
      </c>
      <c r="H14" s="551"/>
      <c r="I14" s="552"/>
      <c r="N14" s="109"/>
    </row>
    <row r="15" spans="1:14" s="102" customFormat="1" ht="12" x14ac:dyDescent="0.2">
      <c r="A15" s="207" t="s">
        <v>73</v>
      </c>
      <c r="B15" s="189">
        <v>59577</v>
      </c>
      <c r="C15" s="189">
        <v>0</v>
      </c>
      <c r="D15" s="189">
        <v>0</v>
      </c>
      <c r="E15" s="189">
        <v>59577</v>
      </c>
      <c r="F15" s="440">
        <v>59577</v>
      </c>
      <c r="G15" s="482" t="s">
        <v>203</v>
      </c>
      <c r="H15" s="551"/>
      <c r="I15" s="552"/>
    </row>
    <row r="16" spans="1:14" s="102" customFormat="1" ht="36.75" customHeight="1" x14ac:dyDescent="0.2">
      <c r="A16" s="209" t="s">
        <v>97</v>
      </c>
      <c r="B16" s="190">
        <v>7805.23</v>
      </c>
      <c r="C16" s="190">
        <v>37725.58</v>
      </c>
      <c r="D16" s="190">
        <v>17918</v>
      </c>
      <c r="E16" s="190">
        <v>27612.81</v>
      </c>
      <c r="F16" s="441">
        <v>20627.16</v>
      </c>
      <c r="G16" s="483" t="s">
        <v>204</v>
      </c>
      <c r="H16" s="553"/>
      <c r="I16" s="554"/>
    </row>
    <row r="17" spans="1:9" s="102" customFormat="1" ht="12" x14ac:dyDescent="0.2">
      <c r="A17" s="371" t="s">
        <v>34</v>
      </c>
      <c r="B17" s="438">
        <f>SUM(B13:B16)</f>
        <v>230421.62</v>
      </c>
      <c r="C17" s="184">
        <f t="shared" ref="C17:F17" si="0">SUM(C13:C16)</f>
        <v>482128.37000000005</v>
      </c>
      <c r="D17" s="184">
        <f t="shared" si="0"/>
        <v>188566</v>
      </c>
      <c r="E17" s="184">
        <f t="shared" si="0"/>
        <v>523983.99</v>
      </c>
      <c r="F17" s="184">
        <f t="shared" si="0"/>
        <v>516998.33999999997</v>
      </c>
      <c r="G17" s="466"/>
      <c r="H17" s="466"/>
      <c r="I17" s="466"/>
    </row>
    <row r="18" spans="1:9" s="123" customFormat="1" ht="11.25" x14ac:dyDescent="0.2">
      <c r="A18" s="179"/>
      <c r="B18" s="179"/>
      <c r="C18" s="113"/>
      <c r="D18" s="179"/>
      <c r="E18" s="179"/>
      <c r="F18" s="179"/>
      <c r="G18" s="179"/>
      <c r="H18" s="179"/>
      <c r="I18" s="179"/>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120</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35.25" customHeight="1" x14ac:dyDescent="0.15">
      <c r="A33" s="486" t="s">
        <v>248</v>
      </c>
      <c r="B33" s="487"/>
      <c r="C33" s="487"/>
      <c r="D33" s="487"/>
      <c r="E33" s="487"/>
      <c r="F33" s="487"/>
      <c r="G33" s="487"/>
      <c r="H33" s="487"/>
      <c r="I33" s="488"/>
    </row>
    <row r="34" spans="1:9" x14ac:dyDescent="0.2">
      <c r="A34" s="28"/>
      <c r="B34" s="28"/>
      <c r="C34" s="28"/>
      <c r="D34" s="28"/>
      <c r="E34" s="28"/>
      <c r="F34" s="28"/>
      <c r="G34" s="28"/>
      <c r="H34" s="28"/>
      <c r="I34" s="28"/>
    </row>
  </sheetData>
  <mergeCells count="24">
    <mergeCell ref="G16:I16"/>
    <mergeCell ref="A31:I31"/>
    <mergeCell ref="G17:I17"/>
    <mergeCell ref="A19:I19"/>
    <mergeCell ref="A21:I21"/>
    <mergeCell ref="A23:I23"/>
    <mergeCell ref="A27:I27"/>
    <mergeCell ref="A29:I29"/>
    <mergeCell ref="A33:I33"/>
    <mergeCell ref="A25:I25"/>
    <mergeCell ref="G14:I14"/>
    <mergeCell ref="A3:I3"/>
    <mergeCell ref="A5:B5"/>
    <mergeCell ref="D5:I5"/>
    <mergeCell ref="A6:B6"/>
    <mergeCell ref="D6:I6"/>
    <mergeCell ref="A7:B7"/>
    <mergeCell ref="D7:I7"/>
    <mergeCell ref="A8:B8"/>
    <mergeCell ref="D8:I8"/>
    <mergeCell ref="A10:I10"/>
    <mergeCell ref="G12:I12"/>
    <mergeCell ref="G13:I13"/>
    <mergeCell ref="G15:I15"/>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1" enableFormatConditionsCalculation="0">
    <tabColor rgb="FF92D050"/>
  </sheetPr>
  <dimension ref="A1:X68"/>
  <sheetViews>
    <sheetView tabSelected="1" zoomScaleNormal="100" workbookViewId="0">
      <selection activeCell="A29" sqref="A29:I29"/>
    </sheetView>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529" t="s">
        <v>76</v>
      </c>
      <c r="B1" s="529"/>
      <c r="C1" s="529"/>
      <c r="D1" s="529"/>
      <c r="E1" s="529"/>
      <c r="F1" s="529"/>
      <c r="G1" s="529"/>
      <c r="H1" s="529"/>
      <c r="I1" s="529"/>
      <c r="J1" s="529"/>
      <c r="K1" s="529"/>
      <c r="L1" s="529"/>
      <c r="M1" s="529"/>
      <c r="N1" s="529"/>
      <c r="O1" s="529"/>
      <c r="P1" s="529"/>
      <c r="Q1" s="529"/>
      <c r="R1" s="529"/>
      <c r="S1" s="529"/>
      <c r="T1" s="529"/>
      <c r="U1" s="529"/>
      <c r="V1" s="529"/>
      <c r="W1" s="529"/>
      <c r="X1" s="529"/>
    </row>
    <row r="3" spans="1:24" s="6" customFormat="1" ht="9.75" customHeight="1" x14ac:dyDescent="0.2">
      <c r="A3" s="518" t="s">
        <v>40</v>
      </c>
      <c r="B3" s="533" t="s">
        <v>41</v>
      </c>
      <c r="C3" s="555"/>
      <c r="D3" s="539" t="s">
        <v>42</v>
      </c>
      <c r="E3" s="530" t="s">
        <v>98</v>
      </c>
      <c r="F3" s="531"/>
      <c r="G3" s="531"/>
      <c r="H3" s="531"/>
      <c r="I3" s="532"/>
      <c r="J3" s="530" t="s">
        <v>39</v>
      </c>
      <c r="K3" s="531"/>
      <c r="L3" s="531"/>
      <c r="M3" s="531"/>
      <c r="N3" s="532"/>
      <c r="O3" s="530" t="s">
        <v>99</v>
      </c>
      <c r="P3" s="531"/>
      <c r="Q3" s="531"/>
      <c r="R3" s="531"/>
      <c r="S3" s="532"/>
      <c r="T3" s="530" t="s">
        <v>100</v>
      </c>
      <c r="U3" s="531"/>
      <c r="V3" s="531"/>
      <c r="W3" s="531"/>
      <c r="X3" s="532"/>
    </row>
    <row r="4" spans="1:24" s="7" customFormat="1" ht="9.75" customHeight="1" x14ac:dyDescent="0.2">
      <c r="A4" s="560"/>
      <c r="B4" s="556"/>
      <c r="C4" s="557"/>
      <c r="D4" s="540"/>
      <c r="E4" s="513" t="s">
        <v>43</v>
      </c>
      <c r="F4" s="515" t="s">
        <v>111</v>
      </c>
      <c r="G4" s="516"/>
      <c r="H4" s="517"/>
      <c r="I4" s="518" t="s">
        <v>112</v>
      </c>
      <c r="J4" s="513" t="s">
        <v>43</v>
      </c>
      <c r="K4" s="515" t="s">
        <v>111</v>
      </c>
      <c r="L4" s="516"/>
      <c r="M4" s="517"/>
      <c r="N4" s="518" t="s">
        <v>112</v>
      </c>
      <c r="O4" s="513" t="s">
        <v>43</v>
      </c>
      <c r="P4" s="515" t="s">
        <v>111</v>
      </c>
      <c r="Q4" s="516"/>
      <c r="R4" s="517"/>
      <c r="S4" s="518" t="s">
        <v>112</v>
      </c>
      <c r="T4" s="513" t="s">
        <v>43</v>
      </c>
      <c r="U4" s="515" t="s">
        <v>111</v>
      </c>
      <c r="V4" s="516"/>
      <c r="W4" s="517"/>
      <c r="X4" s="518" t="s">
        <v>112</v>
      </c>
    </row>
    <row r="5" spans="1:24" s="8" customFormat="1" ht="9.75" customHeight="1" x14ac:dyDescent="0.2">
      <c r="A5" s="561"/>
      <c r="B5" s="558"/>
      <c r="C5" s="559"/>
      <c r="D5" s="541"/>
      <c r="E5" s="514"/>
      <c r="F5" s="17" t="s">
        <v>35</v>
      </c>
      <c r="G5" s="18" t="s">
        <v>36</v>
      </c>
      <c r="H5" s="17" t="s">
        <v>37</v>
      </c>
      <c r="I5" s="519"/>
      <c r="J5" s="514"/>
      <c r="K5" s="17" t="s">
        <v>35</v>
      </c>
      <c r="L5" s="18" t="s">
        <v>36</v>
      </c>
      <c r="M5" s="17" t="s">
        <v>37</v>
      </c>
      <c r="N5" s="519"/>
      <c r="O5" s="514"/>
      <c r="P5" s="17" t="s">
        <v>35</v>
      </c>
      <c r="Q5" s="18" t="s">
        <v>36</v>
      </c>
      <c r="R5" s="17" t="s">
        <v>37</v>
      </c>
      <c r="S5" s="519"/>
      <c r="T5" s="514"/>
      <c r="U5" s="17" t="s">
        <v>35</v>
      </c>
      <c r="V5" s="18" t="s">
        <v>36</v>
      </c>
      <c r="W5" s="17" t="s">
        <v>37</v>
      </c>
      <c r="X5" s="519"/>
    </row>
    <row r="6" spans="1:24" s="6" customFormat="1" ht="9.75" customHeight="1" x14ac:dyDescent="0.2">
      <c r="A6" s="129" t="s">
        <v>0</v>
      </c>
      <c r="B6" s="520" t="s">
        <v>1</v>
      </c>
      <c r="C6" s="521"/>
      <c r="D6" s="20" t="s">
        <v>25</v>
      </c>
      <c r="E6" s="29">
        <f>SUM(E7:E9)</f>
        <v>12369340</v>
      </c>
      <c r="F6" s="29">
        <f>SUM(F7:F9)</f>
        <v>12774958</v>
      </c>
      <c r="G6" s="29">
        <f>SUM(G7:G9)</f>
        <v>6718037</v>
      </c>
      <c r="H6" s="24">
        <f t="shared" ref="H6:H36" si="0">G6/F6*100</f>
        <v>52.587546667472409</v>
      </c>
      <c r="I6" s="30">
        <f>SUM(I7:I9)</f>
        <v>6215933</v>
      </c>
      <c r="J6" s="29">
        <f>SUM(J7:J9)</f>
        <v>5515940</v>
      </c>
      <c r="K6" s="29">
        <f t="shared" ref="K6:X6" si="1">SUM(K7:K9)</f>
        <v>5826841</v>
      </c>
      <c r="L6" s="29">
        <f t="shared" si="1"/>
        <v>3429362</v>
      </c>
      <c r="M6" s="24">
        <f t="shared" ref="M6:M33" si="2">L6/K6*100</f>
        <v>58.85456630788449</v>
      </c>
      <c r="N6" s="30">
        <f t="shared" si="1"/>
        <v>3090848</v>
      </c>
      <c r="O6" s="29">
        <f t="shared" si="1"/>
        <v>6853400</v>
      </c>
      <c r="P6" s="29">
        <f t="shared" si="1"/>
        <v>6948117</v>
      </c>
      <c r="Q6" s="29">
        <f t="shared" si="1"/>
        <v>3288675</v>
      </c>
      <c r="R6" s="24">
        <f t="shared" ref="R6:R33" si="3">Q6/P6*100</f>
        <v>47.331888625364257</v>
      </c>
      <c r="S6" s="29">
        <f t="shared" si="1"/>
        <v>3125085</v>
      </c>
      <c r="T6" s="29">
        <f t="shared" si="1"/>
        <v>40740</v>
      </c>
      <c r="U6" s="29">
        <f t="shared" si="1"/>
        <v>43438</v>
      </c>
      <c r="V6" s="29">
        <f t="shared" si="1"/>
        <v>23068</v>
      </c>
      <c r="W6" s="24">
        <f t="shared" ref="W6:W33" si="4">V6/U6*100</f>
        <v>53.105575763156686</v>
      </c>
      <c r="X6" s="29">
        <f t="shared" si="1"/>
        <v>20370</v>
      </c>
    </row>
    <row r="7" spans="1:24" s="6" customFormat="1" ht="9.9499999999999993" customHeight="1" x14ac:dyDescent="0.2">
      <c r="A7" s="130" t="s">
        <v>2</v>
      </c>
      <c r="B7" s="522" t="s">
        <v>45</v>
      </c>
      <c r="C7" s="523"/>
      <c r="D7" s="131" t="s">
        <v>25</v>
      </c>
      <c r="E7" s="32">
        <f t="shared" ref="E7:G10" si="5">SUM(J7,O7)</f>
        <v>2912000</v>
      </c>
      <c r="F7" s="33">
        <f t="shared" si="5"/>
        <v>2914100</v>
      </c>
      <c r="G7" s="33">
        <f t="shared" si="5"/>
        <v>1902764</v>
      </c>
      <c r="H7" s="9">
        <f t="shared" si="0"/>
        <v>65.295082529769061</v>
      </c>
      <c r="I7" s="34">
        <f>SUM(N7,S7)</f>
        <v>1844383</v>
      </c>
      <c r="J7" s="262">
        <v>2912000</v>
      </c>
      <c r="K7" s="35">
        <v>2914100</v>
      </c>
      <c r="L7" s="35">
        <v>1902764</v>
      </c>
      <c r="M7" s="9">
        <f t="shared" si="2"/>
        <v>65.295082529769061</v>
      </c>
      <c r="N7" s="302">
        <v>1844383</v>
      </c>
      <c r="O7" s="263" t="s">
        <v>92</v>
      </c>
      <c r="P7" s="35"/>
      <c r="Q7" s="35"/>
      <c r="R7" s="9" t="e">
        <f t="shared" si="3"/>
        <v>#DIV/0!</v>
      </c>
      <c r="S7" s="302"/>
      <c r="T7" s="263">
        <v>40740</v>
      </c>
      <c r="U7" s="35">
        <v>43438</v>
      </c>
      <c r="V7" s="35">
        <v>23068</v>
      </c>
      <c r="W7" s="9">
        <f t="shared" si="4"/>
        <v>53.105575763156686</v>
      </c>
      <c r="X7" s="65">
        <v>20370</v>
      </c>
    </row>
    <row r="8" spans="1:24" s="6" customFormat="1" ht="9.9499999999999993" customHeight="1" x14ac:dyDescent="0.2">
      <c r="A8" s="132" t="s">
        <v>3</v>
      </c>
      <c r="B8" s="524" t="s">
        <v>46</v>
      </c>
      <c r="C8" s="525"/>
      <c r="D8" s="133" t="s">
        <v>25</v>
      </c>
      <c r="E8" s="38">
        <f t="shared" si="5"/>
        <v>200</v>
      </c>
      <c r="F8" s="39">
        <f t="shared" si="5"/>
        <v>0</v>
      </c>
      <c r="G8" s="39">
        <f t="shared" si="5"/>
        <v>0</v>
      </c>
      <c r="H8" s="10" t="e">
        <f t="shared" si="0"/>
        <v>#DIV/0!</v>
      </c>
      <c r="I8" s="229">
        <f>SUM(N8,S8)</f>
        <v>0</v>
      </c>
      <c r="J8" s="243">
        <v>200</v>
      </c>
      <c r="K8" s="218">
        <v>0</v>
      </c>
      <c r="L8" s="218">
        <v>0</v>
      </c>
      <c r="M8" s="219" t="e">
        <f t="shared" si="2"/>
        <v>#DIV/0!</v>
      </c>
      <c r="N8" s="229"/>
      <c r="O8" s="217"/>
      <c r="P8" s="218"/>
      <c r="Q8" s="218"/>
      <c r="R8" s="219" t="e">
        <f t="shared" si="3"/>
        <v>#DIV/0!</v>
      </c>
      <c r="S8" s="229"/>
      <c r="T8" s="217"/>
      <c r="U8" s="218"/>
      <c r="V8" s="218"/>
      <c r="W8" s="219" t="e">
        <f t="shared" si="4"/>
        <v>#DIV/0!</v>
      </c>
      <c r="X8" s="220"/>
    </row>
    <row r="9" spans="1:24" s="6" customFormat="1" ht="9.9499999999999993" customHeight="1" x14ac:dyDescent="0.2">
      <c r="A9" s="232" t="s">
        <v>4</v>
      </c>
      <c r="B9" s="233" t="s">
        <v>60</v>
      </c>
      <c r="C9" s="234"/>
      <c r="D9" s="235" t="s">
        <v>25</v>
      </c>
      <c r="E9" s="42">
        <f t="shared" si="5"/>
        <v>9457140</v>
      </c>
      <c r="F9" s="43">
        <f t="shared" si="5"/>
        <v>9860858</v>
      </c>
      <c r="G9" s="43">
        <f t="shared" si="5"/>
        <v>4815273</v>
      </c>
      <c r="H9" s="26">
        <f t="shared" si="0"/>
        <v>48.832190870206219</v>
      </c>
      <c r="I9" s="230">
        <f>SUM(N9,S9)</f>
        <v>4371550</v>
      </c>
      <c r="J9" s="244">
        <v>2603740</v>
      </c>
      <c r="K9" s="264">
        <v>2912741</v>
      </c>
      <c r="L9" s="264">
        <v>1526598</v>
      </c>
      <c r="M9" s="265">
        <f t="shared" si="2"/>
        <v>52.41104512896959</v>
      </c>
      <c r="N9" s="230">
        <v>1246465</v>
      </c>
      <c r="O9" s="221">
        <v>6853400</v>
      </c>
      <c r="P9" s="264">
        <v>6948117</v>
      </c>
      <c r="Q9" s="264">
        <v>3288675</v>
      </c>
      <c r="R9" s="265">
        <f t="shared" si="3"/>
        <v>47.331888625364257</v>
      </c>
      <c r="S9" s="230">
        <v>3125085</v>
      </c>
      <c r="T9" s="221"/>
      <c r="U9" s="264"/>
      <c r="V9" s="264"/>
      <c r="W9" s="265" t="e">
        <f t="shared" si="4"/>
        <v>#DIV/0!</v>
      </c>
      <c r="X9" s="222"/>
    </row>
    <row r="10" spans="1:24" s="6" customFormat="1" ht="9.9499999999999993" customHeight="1" x14ac:dyDescent="0.2">
      <c r="A10" s="134" t="s">
        <v>5</v>
      </c>
      <c r="B10" s="526" t="s">
        <v>7</v>
      </c>
      <c r="C10" s="527"/>
      <c r="D10" s="20" t="s">
        <v>25</v>
      </c>
      <c r="E10" s="46">
        <f t="shared" si="5"/>
        <v>0</v>
      </c>
      <c r="F10" s="46">
        <f t="shared" si="5"/>
        <v>0</v>
      </c>
      <c r="G10" s="46">
        <f t="shared" si="5"/>
        <v>0</v>
      </c>
      <c r="H10" s="24" t="e">
        <f t="shared" si="0"/>
        <v>#DIV/0!</v>
      </c>
      <c r="I10" s="47">
        <f>SUM(N10,S10)</f>
        <v>0</v>
      </c>
      <c r="J10" s="31"/>
      <c r="K10" s="46"/>
      <c r="L10" s="46"/>
      <c r="M10" s="24" t="e">
        <f t="shared" si="2"/>
        <v>#DIV/0!</v>
      </c>
      <c r="N10" s="47"/>
      <c r="O10" s="46"/>
      <c r="P10" s="46"/>
      <c r="Q10" s="46"/>
      <c r="R10" s="24" t="e">
        <f t="shared" si="3"/>
        <v>#DIV/0!</v>
      </c>
      <c r="S10" s="47"/>
      <c r="T10" s="46"/>
      <c r="U10" s="46"/>
      <c r="V10" s="46"/>
      <c r="W10" s="24" t="e">
        <f t="shared" si="4"/>
        <v>#DIV/0!</v>
      </c>
      <c r="X10" s="46"/>
    </row>
    <row r="11" spans="1:24" s="6" customFormat="1" ht="9.9499999999999993" customHeight="1" x14ac:dyDescent="0.2">
      <c r="A11" s="134" t="s">
        <v>6</v>
      </c>
      <c r="B11" s="526" t="s">
        <v>9</v>
      </c>
      <c r="C11" s="527"/>
      <c r="D11" s="20" t="s">
        <v>25</v>
      </c>
      <c r="E11" s="29">
        <f>SUM(E12:E31)</f>
        <v>12369340</v>
      </c>
      <c r="F11" s="29">
        <f>SUM(F12:F31)</f>
        <v>12774958</v>
      </c>
      <c r="G11" s="29">
        <f>SUM(G12:G31)</f>
        <v>6180738</v>
      </c>
      <c r="H11" s="24">
        <f t="shared" si="0"/>
        <v>48.381669826233484</v>
      </c>
      <c r="I11" s="30">
        <f>SUM(I12:I31)</f>
        <v>5843148</v>
      </c>
      <c r="J11" s="29">
        <f>SUM(J12:J31)</f>
        <v>5515940</v>
      </c>
      <c r="K11" s="29">
        <f>SUM(K12:K31)</f>
        <v>5826841</v>
      </c>
      <c r="L11" s="29">
        <f>SUM(L12:L32)</f>
        <v>2892063</v>
      </c>
      <c r="M11" s="24">
        <f t="shared" si="2"/>
        <v>49.633463483901487</v>
      </c>
      <c r="N11" s="30">
        <f>SUM(N12:N31)</f>
        <v>2718063</v>
      </c>
      <c r="O11" s="29">
        <f>SUM(O12:O31)</f>
        <v>6853400</v>
      </c>
      <c r="P11" s="29">
        <f>SUM(P12:P31)</f>
        <v>6948117</v>
      </c>
      <c r="Q11" s="29">
        <f>SUM(Q12:Q31)</f>
        <v>3288675</v>
      </c>
      <c r="R11" s="24">
        <f t="shared" si="3"/>
        <v>47.331888625364257</v>
      </c>
      <c r="S11" s="30">
        <f>SUM(S12:S31)</f>
        <v>3125085</v>
      </c>
      <c r="T11" s="29">
        <f>SUM(T12:T31)</f>
        <v>5000</v>
      </c>
      <c r="U11" s="29">
        <f>SUM(U12:U31)</f>
        <v>10170</v>
      </c>
      <c r="V11" s="29">
        <f>SUM(V12:V31)</f>
        <v>2350</v>
      </c>
      <c r="W11" s="24">
        <f t="shared" si="4"/>
        <v>23.107177974434613</v>
      </c>
      <c r="X11" s="29">
        <f>SUM(X12:X31)</f>
        <v>34727</v>
      </c>
    </row>
    <row r="12" spans="1:24" s="6" customFormat="1" ht="9.9499999999999993" customHeight="1" x14ac:dyDescent="0.2">
      <c r="A12" s="130" t="s">
        <v>8</v>
      </c>
      <c r="B12" s="528" t="s">
        <v>28</v>
      </c>
      <c r="C12" s="528"/>
      <c r="D12" s="131" t="s">
        <v>25</v>
      </c>
      <c r="E12" s="32">
        <f t="shared" ref="E12:I29" si="6">SUM(J12,O12)</f>
        <v>3187712</v>
      </c>
      <c r="F12" s="33">
        <f t="shared" si="6"/>
        <v>3187712</v>
      </c>
      <c r="G12" s="33">
        <f t="shared" si="6"/>
        <v>1833985</v>
      </c>
      <c r="H12" s="9">
        <f t="shared" si="0"/>
        <v>57.532957807982655</v>
      </c>
      <c r="I12" s="34">
        <f t="shared" si="6"/>
        <v>1727630</v>
      </c>
      <c r="J12" s="266">
        <v>3167594</v>
      </c>
      <c r="K12" s="48">
        <v>3167594</v>
      </c>
      <c r="L12" s="48">
        <v>1833985</v>
      </c>
      <c r="M12" s="9">
        <f t="shared" si="2"/>
        <v>57.898360711631604</v>
      </c>
      <c r="N12" s="303">
        <v>1727630</v>
      </c>
      <c r="O12" s="267">
        <v>20118</v>
      </c>
      <c r="P12" s="48">
        <v>20118</v>
      </c>
      <c r="Q12" s="48">
        <v>0</v>
      </c>
      <c r="R12" s="9">
        <f t="shared" si="3"/>
        <v>0</v>
      </c>
      <c r="S12" s="304"/>
      <c r="T12" s="267"/>
      <c r="U12" s="48"/>
      <c r="V12" s="48"/>
      <c r="W12" s="9" t="e">
        <f t="shared" si="4"/>
        <v>#DIV/0!</v>
      </c>
      <c r="X12" s="52"/>
    </row>
    <row r="13" spans="1:24" s="6" customFormat="1" ht="9.9499999999999993" customHeight="1" x14ac:dyDescent="0.2">
      <c r="A13" s="135" t="s">
        <v>10</v>
      </c>
      <c r="B13" s="508" t="s">
        <v>29</v>
      </c>
      <c r="C13" s="508"/>
      <c r="D13" s="133" t="s">
        <v>25</v>
      </c>
      <c r="E13" s="38">
        <f t="shared" si="6"/>
        <v>910000</v>
      </c>
      <c r="F13" s="39">
        <f t="shared" si="6"/>
        <v>910000</v>
      </c>
      <c r="G13" s="39">
        <f t="shared" si="6"/>
        <v>420064</v>
      </c>
      <c r="H13" s="10">
        <f t="shared" si="0"/>
        <v>46.160879120879123</v>
      </c>
      <c r="I13" s="229">
        <f t="shared" si="6"/>
        <v>467107</v>
      </c>
      <c r="J13" s="240">
        <v>910000</v>
      </c>
      <c r="K13" s="218">
        <v>910000</v>
      </c>
      <c r="L13" s="218">
        <v>420064</v>
      </c>
      <c r="M13" s="219">
        <f t="shared" si="2"/>
        <v>46.160879120879123</v>
      </c>
      <c r="N13" s="229">
        <v>467107</v>
      </c>
      <c r="O13" s="217"/>
      <c r="P13" s="218"/>
      <c r="Q13" s="218"/>
      <c r="R13" s="219" t="e">
        <f t="shared" si="3"/>
        <v>#DIV/0!</v>
      </c>
      <c r="S13" s="229"/>
      <c r="T13" s="217"/>
      <c r="U13" s="218"/>
      <c r="V13" s="218"/>
      <c r="W13" s="219" t="e">
        <f t="shared" si="4"/>
        <v>#DIV/0!</v>
      </c>
      <c r="X13" s="220"/>
    </row>
    <row r="14" spans="1:24" s="6" customFormat="1" ht="9.9499999999999993" customHeight="1" x14ac:dyDescent="0.2">
      <c r="A14" s="135" t="s">
        <v>11</v>
      </c>
      <c r="B14" s="236" t="s">
        <v>61</v>
      </c>
      <c r="C14" s="237"/>
      <c r="D14" s="133" t="s">
        <v>25</v>
      </c>
      <c r="E14" s="38">
        <f t="shared" si="6"/>
        <v>0</v>
      </c>
      <c r="F14" s="39">
        <f t="shared" si="6"/>
        <v>0</v>
      </c>
      <c r="G14" s="39">
        <f t="shared" si="6"/>
        <v>0</v>
      </c>
      <c r="H14" s="10" t="e">
        <f t="shared" si="0"/>
        <v>#DIV/0!</v>
      </c>
      <c r="I14" s="229">
        <f t="shared" si="6"/>
        <v>0</v>
      </c>
      <c r="J14" s="240"/>
      <c r="K14" s="218"/>
      <c r="L14" s="218"/>
      <c r="M14" s="219" t="e">
        <f t="shared" si="2"/>
        <v>#DIV/0!</v>
      </c>
      <c r="N14" s="229"/>
      <c r="O14" s="217"/>
      <c r="P14" s="218"/>
      <c r="Q14" s="218"/>
      <c r="R14" s="219" t="e">
        <f t="shared" si="3"/>
        <v>#DIV/0!</v>
      </c>
      <c r="S14" s="229"/>
      <c r="T14" s="217"/>
      <c r="U14" s="218"/>
      <c r="V14" s="218"/>
      <c r="W14" s="219" t="e">
        <f t="shared" si="4"/>
        <v>#DIV/0!</v>
      </c>
      <c r="X14" s="220"/>
    </row>
    <row r="15" spans="1:24" s="6" customFormat="1" ht="9.9499999999999993" customHeight="1" x14ac:dyDescent="0.2">
      <c r="A15" s="135" t="s">
        <v>12</v>
      </c>
      <c r="B15" s="511" t="s">
        <v>109</v>
      </c>
      <c r="C15" s="512"/>
      <c r="D15" s="133" t="s">
        <v>25</v>
      </c>
      <c r="E15" s="38">
        <f t="shared" si="6"/>
        <v>278000</v>
      </c>
      <c r="F15" s="39">
        <f t="shared" si="6"/>
        <v>278000</v>
      </c>
      <c r="G15" s="39">
        <f t="shared" si="6"/>
        <v>72943</v>
      </c>
      <c r="H15" s="10">
        <f t="shared" si="0"/>
        <v>26.238489208633091</v>
      </c>
      <c r="I15" s="229">
        <f t="shared" si="6"/>
        <v>90101</v>
      </c>
      <c r="J15" s="240">
        <v>278000</v>
      </c>
      <c r="K15" s="218">
        <v>278000</v>
      </c>
      <c r="L15" s="218">
        <v>72943</v>
      </c>
      <c r="M15" s="219">
        <f t="shared" si="2"/>
        <v>26.238489208633091</v>
      </c>
      <c r="N15" s="229">
        <v>90101</v>
      </c>
      <c r="O15" s="217" t="s">
        <v>92</v>
      </c>
      <c r="P15" s="218"/>
      <c r="Q15" s="218"/>
      <c r="R15" s="219" t="e">
        <f t="shared" si="3"/>
        <v>#DIV/0!</v>
      </c>
      <c r="S15" s="229"/>
      <c r="T15" s="217">
        <v>3000</v>
      </c>
      <c r="U15" s="218">
        <v>3000</v>
      </c>
      <c r="V15" s="218">
        <v>0</v>
      </c>
      <c r="W15" s="219">
        <f t="shared" si="4"/>
        <v>0</v>
      </c>
      <c r="X15" s="220">
        <v>34727</v>
      </c>
    </row>
    <row r="16" spans="1:24" s="6" customFormat="1" ht="9.9499999999999993" customHeight="1" x14ac:dyDescent="0.2">
      <c r="A16" s="135" t="s">
        <v>13</v>
      </c>
      <c r="B16" s="511" t="s">
        <v>30</v>
      </c>
      <c r="C16" s="512"/>
      <c r="D16" s="133" t="s">
        <v>25</v>
      </c>
      <c r="E16" s="38">
        <f t="shared" si="6"/>
        <v>5000</v>
      </c>
      <c r="F16" s="39">
        <f t="shared" si="6"/>
        <v>5000</v>
      </c>
      <c r="G16" s="39">
        <f t="shared" si="6"/>
        <v>161</v>
      </c>
      <c r="H16" s="10">
        <f t="shared" si="0"/>
        <v>3.2199999999999998</v>
      </c>
      <c r="I16" s="229">
        <f t="shared" si="6"/>
        <v>0</v>
      </c>
      <c r="J16" s="240">
        <v>5000</v>
      </c>
      <c r="K16" s="218">
        <v>5000</v>
      </c>
      <c r="L16" s="218">
        <v>161</v>
      </c>
      <c r="M16" s="219">
        <f t="shared" si="2"/>
        <v>3.2199999999999998</v>
      </c>
      <c r="N16" s="229">
        <v>0</v>
      </c>
      <c r="O16" s="217"/>
      <c r="P16" s="218"/>
      <c r="Q16" s="218"/>
      <c r="R16" s="219" t="e">
        <f t="shared" si="3"/>
        <v>#DIV/0!</v>
      </c>
      <c r="S16" s="229"/>
      <c r="T16" s="217"/>
      <c r="U16" s="218"/>
      <c r="V16" s="218"/>
      <c r="W16" s="219" t="e">
        <f t="shared" si="4"/>
        <v>#DIV/0!</v>
      </c>
      <c r="X16" s="220"/>
    </row>
    <row r="17" spans="1:24" s="6" customFormat="1" ht="9.9499999999999993" customHeight="1" x14ac:dyDescent="0.2">
      <c r="A17" s="135" t="s">
        <v>14</v>
      </c>
      <c r="B17" s="236" t="s">
        <v>47</v>
      </c>
      <c r="C17" s="237"/>
      <c r="D17" s="133" t="s">
        <v>25</v>
      </c>
      <c r="E17" s="38">
        <f t="shared" si="6"/>
        <v>0</v>
      </c>
      <c r="F17" s="39">
        <f t="shared" si="6"/>
        <v>0</v>
      </c>
      <c r="G17" s="39">
        <f t="shared" si="6"/>
        <v>0</v>
      </c>
      <c r="H17" s="10" t="e">
        <f t="shared" si="0"/>
        <v>#DIV/0!</v>
      </c>
      <c r="I17" s="229">
        <f t="shared" si="6"/>
        <v>0</v>
      </c>
      <c r="J17" s="240"/>
      <c r="K17" s="218"/>
      <c r="L17" s="218"/>
      <c r="M17" s="219" t="e">
        <f t="shared" si="2"/>
        <v>#DIV/0!</v>
      </c>
      <c r="N17" s="229"/>
      <c r="O17" s="217"/>
      <c r="P17" s="218"/>
      <c r="Q17" s="218"/>
      <c r="R17" s="219" t="e">
        <f t="shared" si="3"/>
        <v>#DIV/0!</v>
      </c>
      <c r="S17" s="229"/>
      <c r="T17" s="217"/>
      <c r="U17" s="218"/>
      <c r="V17" s="218"/>
      <c r="W17" s="219" t="e">
        <f t="shared" si="4"/>
        <v>#DIV/0!</v>
      </c>
      <c r="X17" s="220"/>
    </row>
    <row r="18" spans="1:24" s="6" customFormat="1" ht="9.9499999999999993" customHeight="1" x14ac:dyDescent="0.2">
      <c r="A18" s="135" t="s">
        <v>15</v>
      </c>
      <c r="B18" s="511" t="s">
        <v>31</v>
      </c>
      <c r="C18" s="512"/>
      <c r="D18" s="133" t="s">
        <v>25</v>
      </c>
      <c r="E18" s="38">
        <f t="shared" si="6"/>
        <v>295600</v>
      </c>
      <c r="F18" s="39">
        <f t="shared" si="6"/>
        <v>297500</v>
      </c>
      <c r="G18" s="39">
        <f t="shared" si="6"/>
        <v>130305</v>
      </c>
      <c r="H18" s="10">
        <f t="shared" si="0"/>
        <v>43.8</v>
      </c>
      <c r="I18" s="229">
        <f t="shared" si="6"/>
        <v>111095</v>
      </c>
      <c r="J18" s="240">
        <v>295600</v>
      </c>
      <c r="K18" s="218">
        <v>297500</v>
      </c>
      <c r="L18" s="218">
        <v>130305</v>
      </c>
      <c r="M18" s="219">
        <f t="shared" si="2"/>
        <v>43.8</v>
      </c>
      <c r="N18" s="229">
        <v>111095</v>
      </c>
      <c r="O18" s="217" t="s">
        <v>92</v>
      </c>
      <c r="P18" s="218"/>
      <c r="Q18" s="218"/>
      <c r="R18" s="219" t="e">
        <f t="shared" si="3"/>
        <v>#DIV/0!</v>
      </c>
      <c r="S18" s="229"/>
      <c r="T18" s="217">
        <v>2000</v>
      </c>
      <c r="U18" s="218">
        <v>2000</v>
      </c>
      <c r="V18" s="218">
        <v>0</v>
      </c>
      <c r="W18" s="219">
        <f t="shared" si="4"/>
        <v>0</v>
      </c>
      <c r="X18" s="220"/>
    </row>
    <row r="19" spans="1:24" s="11" customFormat="1" ht="9.9499999999999993" customHeight="1" x14ac:dyDescent="0.2">
      <c r="A19" s="135" t="s">
        <v>16</v>
      </c>
      <c r="B19" s="508" t="s">
        <v>32</v>
      </c>
      <c r="C19" s="508"/>
      <c r="D19" s="133" t="s">
        <v>25</v>
      </c>
      <c r="E19" s="38">
        <f t="shared" si="6"/>
        <v>5223048</v>
      </c>
      <c r="F19" s="39">
        <f t="shared" si="6"/>
        <v>5294817</v>
      </c>
      <c r="G19" s="39">
        <f t="shared" si="6"/>
        <v>2515038</v>
      </c>
      <c r="H19" s="10">
        <f t="shared" si="0"/>
        <v>47.499998583520451</v>
      </c>
      <c r="I19" s="229">
        <f t="shared" si="6"/>
        <v>2406105</v>
      </c>
      <c r="J19" s="241">
        <v>225048</v>
      </c>
      <c r="K19" s="218">
        <v>225048</v>
      </c>
      <c r="L19" s="218">
        <v>86871</v>
      </c>
      <c r="M19" s="219">
        <f t="shared" si="2"/>
        <v>38.601098432334439</v>
      </c>
      <c r="N19" s="229">
        <v>105737</v>
      </c>
      <c r="O19" s="217">
        <v>4998000</v>
      </c>
      <c r="P19" s="218">
        <v>5069769</v>
      </c>
      <c r="Q19" s="218">
        <v>2428167</v>
      </c>
      <c r="R19" s="219">
        <f t="shared" si="3"/>
        <v>47.89502243593347</v>
      </c>
      <c r="S19" s="229">
        <v>2300368</v>
      </c>
      <c r="T19" s="268"/>
      <c r="U19" s="269"/>
      <c r="V19" s="269"/>
      <c r="W19" s="219" t="e">
        <f t="shared" si="4"/>
        <v>#DIV/0!</v>
      </c>
      <c r="X19" s="270"/>
    </row>
    <row r="20" spans="1:24" s="6" customFormat="1" ht="9.9499999999999993" customHeight="1" x14ac:dyDescent="0.2">
      <c r="A20" s="135" t="s">
        <v>17</v>
      </c>
      <c r="B20" s="508" t="s">
        <v>48</v>
      </c>
      <c r="C20" s="508"/>
      <c r="D20" s="133" t="s">
        <v>25</v>
      </c>
      <c r="E20" s="38">
        <f t="shared" si="6"/>
        <v>1791924</v>
      </c>
      <c r="F20" s="39">
        <f t="shared" si="6"/>
        <v>1814872</v>
      </c>
      <c r="G20" s="39">
        <f t="shared" si="6"/>
        <v>855167</v>
      </c>
      <c r="H20" s="10">
        <f t="shared" si="0"/>
        <v>47.119962179150924</v>
      </c>
      <c r="I20" s="229">
        <f t="shared" si="6"/>
        <v>825687</v>
      </c>
      <c r="J20" s="240">
        <v>71612</v>
      </c>
      <c r="K20" s="218">
        <v>71612</v>
      </c>
      <c r="L20" s="218">
        <v>31355</v>
      </c>
      <c r="M20" s="219">
        <f t="shared" si="2"/>
        <v>43.784561246718425</v>
      </c>
      <c r="N20" s="229">
        <v>37389</v>
      </c>
      <c r="O20" s="217">
        <v>1720312</v>
      </c>
      <c r="P20" s="218">
        <v>1743260</v>
      </c>
      <c r="Q20" s="218">
        <v>823812</v>
      </c>
      <c r="R20" s="219">
        <f t="shared" si="3"/>
        <v>47.256978305014741</v>
      </c>
      <c r="S20" s="229">
        <v>788298</v>
      </c>
      <c r="T20" s="217"/>
      <c r="U20" s="218"/>
      <c r="V20" s="218"/>
      <c r="W20" s="219" t="e">
        <f t="shared" si="4"/>
        <v>#DIV/0!</v>
      </c>
      <c r="X20" s="220"/>
    </row>
    <row r="21" spans="1:24" s="6" customFormat="1" ht="9.9499999999999993" customHeight="1" x14ac:dyDescent="0.2">
      <c r="A21" s="135" t="s">
        <v>18</v>
      </c>
      <c r="B21" s="508" t="s">
        <v>49</v>
      </c>
      <c r="C21" s="508"/>
      <c r="D21" s="133" t="s">
        <v>25</v>
      </c>
      <c r="E21" s="38">
        <f t="shared" si="6"/>
        <v>130250</v>
      </c>
      <c r="F21" s="39">
        <f t="shared" si="6"/>
        <v>130250</v>
      </c>
      <c r="G21" s="39">
        <f t="shared" si="6"/>
        <v>39784</v>
      </c>
      <c r="H21" s="10">
        <f t="shared" si="0"/>
        <v>30.544337811900192</v>
      </c>
      <c r="I21" s="229">
        <f t="shared" si="6"/>
        <v>38164</v>
      </c>
      <c r="J21" s="240">
        <v>15280</v>
      </c>
      <c r="K21" s="218">
        <v>15280</v>
      </c>
      <c r="L21" s="218">
        <v>3088</v>
      </c>
      <c r="M21" s="219">
        <f t="shared" si="2"/>
        <v>20.209424083769633</v>
      </c>
      <c r="N21" s="229">
        <v>1745</v>
      </c>
      <c r="O21" s="217">
        <v>114970</v>
      </c>
      <c r="P21" s="218">
        <v>114970</v>
      </c>
      <c r="Q21" s="218">
        <v>36696</v>
      </c>
      <c r="R21" s="219">
        <f t="shared" si="3"/>
        <v>31.917891623901891</v>
      </c>
      <c r="S21" s="229">
        <v>36419</v>
      </c>
      <c r="T21" s="217"/>
      <c r="U21" s="218"/>
      <c r="V21" s="218"/>
      <c r="W21" s="219" t="e">
        <f t="shared" si="4"/>
        <v>#DIV/0!</v>
      </c>
      <c r="X21" s="220"/>
    </row>
    <row r="22" spans="1:24" s="6" customFormat="1" ht="9.9499999999999993" customHeight="1" x14ac:dyDescent="0.2">
      <c r="A22" s="135" t="s">
        <v>19</v>
      </c>
      <c r="B22" s="508" t="s">
        <v>62</v>
      </c>
      <c r="C22" s="508"/>
      <c r="D22" s="133" t="s">
        <v>25</v>
      </c>
      <c r="E22" s="38">
        <f t="shared" si="6"/>
        <v>0</v>
      </c>
      <c r="F22" s="39">
        <f t="shared" si="6"/>
        <v>0</v>
      </c>
      <c r="G22" s="39">
        <f t="shared" si="6"/>
        <v>0</v>
      </c>
      <c r="H22" s="10" t="e">
        <f t="shared" si="0"/>
        <v>#DIV/0!</v>
      </c>
      <c r="I22" s="229">
        <f t="shared" si="6"/>
        <v>0</v>
      </c>
      <c r="J22" s="240"/>
      <c r="K22" s="218"/>
      <c r="L22" s="218"/>
      <c r="M22" s="219" t="e">
        <f t="shared" si="2"/>
        <v>#DIV/0!</v>
      </c>
      <c r="N22" s="229"/>
      <c r="O22" s="217"/>
      <c r="P22" s="218"/>
      <c r="Q22" s="218"/>
      <c r="R22" s="219" t="e">
        <f t="shared" si="3"/>
        <v>#DIV/0!</v>
      </c>
      <c r="S22" s="229"/>
      <c r="T22" s="217"/>
      <c r="U22" s="218"/>
      <c r="V22" s="218"/>
      <c r="W22" s="219" t="e">
        <f t="shared" si="4"/>
        <v>#DIV/0!</v>
      </c>
      <c r="X22" s="220"/>
    </row>
    <row r="23" spans="1:24" s="6" customFormat="1" ht="9.9499999999999993" customHeight="1" x14ac:dyDescent="0.2">
      <c r="A23" s="135" t="s">
        <v>20</v>
      </c>
      <c r="B23" s="223" t="s">
        <v>101</v>
      </c>
      <c r="C23" s="223"/>
      <c r="D23" s="133" t="s">
        <v>25</v>
      </c>
      <c r="E23" s="38">
        <f t="shared" si="6"/>
        <v>0</v>
      </c>
      <c r="F23" s="39">
        <f t="shared" si="6"/>
        <v>0</v>
      </c>
      <c r="G23" s="39">
        <f t="shared" si="6"/>
        <v>0</v>
      </c>
      <c r="H23" s="10" t="e">
        <f t="shared" si="0"/>
        <v>#DIV/0!</v>
      </c>
      <c r="I23" s="229">
        <f t="shared" si="6"/>
        <v>779</v>
      </c>
      <c r="J23" s="240"/>
      <c r="K23" s="218"/>
      <c r="L23" s="218"/>
      <c r="M23" s="219" t="e">
        <f t="shared" si="2"/>
        <v>#DIV/0!</v>
      </c>
      <c r="N23" s="229">
        <v>779</v>
      </c>
      <c r="O23" s="217"/>
      <c r="P23" s="218"/>
      <c r="Q23" s="218"/>
      <c r="R23" s="219" t="e">
        <f t="shared" si="3"/>
        <v>#DIV/0!</v>
      </c>
      <c r="S23" s="229"/>
      <c r="T23" s="217"/>
      <c r="U23" s="218"/>
      <c r="V23" s="218"/>
      <c r="W23" s="219" t="e">
        <f t="shared" si="4"/>
        <v>#DIV/0!</v>
      </c>
      <c r="X23" s="220"/>
    </row>
    <row r="24" spans="1:24" s="6" customFormat="1" ht="9.9499999999999993" customHeight="1" x14ac:dyDescent="0.2">
      <c r="A24" s="135" t="s">
        <v>21</v>
      </c>
      <c r="B24" s="223" t="s">
        <v>110</v>
      </c>
      <c r="C24" s="223"/>
      <c r="D24" s="133" t="s">
        <v>25</v>
      </c>
      <c r="E24" s="38">
        <f t="shared" si="6"/>
        <v>0</v>
      </c>
      <c r="F24" s="39">
        <f t="shared" si="6"/>
        <v>0</v>
      </c>
      <c r="G24" s="39">
        <f t="shared" si="6"/>
        <v>0</v>
      </c>
      <c r="H24" s="10" t="e">
        <f t="shared" si="0"/>
        <v>#DIV/0!</v>
      </c>
      <c r="I24" s="229">
        <f t="shared" si="6"/>
        <v>0</v>
      </c>
      <c r="J24" s="240"/>
      <c r="K24" s="218"/>
      <c r="L24" s="218"/>
      <c r="M24" s="219" t="e">
        <f t="shared" si="2"/>
        <v>#DIV/0!</v>
      </c>
      <c r="N24" s="229"/>
      <c r="O24" s="217"/>
      <c r="P24" s="218"/>
      <c r="Q24" s="218"/>
      <c r="R24" s="219" t="e">
        <f t="shared" si="3"/>
        <v>#DIV/0!</v>
      </c>
      <c r="S24" s="229"/>
      <c r="T24" s="217"/>
      <c r="U24" s="218"/>
      <c r="V24" s="218"/>
      <c r="W24" s="219" t="e">
        <f t="shared" si="4"/>
        <v>#DIV/0!</v>
      </c>
      <c r="X24" s="220"/>
    </row>
    <row r="25" spans="1:24" s="13" customFormat="1" ht="9.9499999999999993" customHeight="1" x14ac:dyDescent="0.2">
      <c r="A25" s="135" t="s">
        <v>22</v>
      </c>
      <c r="B25" s="223" t="s">
        <v>63</v>
      </c>
      <c r="C25" s="223"/>
      <c r="D25" s="133" t="s">
        <v>25</v>
      </c>
      <c r="E25" s="38">
        <f t="shared" si="6"/>
        <v>0</v>
      </c>
      <c r="F25" s="39">
        <f t="shared" si="6"/>
        <v>0</v>
      </c>
      <c r="G25" s="39">
        <f t="shared" si="6"/>
        <v>0</v>
      </c>
      <c r="H25" s="14" t="e">
        <f>G25/F25*100</f>
        <v>#DIV/0!</v>
      </c>
      <c r="I25" s="229">
        <f>SUM(N25,S25)</f>
        <v>369</v>
      </c>
      <c r="J25" s="240"/>
      <c r="K25" s="271"/>
      <c r="L25" s="271"/>
      <c r="M25" s="219" t="e">
        <f t="shared" si="2"/>
        <v>#DIV/0!</v>
      </c>
      <c r="N25" s="272">
        <v>369</v>
      </c>
      <c r="O25" s="273"/>
      <c r="P25" s="271"/>
      <c r="Q25" s="271"/>
      <c r="R25" s="219" t="e">
        <f t="shared" si="3"/>
        <v>#DIV/0!</v>
      </c>
      <c r="S25" s="274"/>
      <c r="T25" s="273"/>
      <c r="U25" s="271"/>
      <c r="V25" s="271"/>
      <c r="W25" s="219" t="e">
        <f t="shared" si="4"/>
        <v>#DIV/0!</v>
      </c>
      <c r="X25" s="275"/>
    </row>
    <row r="26" spans="1:24" s="6" customFormat="1" ht="9.9499999999999993" customHeight="1" x14ac:dyDescent="0.2">
      <c r="A26" s="135" t="s">
        <v>23</v>
      </c>
      <c r="B26" s="511" t="s">
        <v>64</v>
      </c>
      <c r="C26" s="512"/>
      <c r="D26" s="133" t="s">
        <v>25</v>
      </c>
      <c r="E26" s="38">
        <f t="shared" si="6"/>
        <v>365437</v>
      </c>
      <c r="F26" s="39">
        <f t="shared" si="6"/>
        <v>674438</v>
      </c>
      <c r="G26" s="39">
        <f t="shared" si="6"/>
        <v>288324</v>
      </c>
      <c r="H26" s="10">
        <f t="shared" si="0"/>
        <v>42.750260216654453</v>
      </c>
      <c r="I26" s="229">
        <f t="shared" si="6"/>
        <v>176111</v>
      </c>
      <c r="J26" s="240">
        <v>365437</v>
      </c>
      <c r="K26" s="276">
        <v>674438</v>
      </c>
      <c r="L26" s="276">
        <v>288324</v>
      </c>
      <c r="M26" s="219">
        <v>42.75</v>
      </c>
      <c r="N26" s="272">
        <v>176111</v>
      </c>
      <c r="O26" s="277"/>
      <c r="P26" s="276"/>
      <c r="Q26" s="276"/>
      <c r="R26" s="219" t="e">
        <f>Q26/P26*100</f>
        <v>#DIV/0!</v>
      </c>
      <c r="S26" s="272"/>
      <c r="T26" s="278"/>
      <c r="U26" s="300">
        <v>5170</v>
      </c>
      <c r="V26" s="300">
        <v>2350</v>
      </c>
      <c r="W26" s="219">
        <f>V26/U26*100</f>
        <v>45.454545454545453</v>
      </c>
      <c r="X26" s="280"/>
    </row>
    <row r="27" spans="1:24" s="13" customFormat="1" ht="9.9499999999999993" customHeight="1" x14ac:dyDescent="0.2">
      <c r="A27" s="135" t="s">
        <v>44</v>
      </c>
      <c r="B27" s="236" t="s">
        <v>65</v>
      </c>
      <c r="C27" s="237"/>
      <c r="D27" s="133" t="s">
        <v>25</v>
      </c>
      <c r="E27" s="38">
        <f t="shared" si="6"/>
        <v>0</v>
      </c>
      <c r="F27" s="39">
        <f t="shared" si="6"/>
        <v>0</v>
      </c>
      <c r="G27" s="39">
        <f t="shared" si="6"/>
        <v>0</v>
      </c>
      <c r="H27" s="14" t="e">
        <f t="shared" si="0"/>
        <v>#DIV/0!</v>
      </c>
      <c r="I27" s="229">
        <f t="shared" si="6"/>
        <v>0</v>
      </c>
      <c r="J27" s="240"/>
      <c r="K27" s="276"/>
      <c r="L27" s="276"/>
      <c r="M27" s="219" t="e">
        <f t="shared" si="2"/>
        <v>#DIV/0!</v>
      </c>
      <c r="N27" s="229"/>
      <c r="O27" s="277"/>
      <c r="P27" s="276"/>
      <c r="Q27" s="276"/>
      <c r="R27" s="219" t="e">
        <f t="shared" si="3"/>
        <v>#DIV/0!</v>
      </c>
      <c r="S27" s="272"/>
      <c r="T27" s="278"/>
      <c r="U27" s="279"/>
      <c r="V27" s="279"/>
      <c r="W27" s="219" t="e">
        <f t="shared" si="4"/>
        <v>#DIV/0!</v>
      </c>
      <c r="X27" s="280"/>
    </row>
    <row r="28" spans="1:24" s="13" customFormat="1" ht="9.9499999999999993" customHeight="1" x14ac:dyDescent="0.2">
      <c r="A28" s="135" t="s">
        <v>50</v>
      </c>
      <c r="B28" s="236" t="s">
        <v>91</v>
      </c>
      <c r="C28" s="237"/>
      <c r="D28" s="133" t="s">
        <v>25</v>
      </c>
      <c r="E28" s="38">
        <f>SUM(J28,O28)</f>
        <v>182000</v>
      </c>
      <c r="F28" s="39">
        <f>SUM(K28,P28)</f>
        <v>182000</v>
      </c>
      <c r="G28" s="39">
        <f>SUM(L28,Q28)</f>
        <v>24598</v>
      </c>
      <c r="H28" s="14">
        <f>G28/F28*100</f>
        <v>13.515384615384615</v>
      </c>
      <c r="I28" s="229">
        <f>SUM(N28,S28)</f>
        <v>0</v>
      </c>
      <c r="J28" s="240">
        <v>182000</v>
      </c>
      <c r="K28" s="276">
        <v>182000</v>
      </c>
      <c r="L28" s="276">
        <v>24598</v>
      </c>
      <c r="M28" s="219">
        <f>L28/K28*100</f>
        <v>13.515384615384615</v>
      </c>
      <c r="N28" s="229"/>
      <c r="O28" s="277"/>
      <c r="P28" s="276"/>
      <c r="Q28" s="276"/>
      <c r="R28" s="219" t="e">
        <f>Q28/P28*100</f>
        <v>#DIV/0!</v>
      </c>
      <c r="S28" s="272"/>
      <c r="T28" s="278"/>
      <c r="U28" s="279"/>
      <c r="V28" s="279"/>
      <c r="W28" s="219" t="e">
        <f>V28/U28*100</f>
        <v>#DIV/0!</v>
      </c>
      <c r="X28" s="280"/>
    </row>
    <row r="29" spans="1:24" s="15" customFormat="1" ht="9.9499999999999993" customHeight="1" x14ac:dyDescent="0.2">
      <c r="A29" s="135" t="s">
        <v>51</v>
      </c>
      <c r="B29" s="236" t="s">
        <v>66</v>
      </c>
      <c r="C29" s="237"/>
      <c r="D29" s="133" t="s">
        <v>25</v>
      </c>
      <c r="E29" s="38">
        <f t="shared" si="6"/>
        <v>369</v>
      </c>
      <c r="F29" s="39">
        <f t="shared" si="6"/>
        <v>369</v>
      </c>
      <c r="G29" s="39">
        <f t="shared" si="6"/>
        <v>369</v>
      </c>
      <c r="H29" s="14">
        <f t="shared" si="0"/>
        <v>100</v>
      </c>
      <c r="I29" s="229">
        <f t="shared" si="6"/>
        <v>0</v>
      </c>
      <c r="J29" s="240">
        <v>369</v>
      </c>
      <c r="K29" s="276">
        <v>369</v>
      </c>
      <c r="L29" s="276">
        <v>369</v>
      </c>
      <c r="M29" s="219">
        <f t="shared" si="2"/>
        <v>100</v>
      </c>
      <c r="N29" s="272"/>
      <c r="O29" s="277"/>
      <c r="P29" s="276"/>
      <c r="Q29" s="276"/>
      <c r="R29" s="219" t="e">
        <f t="shared" si="3"/>
        <v>#DIV/0!</v>
      </c>
      <c r="S29" s="272"/>
      <c r="T29" s="278"/>
      <c r="U29" s="279"/>
      <c r="V29" s="279"/>
      <c r="W29" s="219" t="e">
        <f t="shared" si="4"/>
        <v>#DIV/0!</v>
      </c>
      <c r="X29" s="280"/>
    </row>
    <row r="30" spans="1:24" s="6" customFormat="1" ht="9.75" x14ac:dyDescent="0.2">
      <c r="A30" s="135" t="s">
        <v>53</v>
      </c>
      <c r="B30" s="236" t="s">
        <v>52</v>
      </c>
      <c r="C30" s="237"/>
      <c r="D30" s="133" t="s">
        <v>25</v>
      </c>
      <c r="E30" s="38">
        <f t="shared" ref="E30:G31" si="7">SUM(J30,O30)</f>
        <v>0</v>
      </c>
      <c r="F30" s="39">
        <f t="shared" si="7"/>
        <v>0</v>
      </c>
      <c r="G30" s="39">
        <f t="shared" si="7"/>
        <v>0</v>
      </c>
      <c r="H30" s="14" t="e">
        <f t="shared" si="0"/>
        <v>#DIV/0!</v>
      </c>
      <c r="I30" s="229">
        <f>SUM(N30,S30)</f>
        <v>0</v>
      </c>
      <c r="J30" s="240"/>
      <c r="K30" s="276"/>
      <c r="L30" s="276"/>
      <c r="M30" s="219" t="e">
        <f t="shared" si="2"/>
        <v>#DIV/0!</v>
      </c>
      <c r="N30" s="272"/>
      <c r="O30" s="277"/>
      <c r="P30" s="276"/>
      <c r="Q30" s="276"/>
      <c r="R30" s="219" t="e">
        <f t="shared" si="3"/>
        <v>#DIV/0!</v>
      </c>
      <c r="S30" s="272"/>
      <c r="T30" s="278"/>
      <c r="U30" s="279"/>
      <c r="V30" s="279"/>
      <c r="W30" s="219" t="e">
        <f t="shared" si="4"/>
        <v>#DIV/0!</v>
      </c>
      <c r="X30" s="280"/>
    </row>
    <row r="31" spans="1:24" s="23" customFormat="1" ht="9.75" x14ac:dyDescent="0.2">
      <c r="A31" s="135" t="s">
        <v>54</v>
      </c>
      <c r="B31" s="236" t="s">
        <v>67</v>
      </c>
      <c r="C31" s="237"/>
      <c r="D31" s="133" t="s">
        <v>25</v>
      </c>
      <c r="E31" s="38">
        <f t="shared" si="7"/>
        <v>0</v>
      </c>
      <c r="F31" s="39">
        <f t="shared" si="7"/>
        <v>0</v>
      </c>
      <c r="G31" s="39">
        <f t="shared" si="7"/>
        <v>0</v>
      </c>
      <c r="H31" s="14" t="e">
        <f t="shared" si="0"/>
        <v>#DIV/0!</v>
      </c>
      <c r="I31" s="229">
        <f>SUM(N31,S31)</f>
        <v>0</v>
      </c>
      <c r="J31" s="240"/>
      <c r="K31" s="281"/>
      <c r="L31" s="281"/>
      <c r="M31" s="219" t="e">
        <f t="shared" si="2"/>
        <v>#DIV/0!</v>
      </c>
      <c r="N31" s="282"/>
      <c r="O31" s="283"/>
      <c r="P31" s="281"/>
      <c r="Q31" s="281"/>
      <c r="R31" s="219" t="e">
        <f t="shared" si="3"/>
        <v>#DIV/0!</v>
      </c>
      <c r="S31" s="282"/>
      <c r="T31" s="284"/>
      <c r="U31" s="285"/>
      <c r="V31" s="285"/>
      <c r="W31" s="219" t="e">
        <f t="shared" si="4"/>
        <v>#DIV/0!</v>
      </c>
      <c r="X31" s="286"/>
    </row>
    <row r="32" spans="1:24" s="23" customFormat="1" ht="9.75" x14ac:dyDescent="0.2">
      <c r="A32" s="238" t="s">
        <v>55</v>
      </c>
      <c r="B32" s="233" t="s">
        <v>68</v>
      </c>
      <c r="C32" s="239"/>
      <c r="D32" s="235" t="s">
        <v>25</v>
      </c>
      <c r="E32" s="42">
        <f>SUM(J32,O32)</f>
        <v>0</v>
      </c>
      <c r="F32" s="43">
        <f>SUM(K32,P32)</f>
        <v>0</v>
      </c>
      <c r="G32" s="43">
        <f>SUM(L32,Q32)</f>
        <v>0</v>
      </c>
      <c r="H32" s="16" t="e">
        <f t="shared" si="0"/>
        <v>#DIV/0!</v>
      </c>
      <c r="I32" s="230">
        <f>SUM(N32,S32)</f>
        <v>0</v>
      </c>
      <c r="J32" s="287"/>
      <c r="K32" s="288"/>
      <c r="L32" s="288"/>
      <c r="M32" s="265" t="e">
        <f t="shared" si="2"/>
        <v>#DIV/0!</v>
      </c>
      <c r="N32" s="289"/>
      <c r="O32" s="290"/>
      <c r="P32" s="288"/>
      <c r="Q32" s="288"/>
      <c r="R32" s="265" t="e">
        <f t="shared" si="3"/>
        <v>#DIV/0!</v>
      </c>
      <c r="S32" s="289"/>
      <c r="T32" s="290"/>
      <c r="U32" s="288"/>
      <c r="V32" s="288"/>
      <c r="W32" s="265" t="e">
        <f t="shared" si="4"/>
        <v>#DIV/0!</v>
      </c>
      <c r="X32" s="291"/>
    </row>
    <row r="33" spans="1:24" s="23" customFormat="1" ht="9.75" x14ac:dyDescent="0.2">
      <c r="A33" s="134" t="s">
        <v>56</v>
      </c>
      <c r="B33" s="21" t="s">
        <v>102</v>
      </c>
      <c r="C33" s="22"/>
      <c r="D33" s="20" t="s">
        <v>25</v>
      </c>
      <c r="E33" s="29">
        <f>E6-E11</f>
        <v>0</v>
      </c>
      <c r="F33" s="29">
        <f>F6-F11</f>
        <v>0</v>
      </c>
      <c r="G33" s="29">
        <f>G6-G11</f>
        <v>537299</v>
      </c>
      <c r="H33" s="25" t="e">
        <f t="shared" si="0"/>
        <v>#DIV/0!</v>
      </c>
      <c r="I33" s="30">
        <f>I6-I11</f>
        <v>372785</v>
      </c>
      <c r="J33" s="29">
        <f>J6-J11</f>
        <v>0</v>
      </c>
      <c r="K33" s="29">
        <f>K6-K11</f>
        <v>0</v>
      </c>
      <c r="L33" s="29">
        <f>L6-L11</f>
        <v>537299</v>
      </c>
      <c r="M33" s="19" t="e">
        <f t="shared" si="2"/>
        <v>#DIV/0!</v>
      </c>
      <c r="N33" s="29">
        <f>N6-N11</f>
        <v>372785</v>
      </c>
      <c r="O33" s="29">
        <f>O6-O11</f>
        <v>0</v>
      </c>
      <c r="P33" s="29">
        <f>P6-P11</f>
        <v>0</v>
      </c>
      <c r="Q33" s="29">
        <f>Q6-Q11</f>
        <v>0</v>
      </c>
      <c r="R33" s="19" t="e">
        <f t="shared" si="3"/>
        <v>#DIV/0!</v>
      </c>
      <c r="S33" s="29">
        <f>S6-S11</f>
        <v>0</v>
      </c>
      <c r="T33" s="29">
        <f>T6-T11</f>
        <v>35740</v>
      </c>
      <c r="U33" s="29">
        <f>U6-U11</f>
        <v>33268</v>
      </c>
      <c r="V33" s="29">
        <f>V6-V11</f>
        <v>20718</v>
      </c>
      <c r="W33" s="19">
        <f t="shared" si="4"/>
        <v>62.276061079716236</v>
      </c>
      <c r="X33" s="29">
        <f>X6-X11</f>
        <v>-14357</v>
      </c>
    </row>
    <row r="34" spans="1:24" ht="9" x14ac:dyDescent="0.2">
      <c r="A34" s="224" t="s">
        <v>57</v>
      </c>
      <c r="B34" s="509" t="s">
        <v>24</v>
      </c>
      <c r="C34" s="510"/>
      <c r="D34" s="136" t="s">
        <v>25</v>
      </c>
      <c r="E34" s="196">
        <v>17410</v>
      </c>
      <c r="F34" s="197">
        <v>17410</v>
      </c>
      <c r="G34" s="197">
        <v>18224</v>
      </c>
      <c r="H34" s="12">
        <f t="shared" si="0"/>
        <v>104.67547386559448</v>
      </c>
      <c r="I34" s="256">
        <v>16040</v>
      </c>
      <c r="J34" s="502"/>
      <c r="K34" s="503"/>
      <c r="L34" s="503"/>
      <c r="M34" s="503"/>
      <c r="N34" s="503"/>
      <c r="O34" s="503"/>
      <c r="P34" s="503"/>
      <c r="Q34" s="503"/>
      <c r="R34" s="503"/>
      <c r="S34" s="503"/>
      <c r="T34" s="503"/>
      <c r="U34" s="503"/>
      <c r="V34" s="503"/>
      <c r="W34" s="503"/>
      <c r="X34" s="504"/>
    </row>
    <row r="35" spans="1:24" ht="9" x14ac:dyDescent="0.2">
      <c r="A35" s="137" t="s">
        <v>58</v>
      </c>
      <c r="B35" s="498" t="s">
        <v>33</v>
      </c>
      <c r="C35" s="499"/>
      <c r="D35" s="137" t="s">
        <v>26</v>
      </c>
      <c r="E35" s="198">
        <v>23</v>
      </c>
      <c r="F35" s="199">
        <v>23</v>
      </c>
      <c r="G35" s="199">
        <v>23</v>
      </c>
      <c r="H35" s="261">
        <f t="shared" si="0"/>
        <v>100</v>
      </c>
      <c r="I35" s="301">
        <v>25</v>
      </c>
      <c r="J35" s="502"/>
      <c r="K35" s="503"/>
      <c r="L35" s="503"/>
      <c r="M35" s="503"/>
      <c r="N35" s="503"/>
      <c r="O35" s="503"/>
      <c r="P35" s="503"/>
      <c r="Q35" s="503"/>
      <c r="R35" s="503"/>
      <c r="S35" s="503"/>
      <c r="T35" s="503"/>
      <c r="U35" s="503"/>
      <c r="V35" s="503"/>
      <c r="W35" s="503"/>
      <c r="X35" s="504"/>
    </row>
    <row r="36" spans="1:24" ht="9" x14ac:dyDescent="0.2">
      <c r="A36" s="225" t="s">
        <v>59</v>
      </c>
      <c r="B36" s="500" t="s">
        <v>27</v>
      </c>
      <c r="C36" s="501"/>
      <c r="D36" s="226" t="s">
        <v>26</v>
      </c>
      <c r="E36" s="200">
        <v>35</v>
      </c>
      <c r="F36" s="201">
        <v>35</v>
      </c>
      <c r="G36" s="201">
        <v>38</v>
      </c>
      <c r="H36" s="259">
        <f t="shared" si="0"/>
        <v>108.57142857142857</v>
      </c>
      <c r="I36" s="260">
        <v>39</v>
      </c>
      <c r="J36" s="505"/>
      <c r="K36" s="506"/>
      <c r="L36" s="506"/>
      <c r="M36" s="506"/>
      <c r="N36" s="506"/>
      <c r="O36" s="506"/>
      <c r="P36" s="506"/>
      <c r="Q36" s="506"/>
      <c r="R36" s="506"/>
      <c r="S36" s="506"/>
      <c r="T36" s="506"/>
      <c r="U36" s="506"/>
      <c r="V36" s="506"/>
      <c r="W36" s="506"/>
      <c r="X36" s="507"/>
    </row>
    <row r="37" spans="1:24" customFormat="1" x14ac:dyDescent="0.15">
      <c r="A37" s="2"/>
    </row>
    <row r="38" spans="1:24" s="82" customFormat="1" x14ac:dyDescent="0.15">
      <c r="A38" s="83"/>
    </row>
    <row r="39" spans="1:24" s="82" customFormat="1" x14ac:dyDescent="0.15">
      <c r="A39" s="83"/>
      <c r="P39" s="84"/>
    </row>
    <row r="40" spans="1:24" s="82" customFormat="1" x14ac:dyDescent="0.15">
      <c r="A40" s="83"/>
    </row>
    <row r="41" spans="1:24" s="82" customFormat="1" x14ac:dyDescent="0.15">
      <c r="A41" s="83"/>
    </row>
    <row r="42" spans="1:24" s="82" customFormat="1" x14ac:dyDescent="0.15">
      <c r="A42" s="83"/>
    </row>
    <row r="43" spans="1:24" s="82" customFormat="1" x14ac:dyDescent="0.15">
      <c r="A43" s="83"/>
    </row>
    <row r="44" spans="1:24" s="82" customFormat="1" x14ac:dyDescent="0.15">
      <c r="A44" s="83"/>
    </row>
    <row r="45" spans="1:24" s="82" customFormat="1" x14ac:dyDescent="0.15">
      <c r="A45" s="83"/>
    </row>
    <row r="46" spans="1:24" s="82" customFormat="1" x14ac:dyDescent="0.15">
      <c r="A46" s="83"/>
    </row>
    <row r="47" spans="1:24" s="82" customFormat="1" x14ac:dyDescent="0.15">
      <c r="A47" s="83"/>
    </row>
    <row r="48" spans="1:24" s="82" customFormat="1" x14ac:dyDescent="0.15">
      <c r="A48" s="83"/>
    </row>
    <row r="49" spans="1:1" s="82" customFormat="1" x14ac:dyDescent="0.15">
      <c r="A49" s="83"/>
    </row>
    <row r="50" spans="1:1" s="82" customFormat="1" x14ac:dyDescent="0.15">
      <c r="A50" s="83"/>
    </row>
    <row r="51" spans="1:1" s="82" customFormat="1" x14ac:dyDescent="0.15">
      <c r="A51" s="83"/>
    </row>
    <row r="52" spans="1:1" s="82" customFormat="1" x14ac:dyDescent="0.15">
      <c r="A52" s="83"/>
    </row>
    <row r="53" spans="1:1" s="82" customFormat="1" x14ac:dyDescent="0.15">
      <c r="A53" s="83"/>
    </row>
    <row r="54" spans="1:1" s="82" customFormat="1" x14ac:dyDescent="0.15">
      <c r="A54" s="83"/>
    </row>
    <row r="55" spans="1:1" s="82" customFormat="1" x14ac:dyDescent="0.15">
      <c r="A55" s="83"/>
    </row>
    <row r="56" spans="1:1" s="82" customFormat="1" x14ac:dyDescent="0.15">
      <c r="A56" s="83"/>
    </row>
    <row r="57" spans="1:1" s="82" customFormat="1" x14ac:dyDescent="0.15">
      <c r="A57" s="83"/>
    </row>
    <row r="58" spans="1:1" s="82" customFormat="1" x14ac:dyDescent="0.15">
      <c r="A58" s="83"/>
    </row>
    <row r="59" spans="1:1" s="82" customFormat="1" x14ac:dyDescent="0.15">
      <c r="A59" s="83"/>
    </row>
    <row r="60" spans="1:1" s="82" customFormat="1" x14ac:dyDescent="0.15">
      <c r="A60" s="83"/>
    </row>
    <row r="61" spans="1:1" s="82" customFormat="1" x14ac:dyDescent="0.15">
      <c r="A61" s="83"/>
    </row>
    <row r="62" spans="1:1" s="82" customFormat="1" x14ac:dyDescent="0.15">
      <c r="A62" s="83"/>
    </row>
    <row r="63" spans="1:1" s="82" customFormat="1" x14ac:dyDescent="0.15">
      <c r="A63" s="83"/>
    </row>
    <row r="64" spans="1:1" s="82" customFormat="1" x14ac:dyDescent="0.15">
      <c r="A64" s="83"/>
    </row>
    <row r="65" spans="1:1" s="82" customFormat="1" x14ac:dyDescent="0.15">
      <c r="A65" s="83"/>
    </row>
    <row r="66" spans="1:1" s="82" customFormat="1" x14ac:dyDescent="0.15">
      <c r="A66" s="83"/>
    </row>
    <row r="67" spans="1:1" s="82" customFormat="1" x14ac:dyDescent="0.15">
      <c r="A67" s="83"/>
    </row>
    <row r="68" spans="1:1" s="82" customFormat="1" x14ac:dyDescent="0.15">
      <c r="A68" s="83"/>
    </row>
  </sheetData>
  <mergeCells count="3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J34:X36"/>
    <mergeCell ref="B35:C35"/>
    <mergeCell ref="B36:C36"/>
    <mergeCell ref="B21:C21"/>
    <mergeCell ref="B22:C22"/>
    <mergeCell ref="B34:C34"/>
    <mergeCell ref="B26:C26"/>
  </mergeCells>
  <phoneticPr fontId="0" type="noConversion"/>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tabSelected="1" zoomScaleNormal="100" workbookViewId="0">
      <selection activeCell="A29" sqref="A29:I29"/>
    </sheetView>
  </sheetViews>
  <sheetFormatPr defaultRowHeight="12.75" x14ac:dyDescent="0.2"/>
  <cols>
    <col min="1" max="1" width="74.75" style="71" customWidth="1"/>
    <col min="2" max="9" width="23.75" style="71" customWidth="1"/>
  </cols>
  <sheetData>
    <row r="1" spans="1:14" ht="18.75" x14ac:dyDescent="0.3">
      <c r="A1" s="457" t="s">
        <v>77</v>
      </c>
      <c r="B1" s="70"/>
      <c r="C1" s="70"/>
      <c r="D1" s="70"/>
      <c r="E1" s="70"/>
      <c r="F1" s="70"/>
      <c r="G1" s="70"/>
      <c r="H1" s="70"/>
      <c r="I1" s="70"/>
    </row>
    <row r="3" spans="1:14" s="101" customFormat="1" ht="10.5" x14ac:dyDescent="0.15">
      <c r="A3" s="469" t="s">
        <v>125</v>
      </c>
      <c r="B3" s="469"/>
      <c r="C3" s="469"/>
      <c r="D3" s="469"/>
      <c r="E3" s="469"/>
      <c r="F3" s="469"/>
      <c r="G3" s="469"/>
      <c r="H3" s="469"/>
      <c r="I3" s="469"/>
    </row>
    <row r="4" spans="1:14" s="102" customFormat="1" ht="11.25" x14ac:dyDescent="0.2"/>
    <row r="5" spans="1:14" s="103" customFormat="1" ht="9.75" x14ac:dyDescent="0.2">
      <c r="A5" s="470" t="s">
        <v>69</v>
      </c>
      <c r="B5" s="471"/>
      <c r="C5" s="411" t="s">
        <v>25</v>
      </c>
      <c r="D5" s="472" t="s">
        <v>113</v>
      </c>
      <c r="E5" s="472"/>
      <c r="F5" s="472"/>
      <c r="G5" s="472"/>
      <c r="H5" s="472"/>
      <c r="I5" s="472"/>
    </row>
    <row r="6" spans="1:14" s="102" customFormat="1" ht="22.5" customHeight="1" x14ac:dyDescent="0.2">
      <c r="A6" s="467" t="s">
        <v>70</v>
      </c>
      <c r="B6" s="468"/>
      <c r="C6" s="180">
        <v>98018.34</v>
      </c>
      <c r="D6" s="473" t="s">
        <v>206</v>
      </c>
      <c r="E6" s="473"/>
      <c r="F6" s="473"/>
      <c r="G6" s="473"/>
      <c r="H6" s="473"/>
      <c r="I6" s="473"/>
    </row>
    <row r="7" spans="1:14" s="104" customFormat="1" ht="11.25" x14ac:dyDescent="0.15">
      <c r="A7" s="467" t="s">
        <v>38</v>
      </c>
      <c r="B7" s="468"/>
      <c r="C7" s="180">
        <v>0</v>
      </c>
      <c r="D7" s="473" t="s">
        <v>207</v>
      </c>
      <c r="E7" s="473"/>
      <c r="F7" s="473"/>
      <c r="G7" s="473"/>
      <c r="H7" s="473"/>
      <c r="I7" s="473"/>
    </row>
    <row r="8" spans="1:14" s="104" customFormat="1" ht="10.5" x14ac:dyDescent="0.15">
      <c r="A8" s="467" t="s">
        <v>71</v>
      </c>
      <c r="B8" s="468"/>
      <c r="C8" s="180">
        <v>0</v>
      </c>
      <c r="D8" s="591"/>
      <c r="E8" s="592"/>
      <c r="F8" s="592"/>
      <c r="G8" s="592"/>
      <c r="H8" s="592"/>
      <c r="I8" s="593"/>
    </row>
    <row r="9" spans="1:14" s="102" customFormat="1" ht="11.25" x14ac:dyDescent="0.2">
      <c r="C9" s="105"/>
    </row>
    <row r="10" spans="1:14" s="106" customFormat="1" ht="11.25" x14ac:dyDescent="0.2">
      <c r="A10" s="469" t="s">
        <v>134</v>
      </c>
      <c r="B10" s="469"/>
      <c r="C10" s="469"/>
      <c r="D10" s="469"/>
      <c r="E10" s="469"/>
      <c r="F10" s="469"/>
      <c r="G10" s="469"/>
      <c r="H10" s="469"/>
      <c r="I10" s="469"/>
    </row>
    <row r="11" spans="1:14" s="102" customFormat="1" ht="11.25" x14ac:dyDescent="0.2">
      <c r="C11" s="105"/>
    </row>
    <row r="12" spans="1:14" s="108" customFormat="1" ht="19.5" x14ac:dyDescent="0.15">
      <c r="A12" s="107" t="s">
        <v>93</v>
      </c>
      <c r="B12" s="107" t="s">
        <v>114</v>
      </c>
      <c r="C12" s="107" t="s">
        <v>94</v>
      </c>
      <c r="D12" s="107" t="s">
        <v>95</v>
      </c>
      <c r="E12" s="107" t="s">
        <v>115</v>
      </c>
      <c r="F12" s="107" t="s">
        <v>116</v>
      </c>
      <c r="G12" s="475" t="s">
        <v>96</v>
      </c>
      <c r="H12" s="475"/>
      <c r="I12" s="475"/>
    </row>
    <row r="13" spans="1:14" s="102" customFormat="1" ht="22.5" customHeight="1" x14ac:dyDescent="0.2">
      <c r="A13" s="205" t="s">
        <v>72</v>
      </c>
      <c r="B13" s="185">
        <v>133599.32</v>
      </c>
      <c r="C13" s="185">
        <v>26471.4</v>
      </c>
      <c r="D13" s="185">
        <v>0</v>
      </c>
      <c r="E13" s="185">
        <v>160070.72</v>
      </c>
      <c r="F13" s="186">
        <v>160070.72</v>
      </c>
      <c r="G13" s="588" t="s">
        <v>208</v>
      </c>
      <c r="H13" s="589"/>
      <c r="I13" s="590"/>
    </row>
    <row r="14" spans="1:14" s="102" customFormat="1" ht="24" customHeight="1" x14ac:dyDescent="0.2">
      <c r="A14" s="207" t="s">
        <v>117</v>
      </c>
      <c r="B14" s="181">
        <v>33999</v>
      </c>
      <c r="C14" s="181">
        <v>63024</v>
      </c>
      <c r="D14" s="181">
        <v>59756.5</v>
      </c>
      <c r="E14" s="181">
        <v>37266.5</v>
      </c>
      <c r="F14" s="182">
        <v>37266.5</v>
      </c>
      <c r="G14" s="482" t="s">
        <v>209</v>
      </c>
      <c r="H14" s="551"/>
      <c r="I14" s="552"/>
      <c r="N14" s="109"/>
    </row>
    <row r="15" spans="1:14" s="102" customFormat="1" ht="23.25" customHeight="1" x14ac:dyDescent="0.2">
      <c r="A15" s="207" t="s">
        <v>73</v>
      </c>
      <c r="B15" s="181">
        <v>43000</v>
      </c>
      <c r="C15" s="181">
        <v>3000</v>
      </c>
      <c r="D15" s="181">
        <v>0</v>
      </c>
      <c r="E15" s="181">
        <v>46000</v>
      </c>
      <c r="F15" s="182">
        <v>46000</v>
      </c>
      <c r="G15" s="482" t="s">
        <v>210</v>
      </c>
      <c r="H15" s="551"/>
      <c r="I15" s="552"/>
    </row>
    <row r="16" spans="1:14" s="102" customFormat="1" ht="11.25" x14ac:dyDescent="0.2">
      <c r="A16" s="209" t="s">
        <v>97</v>
      </c>
      <c r="B16" s="187">
        <v>14727.02</v>
      </c>
      <c r="C16" s="187">
        <v>26142</v>
      </c>
      <c r="D16" s="187">
        <v>13267</v>
      </c>
      <c r="E16" s="187">
        <v>27602.02</v>
      </c>
      <c r="F16" s="188">
        <v>22386.71</v>
      </c>
      <c r="G16" s="483" t="s">
        <v>211</v>
      </c>
      <c r="H16" s="553"/>
      <c r="I16" s="554"/>
    </row>
    <row r="17" spans="1:9" s="102" customFormat="1" ht="11.25" x14ac:dyDescent="0.2">
      <c r="A17" s="371" t="s">
        <v>34</v>
      </c>
      <c r="B17" s="184">
        <f>SUM(B13:B16)</f>
        <v>225325.34</v>
      </c>
      <c r="C17" s="184">
        <f t="shared" ref="C17:F17" si="0">SUM(C13:C16)</f>
        <v>118637.4</v>
      </c>
      <c r="D17" s="184">
        <f t="shared" si="0"/>
        <v>73023.5</v>
      </c>
      <c r="E17" s="184">
        <f t="shared" si="0"/>
        <v>270939.24</v>
      </c>
      <c r="F17" s="184">
        <f t="shared" si="0"/>
        <v>265723.93</v>
      </c>
      <c r="G17" s="466"/>
      <c r="H17" s="466"/>
      <c r="I17" s="466"/>
    </row>
    <row r="18" spans="1:9" s="123" customFormat="1" ht="11.25" x14ac:dyDescent="0.2">
      <c r="C18" s="124"/>
    </row>
    <row r="19" spans="1:9" s="80" customFormat="1" ht="11.25" x14ac:dyDescent="0.2">
      <c r="A19" s="490" t="s">
        <v>118</v>
      </c>
      <c r="B19" s="490"/>
      <c r="C19" s="490"/>
      <c r="D19" s="490"/>
      <c r="E19" s="490"/>
      <c r="F19" s="490"/>
      <c r="G19" s="490"/>
      <c r="H19" s="490"/>
      <c r="I19" s="490"/>
    </row>
    <row r="20" spans="1:9" s="114" customFormat="1" ht="11.25" x14ac:dyDescent="0.2">
      <c r="A20" s="174"/>
      <c r="B20" s="174"/>
      <c r="C20" s="119"/>
      <c r="D20" s="174"/>
      <c r="E20" s="174"/>
      <c r="F20" s="174"/>
      <c r="G20" s="174"/>
      <c r="H20" s="174"/>
      <c r="I20" s="174"/>
    </row>
    <row r="21" spans="1:9" s="114" customFormat="1" ht="11.25" customHeight="1" x14ac:dyDescent="0.2">
      <c r="A21" s="492" t="s">
        <v>119</v>
      </c>
      <c r="B21" s="493"/>
      <c r="C21" s="493"/>
      <c r="D21" s="493"/>
      <c r="E21" s="493"/>
      <c r="F21" s="493"/>
      <c r="G21" s="493"/>
      <c r="H21" s="493"/>
      <c r="I21" s="494"/>
    </row>
    <row r="22" spans="1:9" s="114" customFormat="1" ht="11.25" x14ac:dyDescent="0.2">
      <c r="A22" s="174"/>
      <c r="B22" s="174"/>
      <c r="C22" s="119"/>
      <c r="D22" s="174"/>
      <c r="E22" s="174"/>
      <c r="F22" s="174"/>
      <c r="G22" s="174"/>
      <c r="H22" s="174"/>
      <c r="I22" s="174"/>
    </row>
    <row r="23" spans="1:9" s="77" customFormat="1" ht="11.25" customHeight="1" x14ac:dyDescent="0.2">
      <c r="A23" s="490" t="s">
        <v>123</v>
      </c>
      <c r="B23" s="490"/>
      <c r="C23" s="490"/>
      <c r="D23" s="490"/>
      <c r="E23" s="490"/>
      <c r="F23" s="490"/>
      <c r="G23" s="490"/>
      <c r="H23" s="490"/>
      <c r="I23" s="490"/>
    </row>
    <row r="24" spans="1:9" s="77" customFormat="1" ht="11.25" x14ac:dyDescent="0.2">
      <c r="A24" s="174"/>
      <c r="B24" s="174"/>
      <c r="C24" s="119"/>
      <c r="D24" s="174"/>
      <c r="E24" s="174"/>
      <c r="F24" s="174"/>
      <c r="G24" s="174"/>
      <c r="H24" s="174"/>
      <c r="I24" s="174"/>
    </row>
    <row r="25" spans="1:9" s="77" customFormat="1" ht="11.25" x14ac:dyDescent="0.2">
      <c r="A25" s="492" t="s">
        <v>243</v>
      </c>
      <c r="B25" s="493"/>
      <c r="C25" s="493"/>
      <c r="D25" s="493"/>
      <c r="E25" s="493"/>
      <c r="F25" s="493"/>
      <c r="G25" s="493"/>
      <c r="H25" s="493"/>
      <c r="I25" s="494"/>
    </row>
    <row r="26" spans="1:9" s="77" customFormat="1" ht="11.25" x14ac:dyDescent="0.2">
      <c r="A26" s="174"/>
      <c r="B26" s="174"/>
      <c r="C26" s="119"/>
      <c r="D26" s="174"/>
      <c r="E26" s="174"/>
      <c r="F26" s="174"/>
      <c r="G26" s="174"/>
      <c r="H26" s="174"/>
      <c r="I26" s="174"/>
    </row>
    <row r="27" spans="1:9" ht="11.25" customHeight="1" x14ac:dyDescent="0.15">
      <c r="A27" s="491" t="s">
        <v>121</v>
      </c>
      <c r="B27" s="491"/>
      <c r="C27" s="491"/>
      <c r="D27" s="491"/>
      <c r="E27" s="491"/>
      <c r="F27" s="491"/>
      <c r="G27" s="491"/>
      <c r="H27" s="491"/>
      <c r="I27" s="491"/>
    </row>
    <row r="28" spans="1:9" ht="11.25" x14ac:dyDescent="0.2">
      <c r="A28" s="176"/>
      <c r="B28" s="174"/>
      <c r="C28" s="174"/>
      <c r="D28" s="174"/>
      <c r="E28" s="174"/>
      <c r="F28" s="174"/>
      <c r="G28" s="174"/>
      <c r="H28" s="174"/>
      <c r="I28" s="174"/>
    </row>
    <row r="29" spans="1:9" s="82" customFormat="1" ht="11.25" x14ac:dyDescent="0.15">
      <c r="A29" s="495" t="s">
        <v>122</v>
      </c>
      <c r="B29" s="496"/>
      <c r="C29" s="496"/>
      <c r="D29" s="496"/>
      <c r="E29" s="496"/>
      <c r="F29" s="496"/>
      <c r="G29" s="496"/>
      <c r="H29" s="496"/>
      <c r="I29" s="497"/>
    </row>
    <row r="30" spans="1:9" ht="11.25" x14ac:dyDescent="0.2">
      <c r="A30" s="176"/>
      <c r="B30" s="174"/>
      <c r="C30" s="174"/>
      <c r="D30" s="174"/>
      <c r="E30" s="174"/>
      <c r="F30" s="174"/>
      <c r="G30" s="174"/>
      <c r="H30" s="174"/>
      <c r="I30" s="174"/>
    </row>
    <row r="31" spans="1:9" ht="10.5" x14ac:dyDescent="0.15">
      <c r="A31" s="489" t="s">
        <v>126</v>
      </c>
      <c r="B31" s="489"/>
      <c r="C31" s="489"/>
      <c r="D31" s="489"/>
      <c r="E31" s="489"/>
      <c r="F31" s="489"/>
      <c r="G31" s="489"/>
      <c r="H31" s="489"/>
      <c r="I31" s="489"/>
    </row>
    <row r="32" spans="1:9" ht="11.25" x14ac:dyDescent="0.2">
      <c r="A32" s="174"/>
      <c r="B32" s="174"/>
      <c r="C32" s="174"/>
      <c r="D32" s="174"/>
      <c r="E32" s="174"/>
      <c r="F32" s="174"/>
      <c r="G32" s="174"/>
      <c r="H32" s="174"/>
      <c r="I32" s="174"/>
    </row>
    <row r="33" spans="1:9" ht="23.25" customHeight="1" x14ac:dyDescent="0.15">
      <c r="A33" s="585" t="s">
        <v>212</v>
      </c>
      <c r="B33" s="586"/>
      <c r="C33" s="586"/>
      <c r="D33" s="586"/>
      <c r="E33" s="586"/>
      <c r="F33" s="586"/>
      <c r="G33" s="586"/>
      <c r="H33" s="586"/>
      <c r="I33" s="587"/>
    </row>
  </sheetData>
  <mergeCells count="24">
    <mergeCell ref="A3:I3"/>
    <mergeCell ref="A5:B5"/>
    <mergeCell ref="D5:I5"/>
    <mergeCell ref="A8:B8"/>
    <mergeCell ref="D8:I8"/>
    <mergeCell ref="A6:B6"/>
    <mergeCell ref="D6:I6"/>
    <mergeCell ref="A7:B7"/>
    <mergeCell ref="D7:I7"/>
    <mergeCell ref="A27:I27"/>
    <mergeCell ref="A29:I29"/>
    <mergeCell ref="A33:I33"/>
    <mergeCell ref="A31:I31"/>
    <mergeCell ref="A10:I10"/>
    <mergeCell ref="A19:I19"/>
    <mergeCell ref="G15:I15"/>
    <mergeCell ref="G16:I16"/>
    <mergeCell ref="A25:I25"/>
    <mergeCell ref="G12:I12"/>
    <mergeCell ref="G17:I17"/>
    <mergeCell ref="G13:I13"/>
    <mergeCell ref="G14:I14"/>
    <mergeCell ref="A21:I21"/>
    <mergeCell ref="A23:I23"/>
  </mergeCells>
  <printOptions horizontalCentered="1"/>
  <pageMargins left="0.19685039370078741" right="0.19685039370078741" top="0.59055118110236227" bottom="0.59055118110236227" header="0.31496062992125984" footer="0.31496062992125984"/>
  <pageSetup paperSize="9" firstPageNumber="85" orientation="landscape" r:id="rId1"/>
  <headerFooter>
    <oddFooter>&amp;C&amp;8Stránka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34</vt:i4>
      </vt:variant>
    </vt:vector>
  </HeadingPairs>
  <TitlesOfParts>
    <vt:vector size="34" baseType="lpstr">
      <vt:lpstr>MŠ Rumunská text</vt:lpstr>
      <vt:lpstr>MŠ Rumunská tabulka</vt:lpstr>
      <vt:lpstr>MŠ Šárka text</vt:lpstr>
      <vt:lpstr>MŠ Šárka tabulka</vt:lpstr>
      <vt:lpstr>MŠ Partyzánská text</vt:lpstr>
      <vt:lpstr>MŠ Partyzánská - tabulka</vt:lpstr>
      <vt:lpstr>MŠ Smetanova text</vt:lpstr>
      <vt:lpstr>MŠ Smetanova tabulka</vt:lpstr>
      <vt:lpstr>MŠ Moravská text</vt:lpstr>
      <vt:lpstr>MŠ Moravská tabulka</vt:lpstr>
      <vt:lpstr>ZŠ a MŠ Palackého text</vt:lpstr>
      <vt:lpstr> ZŠ a MŠ Palackého tabulka</vt:lpstr>
      <vt:lpstr>ZŠ a MŠ Kollárova text</vt:lpstr>
      <vt:lpstr> ZŠ a MŠ Kollárova - tabulka</vt:lpstr>
      <vt:lpstr>ZŠ a MŠ JŽ Sídl. svobody text</vt:lpstr>
      <vt:lpstr> ZŠ a MŠ JŽ Sídl. svobody tabul</vt:lpstr>
      <vt:lpstr>ZŠ a MŠ Melantrichova text</vt:lpstr>
      <vt:lpstr> ZŠ a MŠ Melantrichova tabulka</vt:lpstr>
      <vt:lpstr>ZŠ Majakovského text</vt:lpstr>
      <vt:lpstr> ZŠ Majakovského tabulka</vt:lpstr>
      <vt:lpstr>RG a ZŠ PV text</vt:lpstr>
      <vt:lpstr>RG a ZŠ PV tabulka</vt:lpstr>
      <vt:lpstr>ZŠ Dr. Horáka text</vt:lpstr>
      <vt:lpstr>ZŠ Dr. Horáka tabulka</vt:lpstr>
      <vt:lpstr>ZŠ E. Valenty text</vt:lpstr>
      <vt:lpstr>ZŠ E. Valenty tabulka</vt:lpstr>
      <vt:lpstr>SC DDM text</vt:lpstr>
      <vt:lpstr>SC DDM tabulka</vt:lpstr>
      <vt:lpstr>ZUŠ text</vt:lpstr>
      <vt:lpstr>ZUŠ tabulka</vt:lpstr>
      <vt:lpstr>MD PV text</vt:lpstr>
      <vt:lpstr>MD PV tabulka</vt:lpstr>
      <vt:lpstr>MK PV text</vt:lpstr>
      <vt:lpstr>MK PV tabulka</vt:lpstr>
    </vt:vector>
  </TitlesOfParts>
  <Company>Městský úřad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Neckař Milan</cp:lastModifiedBy>
  <cp:lastPrinted>2016-08-10T07:56:20Z</cp:lastPrinted>
  <dcterms:created xsi:type="dcterms:W3CDTF">1998-11-03T08:17:51Z</dcterms:created>
  <dcterms:modified xsi:type="dcterms:W3CDTF">2016-08-12T10:03:47Z</dcterms:modified>
</cp:coreProperties>
</file>