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200" windowWidth="15330" windowHeight="1695"/>
  </bookViews>
  <sheets>
    <sheet name="MŠ Rumunská text" sheetId="63" r:id="rId1"/>
    <sheet name="MŠ Rumunská tabulka" sheetId="46" r:id="rId2"/>
    <sheet name="MŠ Šárka text" sheetId="64" r:id="rId3"/>
    <sheet name="MŠ Šárka tabulka" sheetId="45" r:id="rId4"/>
    <sheet name="MŠ Partyzánská text" sheetId="65" r:id="rId5"/>
    <sheet name="MŠ Partyzánská - tabulka" sheetId="44" r:id="rId6"/>
    <sheet name="MŠ Smetanova text" sheetId="66" r:id="rId7"/>
    <sheet name="MŠ Smetanova tabulka" sheetId="43" r:id="rId8"/>
    <sheet name="MŠ Moravská text" sheetId="67" r:id="rId9"/>
    <sheet name="MŠ Moravská tabulka" sheetId="42" r:id="rId10"/>
    <sheet name="ZŠ a MŠ Palackého text" sheetId="68" r:id="rId11"/>
    <sheet name=" ZŠ a MŠ Palackého tabulka" sheetId="25" r:id="rId12"/>
    <sheet name="ZŠ a MŠ Kollárova text" sheetId="69" r:id="rId13"/>
    <sheet name=" ZŠ a MŠ Kollárova - tabulka" sheetId="49" r:id="rId14"/>
    <sheet name="ZŠ a MŠ JŽ Sídl. svobody text" sheetId="70" r:id="rId15"/>
    <sheet name=" ZŠ a MŠ JŽ Sídl. svobody tabul" sheetId="50" r:id="rId16"/>
    <sheet name="ZŠ a MŠ Melantrichova text" sheetId="71" r:id="rId17"/>
    <sheet name=" ZŠ a MŠ Melantrichova tabulka" sheetId="51" r:id="rId18"/>
    <sheet name="ZŠ Majakovského text" sheetId="72" r:id="rId19"/>
    <sheet name=" ZŠ Majakovského tabulka" sheetId="52" r:id="rId20"/>
    <sheet name="RG a ZŠ PV text" sheetId="73" r:id="rId21"/>
    <sheet name="RG a ZŠ PV tabulka" sheetId="53" r:id="rId22"/>
    <sheet name="ZŠ Dr. Horáka text" sheetId="74" r:id="rId23"/>
    <sheet name="ZŠ Dr. Horáka tabulka" sheetId="54" r:id="rId24"/>
    <sheet name="ZŠ E. Valenty text" sheetId="75" r:id="rId25"/>
    <sheet name="ZŠ E. Valenty tabulka" sheetId="55" r:id="rId26"/>
    <sheet name="SC DDM text" sheetId="76" r:id="rId27"/>
    <sheet name="SC DDM tabulka" sheetId="56" r:id="rId28"/>
    <sheet name="ZUŠ text" sheetId="77" r:id="rId29"/>
    <sheet name="ZUŠ tabulka" sheetId="57" r:id="rId30"/>
    <sheet name="MD PV text" sheetId="62" r:id="rId31"/>
    <sheet name="MD PV tabulka" sheetId="58" r:id="rId32"/>
    <sheet name="MK PV text" sheetId="78" r:id="rId33"/>
    <sheet name="MK PV tabulka" sheetId="61" r:id="rId34"/>
  </sheets>
  <calcPr calcId="145621"/>
</workbook>
</file>

<file path=xl/calcChain.xml><?xml version="1.0" encoding="utf-8"?>
<calcChain xmlns="http://schemas.openxmlformats.org/spreadsheetml/2006/main">
  <c r="M29" i="51" l="1"/>
  <c r="Q28" i="51"/>
  <c r="R28" i="51" s="1"/>
  <c r="M28" i="51"/>
  <c r="M27" i="51"/>
  <c r="U26" i="51"/>
  <c r="U11" i="51" s="1"/>
  <c r="K26" i="51"/>
  <c r="M26" i="51" s="1"/>
  <c r="W21" i="51"/>
  <c r="R21" i="51"/>
  <c r="Q21" i="51"/>
  <c r="O21" i="51"/>
  <c r="K21" i="51"/>
  <c r="M21" i="51" s="1"/>
  <c r="V20" i="51"/>
  <c r="W20" i="51" s="1"/>
  <c r="Q20" i="51"/>
  <c r="R20" i="51" s="1"/>
  <c r="K20" i="51"/>
  <c r="M20" i="51" s="1"/>
  <c r="W19" i="51"/>
  <c r="R19" i="51"/>
  <c r="Q19" i="51"/>
  <c r="K19" i="51"/>
  <c r="M19" i="51" s="1"/>
  <c r="W18" i="51"/>
  <c r="Q18" i="51"/>
  <c r="R18" i="51" s="1"/>
  <c r="M18" i="51"/>
  <c r="M17" i="51"/>
  <c r="Q16" i="51"/>
  <c r="R16" i="51" s="1"/>
  <c r="M16" i="51"/>
  <c r="W15" i="51"/>
  <c r="M15" i="51"/>
  <c r="W13" i="51"/>
  <c r="K13" i="51"/>
  <c r="M13" i="51" s="1"/>
  <c r="W12" i="51"/>
  <c r="Q12" i="51"/>
  <c r="Q11" i="51" s="1"/>
  <c r="R11" i="51" s="1"/>
  <c r="M12" i="51"/>
  <c r="K12" i="51"/>
  <c r="X11" i="51"/>
  <c r="V11" i="51"/>
  <c r="W11" i="51" s="1"/>
  <c r="T11" i="51"/>
  <c r="S11" i="51"/>
  <c r="P11" i="51"/>
  <c r="O11" i="51"/>
  <c r="N11" i="51"/>
  <c r="N33" i="51" s="1"/>
  <c r="L11" i="51"/>
  <c r="J11" i="51"/>
  <c r="W9" i="51"/>
  <c r="Q9" i="51"/>
  <c r="R9" i="51" s="1"/>
  <c r="M9" i="51"/>
  <c r="K9" i="51"/>
  <c r="M8" i="51"/>
  <c r="V7" i="51"/>
  <c r="V6" i="51" s="1"/>
  <c r="K7" i="51"/>
  <c r="M7" i="51" s="1"/>
  <c r="X6" i="51"/>
  <c r="X33" i="51" s="1"/>
  <c r="U6" i="51"/>
  <c r="U33" i="51" s="1"/>
  <c r="T6" i="51"/>
  <c r="T33" i="51" s="1"/>
  <c r="S6" i="51"/>
  <c r="S33" i="51" s="1"/>
  <c r="P6" i="51"/>
  <c r="P33" i="51" s="1"/>
  <c r="O6" i="51"/>
  <c r="N6" i="51"/>
  <c r="L6" i="51"/>
  <c r="M6" i="51" s="1"/>
  <c r="K6" i="51"/>
  <c r="J6" i="51"/>
  <c r="J33" i="51" l="1"/>
  <c r="O33" i="51"/>
  <c r="W6" i="51"/>
  <c r="V33" i="51"/>
  <c r="W33" i="51" s="1"/>
  <c r="K11" i="51"/>
  <c r="K33" i="51" s="1"/>
  <c r="W7" i="51"/>
  <c r="W26" i="51"/>
  <c r="L33" i="51"/>
  <c r="Q6" i="51"/>
  <c r="R12" i="51"/>
  <c r="M11" i="51" l="1"/>
  <c r="R6" i="51"/>
  <c r="Q33" i="51"/>
  <c r="E78" i="78" l="1"/>
  <c r="D78" i="78"/>
  <c r="E72" i="78"/>
  <c r="D72" i="78"/>
  <c r="B44" i="78"/>
  <c r="A44" i="78"/>
  <c r="B38" i="78"/>
  <c r="B32" i="78"/>
  <c r="D26" i="78"/>
  <c r="C26" i="78"/>
  <c r="B26" i="78"/>
  <c r="E25" i="78"/>
  <c r="E24" i="78"/>
  <c r="E23" i="78"/>
  <c r="E22" i="78"/>
  <c r="C17" i="78"/>
  <c r="C6" i="78"/>
  <c r="E26" i="78" l="1"/>
  <c r="E89" i="62" l="1"/>
  <c r="D89" i="62"/>
  <c r="E72" i="62"/>
  <c r="D72" i="62"/>
  <c r="B44" i="62"/>
  <c r="A44" i="62"/>
  <c r="B38" i="62"/>
  <c r="B32" i="62"/>
  <c r="D26" i="62"/>
  <c r="C26" i="62"/>
  <c r="B26" i="62"/>
  <c r="E22" i="62"/>
  <c r="E26" i="62" s="1"/>
  <c r="C17" i="62"/>
  <c r="C6" i="62"/>
  <c r="I32" i="58" l="1"/>
  <c r="I31" i="58"/>
  <c r="I30" i="58"/>
  <c r="I29" i="58"/>
  <c r="I28" i="58"/>
  <c r="I27" i="58"/>
  <c r="I26" i="58"/>
  <c r="I25" i="58"/>
  <c r="I24" i="58"/>
  <c r="I23" i="58"/>
  <c r="I22" i="58"/>
  <c r="I21" i="58"/>
  <c r="I20" i="58"/>
  <c r="I19" i="58"/>
  <c r="I18" i="58"/>
  <c r="I17" i="58"/>
  <c r="I16" i="58"/>
  <c r="I15" i="58"/>
  <c r="I13" i="58"/>
  <c r="I12" i="58"/>
  <c r="I9" i="58"/>
  <c r="I8" i="58"/>
  <c r="I7" i="58"/>
  <c r="S6" i="58"/>
  <c r="S11" i="58"/>
  <c r="S33" i="58"/>
  <c r="H36" i="58" l="1"/>
  <c r="H35" i="58"/>
  <c r="H34" i="58"/>
  <c r="W32" i="58"/>
  <c r="W31" i="58"/>
  <c r="W30" i="58"/>
  <c r="W29" i="58"/>
  <c r="W28" i="58"/>
  <c r="W27" i="58"/>
  <c r="W26" i="58"/>
  <c r="W25" i="58"/>
  <c r="W24" i="58"/>
  <c r="W23" i="58"/>
  <c r="W22" i="58"/>
  <c r="W21" i="58"/>
  <c r="W20" i="58"/>
  <c r="W19" i="58"/>
  <c r="W18" i="58"/>
  <c r="W17" i="58"/>
  <c r="W16" i="58"/>
  <c r="W15" i="58"/>
  <c r="W14" i="58"/>
  <c r="W11" i="58" s="1"/>
  <c r="W13" i="58"/>
  <c r="W12" i="58"/>
  <c r="W9" i="58"/>
  <c r="W8" i="58"/>
  <c r="R32" i="58"/>
  <c r="R31" i="58"/>
  <c r="R30" i="58"/>
  <c r="R29" i="58"/>
  <c r="R28" i="58"/>
  <c r="R27" i="58"/>
  <c r="R26" i="58"/>
  <c r="R25" i="58"/>
  <c r="R24" i="58"/>
  <c r="R23" i="58"/>
  <c r="R22" i="58"/>
  <c r="R21" i="58"/>
  <c r="R20" i="58"/>
  <c r="R19" i="58"/>
  <c r="R18" i="58"/>
  <c r="R17" i="58"/>
  <c r="R16" i="58"/>
  <c r="R15" i="58"/>
  <c r="R14" i="58"/>
  <c r="R13" i="58"/>
  <c r="R12" i="58"/>
  <c r="R9" i="58"/>
  <c r="R8" i="58"/>
  <c r="R7" i="58"/>
  <c r="M32" i="58"/>
  <c r="M31" i="58"/>
  <c r="M30" i="58"/>
  <c r="M29" i="58"/>
  <c r="M28" i="58"/>
  <c r="M27" i="58"/>
  <c r="M26" i="58"/>
  <c r="M25" i="58"/>
  <c r="M24" i="58"/>
  <c r="M23" i="58"/>
  <c r="M22" i="58"/>
  <c r="M21" i="58"/>
  <c r="M20" i="58"/>
  <c r="M19" i="58"/>
  <c r="M18" i="58"/>
  <c r="M17" i="58"/>
  <c r="M16" i="58"/>
  <c r="M14" i="58"/>
  <c r="M13" i="58"/>
  <c r="M12" i="58"/>
  <c r="W7" i="58"/>
  <c r="R33" i="58"/>
  <c r="W10" i="58"/>
  <c r="R6" i="58"/>
  <c r="R10" i="58"/>
  <c r="M10" i="58"/>
  <c r="X11" i="58"/>
  <c r="V11" i="58"/>
  <c r="U11" i="58"/>
  <c r="T11" i="58"/>
  <c r="R11" i="58"/>
  <c r="Q11" i="58"/>
  <c r="P11" i="58"/>
  <c r="O11" i="58"/>
  <c r="N11" i="58"/>
  <c r="L11" i="58"/>
  <c r="K11" i="58"/>
  <c r="K33" i="58" s="1"/>
  <c r="J11" i="58"/>
  <c r="F11" i="58"/>
  <c r="E11" i="58"/>
  <c r="U33" i="58"/>
  <c r="P33" i="58"/>
  <c r="M15" i="58"/>
  <c r="M9" i="58"/>
  <c r="M8" i="58"/>
  <c r="M7" i="58"/>
  <c r="X6" i="58"/>
  <c r="X33" i="58" s="1"/>
  <c r="V6" i="58"/>
  <c r="V33" i="58" s="1"/>
  <c r="W33" i="58" s="1"/>
  <c r="U6" i="58"/>
  <c r="T6" i="58"/>
  <c r="T33" i="58" s="1"/>
  <c r="Q6" i="58"/>
  <c r="Q33" i="58" s="1"/>
  <c r="P6" i="58"/>
  <c r="O6" i="58"/>
  <c r="N6" i="58"/>
  <c r="M6" i="58"/>
  <c r="L6" i="58"/>
  <c r="K6" i="58"/>
  <c r="J6" i="58"/>
  <c r="M11" i="58" l="1"/>
  <c r="J33" i="58"/>
  <c r="N33" i="58"/>
  <c r="O33" i="58"/>
  <c r="W6" i="58"/>
  <c r="L33" i="58"/>
  <c r="M33" i="58" s="1"/>
  <c r="G25" i="57" l="1"/>
  <c r="X11" i="57"/>
  <c r="W11" i="57"/>
  <c r="V11" i="57"/>
  <c r="U11" i="57"/>
  <c r="T11" i="57"/>
  <c r="S11" i="57"/>
  <c r="R11" i="57"/>
  <c r="Q11" i="57"/>
  <c r="P11" i="57"/>
  <c r="O11" i="57"/>
  <c r="N11" i="57"/>
  <c r="M11" i="57"/>
  <c r="L11" i="57"/>
  <c r="K11" i="57"/>
  <c r="J11" i="57"/>
  <c r="I11" i="57"/>
  <c r="H11" i="57"/>
  <c r="G11" i="57"/>
  <c r="F11" i="57"/>
  <c r="E11" i="57"/>
  <c r="E80" i="77"/>
  <c r="D80" i="77"/>
  <c r="E90" i="77"/>
  <c r="D90" i="77"/>
  <c r="B45" i="77"/>
  <c r="A45" i="77"/>
  <c r="B39" i="77"/>
  <c r="B33" i="77"/>
  <c r="D26" i="77"/>
  <c r="C26" i="77"/>
  <c r="B26" i="77"/>
  <c r="E25" i="77"/>
  <c r="E24" i="77"/>
  <c r="E23" i="77"/>
  <c r="E22" i="77"/>
  <c r="C17" i="77"/>
  <c r="C6" i="77"/>
  <c r="E26" i="77" l="1"/>
  <c r="E187" i="76" l="1"/>
  <c r="D187" i="76"/>
  <c r="E143" i="76"/>
  <c r="D143" i="76"/>
  <c r="E98" i="76"/>
  <c r="E97" i="76"/>
  <c r="B48" i="76"/>
  <c r="A48" i="76"/>
  <c r="B42" i="76"/>
  <c r="B36" i="76"/>
  <c r="E26" i="76"/>
  <c r="D26" i="76"/>
  <c r="C26" i="76"/>
  <c r="B26" i="76"/>
  <c r="C17" i="76"/>
  <c r="C6" i="76"/>
  <c r="E99" i="75" l="1"/>
  <c r="E136" i="75"/>
  <c r="D136" i="75"/>
  <c r="D99" i="75"/>
  <c r="B47" i="75"/>
  <c r="A47" i="75"/>
  <c r="B38" i="75"/>
  <c r="B32" i="75"/>
  <c r="D26" i="75"/>
  <c r="C26" i="75"/>
  <c r="B26" i="75"/>
  <c r="E25" i="75"/>
  <c r="E24" i="75"/>
  <c r="E23" i="75"/>
  <c r="E22" i="75"/>
  <c r="C17" i="75"/>
  <c r="C6" i="75"/>
  <c r="E26" i="75" l="1"/>
  <c r="X11" i="50" l="1"/>
  <c r="V11" i="50"/>
  <c r="U11" i="50"/>
  <c r="T11" i="50"/>
  <c r="S11" i="50"/>
  <c r="Q11" i="50"/>
  <c r="P11" i="50"/>
  <c r="O11" i="50"/>
  <c r="N11" i="50"/>
  <c r="M11" i="50"/>
  <c r="L11" i="50"/>
  <c r="K11" i="50"/>
  <c r="J11" i="50"/>
  <c r="I32" i="51"/>
  <c r="G32" i="51"/>
  <c r="F32" i="51"/>
  <c r="E32" i="51"/>
  <c r="I31" i="51"/>
  <c r="G31" i="51"/>
  <c r="F31" i="51"/>
  <c r="E31" i="51"/>
  <c r="I30" i="51"/>
  <c r="G30" i="51"/>
  <c r="F30" i="51"/>
  <c r="E30" i="51"/>
  <c r="I29" i="51"/>
  <c r="G29" i="51"/>
  <c r="F29" i="51"/>
  <c r="E29" i="51"/>
  <c r="I28" i="51"/>
  <c r="G28" i="51"/>
  <c r="F28" i="51"/>
  <c r="E28" i="51"/>
  <c r="I27" i="51"/>
  <c r="G27" i="51"/>
  <c r="F27" i="51"/>
  <c r="E27" i="51"/>
  <c r="I26" i="51"/>
  <c r="G26" i="51"/>
  <c r="F26" i="51"/>
  <c r="E26" i="51"/>
  <c r="I25" i="51"/>
  <c r="F25" i="51"/>
  <c r="E25" i="51"/>
  <c r="I24" i="51"/>
  <c r="G24" i="51"/>
  <c r="F24" i="51"/>
  <c r="E24" i="51"/>
  <c r="I23" i="51"/>
  <c r="G23" i="51"/>
  <c r="H23" i="51" s="1"/>
  <c r="F23" i="51"/>
  <c r="E23" i="51"/>
  <c r="I22" i="51"/>
  <c r="G22" i="51"/>
  <c r="H22" i="51" s="1"/>
  <c r="F22" i="51"/>
  <c r="E22" i="51"/>
  <c r="I21" i="51"/>
  <c r="G21" i="51"/>
  <c r="F21" i="51"/>
  <c r="E21" i="51"/>
  <c r="I20" i="51"/>
  <c r="G20" i="51"/>
  <c r="F20" i="51"/>
  <c r="E20" i="51"/>
  <c r="I19" i="51"/>
  <c r="G19" i="51"/>
  <c r="H19" i="51" s="1"/>
  <c r="F19" i="51"/>
  <c r="E19" i="51"/>
  <c r="I18" i="51"/>
  <c r="G18" i="51"/>
  <c r="F18" i="51"/>
  <c r="E18" i="51"/>
  <c r="I17" i="51"/>
  <c r="G17" i="51"/>
  <c r="F17" i="51"/>
  <c r="E17" i="51"/>
  <c r="I16" i="51"/>
  <c r="G16" i="51"/>
  <c r="F16" i="51"/>
  <c r="E16" i="51"/>
  <c r="I15" i="51"/>
  <c r="G15" i="51"/>
  <c r="F15" i="51"/>
  <c r="E15" i="51"/>
  <c r="I14" i="51"/>
  <c r="G14" i="51"/>
  <c r="F14" i="51"/>
  <c r="E14" i="51"/>
  <c r="I13" i="51"/>
  <c r="G13" i="51"/>
  <c r="F13" i="51"/>
  <c r="E13" i="51"/>
  <c r="I12" i="51"/>
  <c r="G12" i="51"/>
  <c r="F12" i="51"/>
  <c r="E12" i="51"/>
  <c r="I10" i="51"/>
  <c r="G10" i="51"/>
  <c r="H10" i="51" s="1"/>
  <c r="F10" i="51"/>
  <c r="E10" i="51"/>
  <c r="I9" i="51"/>
  <c r="G9" i="51"/>
  <c r="F9" i="51"/>
  <c r="E9" i="51"/>
  <c r="I8" i="51"/>
  <c r="G8" i="51"/>
  <c r="H8" i="51" s="1"/>
  <c r="F8" i="51"/>
  <c r="E8" i="51"/>
  <c r="I7" i="51"/>
  <c r="G7" i="51"/>
  <c r="F7" i="51"/>
  <c r="E7" i="51"/>
  <c r="E6" i="51" s="1"/>
  <c r="G25" i="51"/>
  <c r="E68" i="71"/>
  <c r="D68" i="71"/>
  <c r="E62" i="71"/>
  <c r="D56" i="71"/>
  <c r="D62" i="71" s="1"/>
  <c r="B44" i="71"/>
  <c r="A44" i="71"/>
  <c r="B38" i="71"/>
  <c r="B32" i="71"/>
  <c r="D26" i="71"/>
  <c r="C26" i="71"/>
  <c r="B26" i="71"/>
  <c r="E25" i="71"/>
  <c r="E24" i="71"/>
  <c r="E26" i="71" s="1"/>
  <c r="E23" i="71"/>
  <c r="E22" i="71"/>
  <c r="C6" i="71"/>
  <c r="C15" i="71" s="1"/>
  <c r="C17" i="71" s="1"/>
  <c r="H24" i="51" l="1"/>
  <c r="H31" i="51"/>
  <c r="H32" i="51"/>
  <c r="H30" i="51"/>
  <c r="H14" i="51"/>
  <c r="H20" i="51"/>
  <c r="F6" i="51"/>
  <c r="I11" i="51"/>
  <c r="H29" i="51"/>
  <c r="H28" i="51"/>
  <c r="H27" i="51"/>
  <c r="H26" i="51"/>
  <c r="H25" i="51"/>
  <c r="H21" i="51"/>
  <c r="H18" i="51"/>
  <c r="H17" i="51"/>
  <c r="H16" i="51"/>
  <c r="E11" i="51"/>
  <c r="E33" i="51" s="1"/>
  <c r="H15" i="51"/>
  <c r="G11" i="51"/>
  <c r="H12" i="51"/>
  <c r="F11" i="51"/>
  <c r="I6" i="51"/>
  <c r="H9" i="51"/>
  <c r="H7" i="51"/>
  <c r="G6" i="51"/>
  <c r="H13" i="51"/>
  <c r="I33" i="51" l="1"/>
  <c r="F33" i="51"/>
  <c r="H11" i="51"/>
  <c r="G33" i="51"/>
  <c r="H6" i="51"/>
  <c r="H33" i="51" l="1"/>
  <c r="E91" i="74"/>
  <c r="D91" i="74"/>
  <c r="E82" i="74"/>
  <c r="D82" i="74"/>
  <c r="B47" i="74"/>
  <c r="A47" i="74"/>
  <c r="B38" i="74"/>
  <c r="B32" i="74"/>
  <c r="E26" i="74"/>
  <c r="D26" i="74"/>
  <c r="C26" i="74"/>
  <c r="B26" i="74"/>
  <c r="C17" i="74"/>
  <c r="C6" i="74"/>
  <c r="H36" i="54"/>
  <c r="H35" i="54"/>
  <c r="H34" i="54"/>
  <c r="M32" i="53"/>
  <c r="M30" i="53"/>
  <c r="R29" i="53"/>
  <c r="M29" i="53"/>
  <c r="R28" i="53"/>
  <c r="M28" i="53"/>
  <c r="W26" i="53"/>
  <c r="M26" i="53"/>
  <c r="M25" i="53"/>
  <c r="W21" i="53"/>
  <c r="R21" i="53"/>
  <c r="Q21" i="53"/>
  <c r="M21" i="53"/>
  <c r="W20" i="53"/>
  <c r="R20" i="53"/>
  <c r="Q20" i="53"/>
  <c r="M20" i="53"/>
  <c r="W19" i="53"/>
  <c r="R19" i="53"/>
  <c r="Q19" i="53"/>
  <c r="M19" i="53"/>
  <c r="W18" i="53"/>
  <c r="R18" i="53"/>
  <c r="Q18" i="53"/>
  <c r="M18" i="53"/>
  <c r="M17" i="53"/>
  <c r="R16" i="53"/>
  <c r="Q16" i="53"/>
  <c r="M16" i="53"/>
  <c r="W15" i="53"/>
  <c r="M15" i="53"/>
  <c r="W13" i="53"/>
  <c r="M13" i="53"/>
  <c r="W12" i="53"/>
  <c r="R12" i="53"/>
  <c r="M12" i="53"/>
  <c r="X11" i="53"/>
  <c r="V11" i="53"/>
  <c r="W11" i="53" s="1"/>
  <c r="U11" i="53"/>
  <c r="T11" i="53"/>
  <c r="S11" i="53"/>
  <c r="R11" i="53"/>
  <c r="Q11" i="53"/>
  <c r="P11" i="53"/>
  <c r="O11" i="53"/>
  <c r="N11" i="53"/>
  <c r="N33" i="53" s="1"/>
  <c r="L11" i="53"/>
  <c r="M11" i="53" s="1"/>
  <c r="K11" i="53"/>
  <c r="J11" i="53"/>
  <c r="R9" i="53"/>
  <c r="M9" i="53"/>
  <c r="M8" i="53"/>
  <c r="W7" i="53"/>
  <c r="R7" i="53"/>
  <c r="M7" i="53"/>
  <c r="X6" i="53"/>
  <c r="X33" i="53" s="1"/>
  <c r="W6" i="53"/>
  <c r="V6" i="53"/>
  <c r="V33" i="53" s="1"/>
  <c r="U6" i="53"/>
  <c r="U33" i="53" s="1"/>
  <c r="T6" i="53"/>
  <c r="S6" i="53"/>
  <c r="S33" i="53" s="1"/>
  <c r="Q6" i="53"/>
  <c r="Q33" i="53" s="1"/>
  <c r="P6" i="53"/>
  <c r="P33" i="53" s="1"/>
  <c r="O6" i="53"/>
  <c r="O33" i="53" s="1"/>
  <c r="N6" i="53"/>
  <c r="L6" i="53"/>
  <c r="L33" i="53" s="1"/>
  <c r="K6" i="53"/>
  <c r="J6" i="53"/>
  <c r="T33" i="53" l="1"/>
  <c r="W33" i="53"/>
  <c r="M6" i="53"/>
  <c r="R6" i="53"/>
  <c r="B38" i="73" l="1"/>
  <c r="B32" i="73"/>
  <c r="E103" i="73"/>
  <c r="D103" i="73"/>
  <c r="E91" i="73"/>
  <c r="D91" i="73"/>
  <c r="A46" i="73"/>
  <c r="B44" i="73"/>
  <c r="B43" i="73"/>
  <c r="D26" i="73"/>
  <c r="C26" i="73"/>
  <c r="B26" i="73"/>
  <c r="E25" i="73"/>
  <c r="E24" i="73"/>
  <c r="E23" i="73"/>
  <c r="E22" i="73"/>
  <c r="C17" i="73"/>
  <c r="C6" i="73"/>
  <c r="B46" i="73" l="1"/>
  <c r="E26" i="73"/>
  <c r="E97" i="72" l="1"/>
  <c r="D97" i="72"/>
  <c r="F86" i="72"/>
  <c r="E86" i="72"/>
  <c r="B45" i="72"/>
  <c r="A45" i="72"/>
  <c r="B38" i="72"/>
  <c r="B32" i="72"/>
  <c r="D26" i="72"/>
  <c r="C26" i="72"/>
  <c r="B26" i="72"/>
  <c r="E25" i="72"/>
  <c r="E24" i="72"/>
  <c r="E23" i="72"/>
  <c r="E22" i="72"/>
  <c r="C17" i="72"/>
  <c r="C6" i="72"/>
  <c r="E26" i="72" l="1"/>
  <c r="E170" i="70" l="1"/>
  <c r="D170" i="70"/>
  <c r="E164" i="70"/>
  <c r="D164" i="70"/>
  <c r="B48" i="70"/>
  <c r="A48" i="70"/>
  <c r="B38" i="70"/>
  <c r="B32" i="70"/>
  <c r="D26" i="70"/>
  <c r="C26" i="70"/>
  <c r="B26" i="70"/>
  <c r="E25" i="70"/>
  <c r="E24" i="70"/>
  <c r="E23" i="70"/>
  <c r="E22" i="70"/>
  <c r="C17" i="70"/>
  <c r="C6" i="70"/>
  <c r="E26" i="70" l="1"/>
  <c r="H36" i="49" l="1"/>
  <c r="H35" i="49"/>
  <c r="H34" i="49"/>
  <c r="U33" i="49"/>
  <c r="Q33" i="49"/>
  <c r="W32" i="49"/>
  <c r="R32" i="49"/>
  <c r="M32" i="49"/>
  <c r="W31" i="49"/>
  <c r="R31" i="49"/>
  <c r="M31" i="49"/>
  <c r="W30" i="49"/>
  <c r="R30" i="49"/>
  <c r="M30" i="49"/>
  <c r="W29" i="49"/>
  <c r="R29" i="49"/>
  <c r="M29" i="49"/>
  <c r="W28" i="49"/>
  <c r="R28" i="49"/>
  <c r="M28" i="49"/>
  <c r="W27" i="49"/>
  <c r="R27" i="49"/>
  <c r="M27" i="49"/>
  <c r="W26" i="49"/>
  <c r="R26" i="49"/>
  <c r="M26" i="49"/>
  <c r="W25" i="49"/>
  <c r="R25" i="49"/>
  <c r="M25" i="49"/>
  <c r="W24" i="49"/>
  <c r="R24" i="49"/>
  <c r="M24" i="49"/>
  <c r="W23" i="49"/>
  <c r="R23" i="49"/>
  <c r="M23" i="49"/>
  <c r="W22" i="49"/>
  <c r="R22" i="49"/>
  <c r="M22" i="49"/>
  <c r="W21" i="49"/>
  <c r="R21" i="49"/>
  <c r="M21" i="49"/>
  <c r="W20" i="49"/>
  <c r="R20" i="49"/>
  <c r="M20" i="49"/>
  <c r="W19" i="49"/>
  <c r="R19" i="49"/>
  <c r="M19" i="49"/>
  <c r="W18" i="49"/>
  <c r="R18" i="49"/>
  <c r="M18" i="49"/>
  <c r="W17" i="49"/>
  <c r="R17" i="49"/>
  <c r="M17" i="49"/>
  <c r="W16" i="49"/>
  <c r="R16" i="49"/>
  <c r="M16" i="49"/>
  <c r="W15" i="49"/>
  <c r="R15" i="49"/>
  <c r="M15" i="49"/>
  <c r="W14" i="49"/>
  <c r="R14" i="49"/>
  <c r="M14" i="49"/>
  <c r="W13" i="49"/>
  <c r="R13" i="49"/>
  <c r="M13" i="49"/>
  <c r="W12" i="49"/>
  <c r="R12" i="49"/>
  <c r="M12" i="49"/>
  <c r="X11" i="49"/>
  <c r="W11" i="49"/>
  <c r="V11" i="49"/>
  <c r="U11" i="49"/>
  <c r="T11" i="49"/>
  <c r="S11" i="49"/>
  <c r="Q11" i="49"/>
  <c r="R11" i="49" s="1"/>
  <c r="P11" i="49"/>
  <c r="O11" i="49"/>
  <c r="N11" i="49"/>
  <c r="L11" i="49"/>
  <c r="M11" i="49" s="1"/>
  <c r="K11" i="49"/>
  <c r="J11" i="49"/>
  <c r="W10" i="49"/>
  <c r="R10" i="49"/>
  <c r="M10" i="49"/>
  <c r="W9" i="49"/>
  <c r="R9" i="49"/>
  <c r="M9" i="49"/>
  <c r="W8" i="49"/>
  <c r="R8" i="49"/>
  <c r="M8" i="49"/>
  <c r="W7" i="49"/>
  <c r="R7" i="49"/>
  <c r="M7" i="49"/>
  <c r="X6" i="49"/>
  <c r="X33" i="49" s="1"/>
  <c r="V6" i="49"/>
  <c r="V33" i="49" s="1"/>
  <c r="W33" i="49" s="1"/>
  <c r="U6" i="49"/>
  <c r="T6" i="49"/>
  <c r="T33" i="49" s="1"/>
  <c r="S6" i="49"/>
  <c r="S33" i="49" s="1"/>
  <c r="R6" i="49"/>
  <c r="Q6" i="49"/>
  <c r="P6" i="49"/>
  <c r="P33" i="49" s="1"/>
  <c r="O6" i="49"/>
  <c r="O33" i="49" s="1"/>
  <c r="N6" i="49"/>
  <c r="N33" i="49" s="1"/>
  <c r="L6" i="49"/>
  <c r="L33" i="49" s="1"/>
  <c r="K6" i="49"/>
  <c r="K33" i="49" s="1"/>
  <c r="J6" i="49"/>
  <c r="J33" i="49" s="1"/>
  <c r="R33" i="49" l="1"/>
  <c r="M33" i="49"/>
  <c r="W6" i="49"/>
  <c r="M6" i="49"/>
  <c r="E75" i="69" l="1"/>
  <c r="D75" i="69"/>
  <c r="E66" i="69"/>
  <c r="D66" i="69"/>
  <c r="B48" i="69"/>
  <c r="A48" i="69"/>
  <c r="B38" i="69"/>
  <c r="B32" i="69"/>
  <c r="D26" i="69"/>
  <c r="C26" i="69"/>
  <c r="B26" i="69"/>
  <c r="E25" i="69"/>
  <c r="E24" i="69"/>
  <c r="E23" i="69"/>
  <c r="E22" i="69"/>
  <c r="C17" i="69"/>
  <c r="C6" i="69"/>
  <c r="E26" i="69" l="1"/>
  <c r="E116" i="68" l="1"/>
  <c r="D116" i="68"/>
  <c r="G112" i="68"/>
  <c r="G107" i="68"/>
  <c r="E101" i="68"/>
  <c r="G82" i="68"/>
  <c r="G79" i="68"/>
  <c r="D74" i="68"/>
  <c r="D102" i="68" s="1"/>
  <c r="E71" i="68"/>
  <c r="E102" i="68" s="1"/>
  <c r="B46" i="68"/>
  <c r="A46" i="68"/>
  <c r="B38" i="68"/>
  <c r="B32" i="68"/>
  <c r="D26" i="68"/>
  <c r="C26" i="68"/>
  <c r="B26" i="68"/>
  <c r="E25" i="68"/>
  <c r="E24" i="68"/>
  <c r="E23" i="68"/>
  <c r="E22" i="68"/>
  <c r="C17" i="68"/>
  <c r="C6" i="68"/>
  <c r="E26" i="68" l="1"/>
  <c r="I33" i="42"/>
  <c r="I32" i="42"/>
  <c r="G32" i="42"/>
  <c r="H32" i="42" s="1"/>
  <c r="F32" i="42"/>
  <c r="E32" i="42"/>
  <c r="I31" i="42"/>
  <c r="H31" i="42"/>
  <c r="G31" i="42"/>
  <c r="F31" i="42"/>
  <c r="E31" i="42"/>
  <c r="I30" i="42"/>
  <c r="G30" i="42"/>
  <c r="H30" i="42" s="1"/>
  <c r="F30" i="42"/>
  <c r="E30" i="42"/>
  <c r="I29" i="42"/>
  <c r="G29" i="42"/>
  <c r="H29" i="42" s="1"/>
  <c r="F29" i="42"/>
  <c r="E29" i="42"/>
  <c r="I28" i="42"/>
  <c r="G28" i="42"/>
  <c r="H28" i="42" s="1"/>
  <c r="F28" i="42"/>
  <c r="E28" i="42"/>
  <c r="I27" i="42"/>
  <c r="H27" i="42"/>
  <c r="G27" i="42"/>
  <c r="F27" i="42"/>
  <c r="E27" i="42"/>
  <c r="I26" i="42"/>
  <c r="G26" i="42"/>
  <c r="H26" i="42" s="1"/>
  <c r="F26" i="42"/>
  <c r="E26" i="42"/>
  <c r="I25" i="42"/>
  <c r="G25" i="42"/>
  <c r="H25" i="42" s="1"/>
  <c r="F25" i="42"/>
  <c r="E25" i="42"/>
  <c r="I24" i="42"/>
  <c r="G24" i="42"/>
  <c r="H24" i="42" s="1"/>
  <c r="F24" i="42"/>
  <c r="E24" i="42"/>
  <c r="I23" i="42"/>
  <c r="H23" i="42"/>
  <c r="G23" i="42"/>
  <c r="F23" i="42"/>
  <c r="E23" i="42"/>
  <c r="I22" i="42"/>
  <c r="G22" i="42"/>
  <c r="H22" i="42" s="1"/>
  <c r="F22" i="42"/>
  <c r="E22" i="42"/>
  <c r="I21" i="42"/>
  <c r="G21" i="42"/>
  <c r="H21" i="42" s="1"/>
  <c r="F21" i="42"/>
  <c r="E21" i="42"/>
  <c r="I20" i="42"/>
  <c r="G20" i="42"/>
  <c r="H20" i="42" s="1"/>
  <c r="F20" i="42"/>
  <c r="E20" i="42"/>
  <c r="I19" i="42"/>
  <c r="H19" i="42"/>
  <c r="G19" i="42"/>
  <c r="F19" i="42"/>
  <c r="E19" i="42"/>
  <c r="I18" i="42"/>
  <c r="G18" i="42"/>
  <c r="H18" i="42" s="1"/>
  <c r="F18" i="42"/>
  <c r="E18" i="42"/>
  <c r="I17" i="42"/>
  <c r="G17" i="42"/>
  <c r="H17" i="42" s="1"/>
  <c r="F17" i="42"/>
  <c r="E17" i="42"/>
  <c r="I16" i="42"/>
  <c r="G16" i="42"/>
  <c r="H16" i="42" s="1"/>
  <c r="F16" i="42"/>
  <c r="E16" i="42"/>
  <c r="I15" i="42"/>
  <c r="H15" i="42"/>
  <c r="G15" i="42"/>
  <c r="F15" i="42"/>
  <c r="E15" i="42"/>
  <c r="I14" i="42"/>
  <c r="I11" i="42" s="1"/>
  <c r="G14" i="42"/>
  <c r="H14" i="42" s="1"/>
  <c r="F14" i="42"/>
  <c r="E14" i="42"/>
  <c r="E11" i="42" s="1"/>
  <c r="I13" i="42"/>
  <c r="G13" i="42"/>
  <c r="H13" i="42" s="1"/>
  <c r="F13" i="42"/>
  <c r="F11" i="42" s="1"/>
  <c r="E13" i="42"/>
  <c r="I12" i="42"/>
  <c r="G12" i="42"/>
  <c r="G11" i="42" s="1"/>
  <c r="H11" i="42" s="1"/>
  <c r="F12" i="42"/>
  <c r="E12" i="42"/>
  <c r="I10" i="42"/>
  <c r="G10" i="42"/>
  <c r="H10" i="42" s="1"/>
  <c r="F10" i="42"/>
  <c r="E10" i="42"/>
  <c r="I9" i="42"/>
  <c r="G9" i="42"/>
  <c r="H9" i="42" s="1"/>
  <c r="F9" i="42"/>
  <c r="F6" i="42" s="1"/>
  <c r="E9" i="42"/>
  <c r="I8" i="42"/>
  <c r="G8" i="42"/>
  <c r="G6" i="42" s="1"/>
  <c r="F8" i="42"/>
  <c r="E8" i="42"/>
  <c r="I7" i="42"/>
  <c r="H7" i="42"/>
  <c r="G7" i="42"/>
  <c r="F7" i="42"/>
  <c r="E7" i="42"/>
  <c r="I6" i="42"/>
  <c r="E6" i="42"/>
  <c r="E101" i="67"/>
  <c r="D101" i="67"/>
  <c r="E95" i="67"/>
  <c r="D95" i="67"/>
  <c r="A46" i="67"/>
  <c r="B38" i="67"/>
  <c r="B32" i="67"/>
  <c r="B46" i="67"/>
  <c r="D26" i="67"/>
  <c r="C26" i="67"/>
  <c r="B26" i="67"/>
  <c r="E25" i="67"/>
  <c r="E26" i="67" s="1"/>
  <c r="C17" i="67"/>
  <c r="C6" i="67"/>
  <c r="H6" i="42" l="1"/>
  <c r="G33" i="42"/>
  <c r="H8" i="42"/>
  <c r="H12" i="42"/>
  <c r="R8" i="42" l="1"/>
  <c r="R7" i="42"/>
  <c r="W9" i="42"/>
  <c r="W8" i="42"/>
  <c r="W32" i="42"/>
  <c r="W31" i="42"/>
  <c r="W30" i="42"/>
  <c r="W29" i="42"/>
  <c r="W28" i="42"/>
  <c r="W27" i="42"/>
  <c r="W26" i="42"/>
  <c r="W25" i="42"/>
  <c r="W24" i="42"/>
  <c r="W23" i="42"/>
  <c r="W22" i="42"/>
  <c r="W21" i="42"/>
  <c r="W20" i="42"/>
  <c r="W19" i="42"/>
  <c r="W18" i="42"/>
  <c r="W17" i="42"/>
  <c r="W16" i="42"/>
  <c r="W15" i="42"/>
  <c r="W14" i="42"/>
  <c r="W13" i="42"/>
  <c r="W12" i="42"/>
  <c r="R32" i="42"/>
  <c r="R31" i="42"/>
  <c r="R30" i="42"/>
  <c r="R29" i="42"/>
  <c r="R28" i="42"/>
  <c r="R27" i="42"/>
  <c r="R26" i="42"/>
  <c r="R25" i="42"/>
  <c r="R24" i="42"/>
  <c r="R23" i="42"/>
  <c r="R22" i="42"/>
  <c r="R21" i="42"/>
  <c r="R20" i="42"/>
  <c r="R19" i="42"/>
  <c r="R18" i="42"/>
  <c r="R17" i="42"/>
  <c r="R16" i="42"/>
  <c r="R15" i="42"/>
  <c r="R14" i="42"/>
  <c r="R13" i="42"/>
  <c r="M32" i="42"/>
  <c r="M31" i="42"/>
  <c r="M30" i="42"/>
  <c r="M29" i="42"/>
  <c r="M28" i="42"/>
  <c r="M27" i="42"/>
  <c r="M26" i="42"/>
  <c r="M25" i="42"/>
  <c r="M24" i="42"/>
  <c r="M23" i="42"/>
  <c r="M22" i="42"/>
  <c r="M21" i="42"/>
  <c r="M20" i="42"/>
  <c r="M19" i="42"/>
  <c r="M18" i="42"/>
  <c r="M17" i="42"/>
  <c r="M16" i="42"/>
  <c r="M14" i="42"/>
  <c r="M13" i="42"/>
  <c r="M12" i="42"/>
  <c r="W10" i="42"/>
  <c r="R10" i="42"/>
  <c r="R33" i="42"/>
  <c r="M33" i="42"/>
  <c r="M10" i="42"/>
  <c r="H36" i="42"/>
  <c r="H35" i="42"/>
  <c r="H34" i="42"/>
  <c r="U33" i="42"/>
  <c r="Q33" i="42"/>
  <c r="P33" i="42"/>
  <c r="L33" i="42"/>
  <c r="K33" i="42"/>
  <c r="M15" i="42"/>
  <c r="R12" i="42"/>
  <c r="X11" i="42"/>
  <c r="V11" i="42"/>
  <c r="W11" i="42" s="1"/>
  <c r="U11" i="42"/>
  <c r="T11" i="42"/>
  <c r="S11" i="42"/>
  <c r="R11" i="42"/>
  <c r="Q11" i="42"/>
  <c r="P11" i="42"/>
  <c r="O11" i="42"/>
  <c r="N11" i="42"/>
  <c r="L11" i="42"/>
  <c r="M11" i="42" s="1"/>
  <c r="K11" i="42"/>
  <c r="J11" i="42"/>
  <c r="R9" i="42"/>
  <c r="M9" i="42"/>
  <c r="M8" i="42"/>
  <c r="W7" i="42"/>
  <c r="M7" i="42"/>
  <c r="X6" i="42"/>
  <c r="X33" i="42" s="1"/>
  <c r="V6" i="42"/>
  <c r="V33" i="42" s="1"/>
  <c r="W33" i="42" s="1"/>
  <c r="U6" i="42"/>
  <c r="T6" i="42"/>
  <c r="T33" i="42" s="1"/>
  <c r="S6" i="42"/>
  <c r="S33" i="42" s="1"/>
  <c r="R6" i="42"/>
  <c r="Q6" i="42"/>
  <c r="P6" i="42"/>
  <c r="O6" i="42"/>
  <c r="O33" i="42" s="1"/>
  <c r="N6" i="42"/>
  <c r="N33" i="42" s="1"/>
  <c r="L6" i="42"/>
  <c r="M6" i="42" s="1"/>
  <c r="K6" i="42"/>
  <c r="J6" i="42"/>
  <c r="J33" i="42" s="1"/>
  <c r="W6" i="42" l="1"/>
  <c r="E95" i="66" l="1"/>
  <c r="D95" i="66"/>
  <c r="C6" i="66"/>
  <c r="E88" i="66"/>
  <c r="D88" i="66"/>
  <c r="B44" i="66"/>
  <c r="A44" i="66"/>
  <c r="B38" i="66"/>
  <c r="B32" i="66"/>
  <c r="D26" i="66"/>
  <c r="C26" i="66"/>
  <c r="B26" i="66"/>
  <c r="E25" i="66"/>
  <c r="E24" i="66"/>
  <c r="E23" i="66"/>
  <c r="C17" i="66"/>
  <c r="E26" i="66" l="1"/>
  <c r="A50" i="65" l="1"/>
  <c r="E76" i="65"/>
  <c r="D76" i="65"/>
  <c r="E70" i="65"/>
  <c r="D70" i="65"/>
  <c r="B50" i="65"/>
  <c r="B38" i="65"/>
  <c r="B32" i="65"/>
  <c r="D26" i="65"/>
  <c r="C26" i="65"/>
  <c r="B26" i="65"/>
  <c r="E25" i="65"/>
  <c r="E24" i="65"/>
  <c r="E23" i="65"/>
  <c r="E22" i="65"/>
  <c r="C17" i="65"/>
  <c r="C6" i="65"/>
  <c r="E26" i="65" l="1"/>
  <c r="C6" i="64" l="1"/>
  <c r="E64" i="64"/>
  <c r="D64" i="64"/>
  <c r="E58" i="64"/>
  <c r="D58" i="64"/>
  <c r="B48" i="64"/>
  <c r="A48" i="64"/>
  <c r="B38" i="64"/>
  <c r="B32" i="64"/>
  <c r="D26" i="64"/>
  <c r="C26" i="64"/>
  <c r="B26" i="64"/>
  <c r="E25" i="64"/>
  <c r="E24" i="64"/>
  <c r="E23" i="64"/>
  <c r="E22" i="64"/>
  <c r="C17" i="64"/>
  <c r="E26" i="64" l="1"/>
  <c r="A49" i="63" l="1"/>
  <c r="C6" i="63"/>
  <c r="E76" i="63"/>
  <c r="D76" i="63"/>
  <c r="E70" i="63"/>
  <c r="D70" i="63"/>
  <c r="B49" i="63"/>
  <c r="B38" i="63"/>
  <c r="B32" i="63"/>
  <c r="D26" i="63"/>
  <c r="C26" i="63"/>
  <c r="B26" i="63"/>
  <c r="E25" i="63"/>
  <c r="E24" i="63"/>
  <c r="E23" i="63"/>
  <c r="E26" i="63" s="1"/>
  <c r="C17" i="63"/>
  <c r="W33" i="46" l="1"/>
  <c r="W11" i="46"/>
  <c r="W10" i="46"/>
  <c r="R33" i="46"/>
  <c r="R10" i="46"/>
  <c r="M33" i="46"/>
  <c r="W32" i="46"/>
  <c r="W31" i="46"/>
  <c r="W30" i="46"/>
  <c r="W29" i="46"/>
  <c r="W28" i="46"/>
  <c r="W27" i="46"/>
  <c r="W26" i="46"/>
  <c r="W25" i="46"/>
  <c r="W24" i="46"/>
  <c r="W23" i="46"/>
  <c r="W22" i="46"/>
  <c r="W21" i="46"/>
  <c r="W20" i="46"/>
  <c r="W19" i="46"/>
  <c r="W18" i="46"/>
  <c r="W17" i="46"/>
  <c r="W16" i="46"/>
  <c r="W15" i="46"/>
  <c r="W14" i="46"/>
  <c r="W13" i="46"/>
  <c r="W12" i="46"/>
  <c r="W9" i="46"/>
  <c r="W8" i="46"/>
  <c r="W7" i="46"/>
  <c r="R32" i="46"/>
  <c r="R31" i="46"/>
  <c r="R30" i="46"/>
  <c r="R29" i="46"/>
  <c r="R28" i="46"/>
  <c r="R27" i="46"/>
  <c r="R26" i="46"/>
  <c r="R25" i="46"/>
  <c r="R24" i="46"/>
  <c r="R23" i="46"/>
  <c r="R22" i="46"/>
  <c r="R21" i="46"/>
  <c r="R20" i="46"/>
  <c r="R19" i="46"/>
  <c r="R18" i="46"/>
  <c r="R17" i="46"/>
  <c r="R16" i="46"/>
  <c r="R15" i="46"/>
  <c r="R14" i="46"/>
  <c r="R13" i="46"/>
  <c r="R12" i="46"/>
  <c r="R9" i="46"/>
  <c r="R8" i="46"/>
  <c r="R7" i="46"/>
  <c r="M32" i="46"/>
  <c r="M31" i="46"/>
  <c r="M30" i="46"/>
  <c r="M29" i="46"/>
  <c r="M28" i="46"/>
  <c r="M27" i="46"/>
  <c r="M26" i="46"/>
  <c r="M25" i="46"/>
  <c r="M24" i="46"/>
  <c r="M23" i="46"/>
  <c r="M22" i="46"/>
  <c r="M21" i="46"/>
  <c r="M20" i="46"/>
  <c r="M19" i="46"/>
  <c r="M18" i="46"/>
  <c r="M17" i="46"/>
  <c r="M16" i="46"/>
  <c r="M15" i="46"/>
  <c r="M14" i="46"/>
  <c r="M13" i="46"/>
  <c r="H36" i="46"/>
  <c r="H35" i="46"/>
  <c r="H34" i="46"/>
  <c r="O33" i="46"/>
  <c r="K33" i="46"/>
  <c r="J33" i="46"/>
  <c r="M12" i="46"/>
  <c r="X11" i="46"/>
  <c r="V11" i="46"/>
  <c r="U11" i="46"/>
  <c r="T11" i="46"/>
  <c r="S11" i="46"/>
  <c r="Q11" i="46"/>
  <c r="R11" i="46" s="1"/>
  <c r="P11" i="46"/>
  <c r="O11" i="46"/>
  <c r="N11" i="46"/>
  <c r="L11" i="46"/>
  <c r="M11" i="46" s="1"/>
  <c r="K11" i="46"/>
  <c r="J11" i="46"/>
  <c r="M10" i="46"/>
  <c r="M9" i="46"/>
  <c r="M8" i="46"/>
  <c r="M7" i="46"/>
  <c r="X6" i="46"/>
  <c r="X33" i="46" s="1"/>
  <c r="V6" i="46"/>
  <c r="V33" i="46" s="1"/>
  <c r="U6" i="46"/>
  <c r="U33" i="46" s="1"/>
  <c r="T6" i="46"/>
  <c r="T33" i="46" s="1"/>
  <c r="S6" i="46"/>
  <c r="S33" i="46" s="1"/>
  <c r="Q6" i="46"/>
  <c r="Q33" i="46" s="1"/>
  <c r="P6" i="46"/>
  <c r="P33" i="46" s="1"/>
  <c r="O6" i="46"/>
  <c r="N6" i="46"/>
  <c r="N33" i="46" s="1"/>
  <c r="L6" i="46"/>
  <c r="K6" i="46"/>
  <c r="J6" i="46"/>
  <c r="L33" i="46" l="1"/>
  <c r="M6" i="46"/>
  <c r="R6" i="46"/>
  <c r="W10" i="44" l="1"/>
  <c r="R33" i="44"/>
  <c r="R10" i="44"/>
  <c r="M33" i="44"/>
  <c r="M10" i="44"/>
  <c r="R9" i="44"/>
  <c r="R8" i="44"/>
  <c r="R7" i="44"/>
  <c r="W9" i="44"/>
  <c r="W8" i="44"/>
  <c r="W7" i="44"/>
  <c r="W32" i="44"/>
  <c r="W31" i="44"/>
  <c r="W30" i="44"/>
  <c r="W29" i="44"/>
  <c r="W28" i="44"/>
  <c r="W27" i="44"/>
  <c r="W26" i="44"/>
  <c r="W25" i="44"/>
  <c r="W24" i="44"/>
  <c r="W23" i="44"/>
  <c r="W22" i="44"/>
  <c r="W21" i="44"/>
  <c r="W20" i="44"/>
  <c r="W19" i="44"/>
  <c r="W18" i="44"/>
  <c r="W17" i="44"/>
  <c r="W16" i="44"/>
  <c r="W14" i="44"/>
  <c r="W13" i="44"/>
  <c r="W12" i="44"/>
  <c r="R32" i="44"/>
  <c r="R31" i="44"/>
  <c r="R30" i="44"/>
  <c r="R29" i="44"/>
  <c r="R28" i="44"/>
  <c r="R27" i="44"/>
  <c r="R26" i="44"/>
  <c r="R25" i="44"/>
  <c r="R24" i="44"/>
  <c r="R23" i="44"/>
  <c r="R22" i="44"/>
  <c r="R21" i="44"/>
  <c r="R20" i="44"/>
  <c r="R18" i="44"/>
  <c r="R17" i="44"/>
  <c r="R16" i="44"/>
  <c r="R15" i="44"/>
  <c r="R14" i="44"/>
  <c r="R13" i="44"/>
  <c r="R12" i="44"/>
  <c r="M32" i="44"/>
  <c r="M31" i="44"/>
  <c r="M30" i="44"/>
  <c r="M29" i="44"/>
  <c r="M28" i="44"/>
  <c r="M27" i="44"/>
  <c r="M26" i="44"/>
  <c r="M25" i="44"/>
  <c r="M24" i="44"/>
  <c r="M23" i="44"/>
  <c r="M22" i="44"/>
  <c r="M21" i="44"/>
  <c r="M20" i="44"/>
  <c r="M19" i="44"/>
  <c r="M18" i="44"/>
  <c r="M17" i="44"/>
  <c r="M16" i="44"/>
  <c r="M14" i="44"/>
  <c r="M13" i="44"/>
  <c r="M12" i="44"/>
  <c r="U33" i="44"/>
  <c r="Q33" i="44"/>
  <c r="P33" i="44"/>
  <c r="R19" i="44"/>
  <c r="W15" i="44"/>
  <c r="M15" i="44"/>
  <c r="X11" i="44"/>
  <c r="V11" i="44"/>
  <c r="W11" i="44" s="1"/>
  <c r="U11" i="44"/>
  <c r="T11" i="44"/>
  <c r="S11" i="44"/>
  <c r="R11" i="44"/>
  <c r="Q11" i="44"/>
  <c r="P11" i="44"/>
  <c r="O11" i="44"/>
  <c r="N11" i="44"/>
  <c r="L11" i="44"/>
  <c r="K11" i="44"/>
  <c r="K33" i="44" s="1"/>
  <c r="J11" i="44"/>
  <c r="M9" i="44"/>
  <c r="M8" i="44"/>
  <c r="M7" i="44"/>
  <c r="X6" i="44"/>
  <c r="X33" i="44" s="1"/>
  <c r="V6" i="44"/>
  <c r="V33" i="44" s="1"/>
  <c r="W33" i="44" s="1"/>
  <c r="U6" i="44"/>
  <c r="T6" i="44"/>
  <c r="T33" i="44" s="1"/>
  <c r="S6" i="44"/>
  <c r="S33" i="44" s="1"/>
  <c r="R6" i="44"/>
  <c r="Q6" i="44"/>
  <c r="P6" i="44"/>
  <c r="O6" i="44"/>
  <c r="O33" i="44" s="1"/>
  <c r="N6" i="44"/>
  <c r="L6" i="44"/>
  <c r="M6" i="44" s="1"/>
  <c r="K6" i="44"/>
  <c r="J6" i="44"/>
  <c r="N33" i="44" l="1"/>
  <c r="J33" i="44"/>
  <c r="M11" i="44"/>
  <c r="L33" i="44"/>
  <c r="W6" i="44"/>
  <c r="V33" i="54" l="1"/>
  <c r="N33" i="54"/>
  <c r="J33" i="54"/>
  <c r="W32" i="54"/>
  <c r="R32" i="54"/>
  <c r="M32" i="54"/>
  <c r="W31" i="54"/>
  <c r="R31" i="54"/>
  <c r="M31" i="54"/>
  <c r="W30" i="54"/>
  <c r="R30" i="54"/>
  <c r="M30" i="54"/>
  <c r="W29" i="54"/>
  <c r="R29" i="54"/>
  <c r="M29" i="54"/>
  <c r="W28" i="54"/>
  <c r="R28" i="54"/>
  <c r="M28" i="54"/>
  <c r="W27" i="54"/>
  <c r="R27" i="54"/>
  <c r="M27" i="54"/>
  <c r="W26" i="54"/>
  <c r="R26" i="54"/>
  <c r="M26" i="54"/>
  <c r="W25" i="54"/>
  <c r="R25" i="54"/>
  <c r="M25" i="54"/>
  <c r="W24" i="54"/>
  <c r="R24" i="54"/>
  <c r="M24" i="54"/>
  <c r="W23" i="54"/>
  <c r="R23" i="54"/>
  <c r="M23" i="54"/>
  <c r="W22" i="54"/>
  <c r="R22" i="54"/>
  <c r="M22" i="54"/>
  <c r="W21" i="54"/>
  <c r="R21" i="54"/>
  <c r="M21" i="54"/>
  <c r="W20" i="54"/>
  <c r="R20" i="54"/>
  <c r="M20" i="54"/>
  <c r="W19" i="54"/>
  <c r="R19" i="54"/>
  <c r="M19" i="54"/>
  <c r="W18" i="54"/>
  <c r="R18" i="54"/>
  <c r="M18" i="54"/>
  <c r="W17" i="54"/>
  <c r="R17" i="54"/>
  <c r="M17" i="54"/>
  <c r="W16" i="54"/>
  <c r="R16" i="54"/>
  <c r="M16" i="54"/>
  <c r="W15" i="54"/>
  <c r="R15" i="54"/>
  <c r="M15" i="54"/>
  <c r="W14" i="54"/>
  <c r="R14" i="54"/>
  <c r="M14" i="54"/>
  <c r="W13" i="54"/>
  <c r="R13" i="54"/>
  <c r="M13" i="54"/>
  <c r="W12" i="54"/>
  <c r="R12" i="54"/>
  <c r="M12" i="54"/>
  <c r="X11" i="54"/>
  <c r="V11" i="54"/>
  <c r="W11" i="54" s="1"/>
  <c r="U11" i="54"/>
  <c r="T11" i="54"/>
  <c r="S11" i="54"/>
  <c r="Q11" i="54"/>
  <c r="R11" i="54" s="1"/>
  <c r="P11" i="54"/>
  <c r="O11" i="54"/>
  <c r="N11" i="54"/>
  <c r="L11" i="54"/>
  <c r="M11" i="54" s="1"/>
  <c r="K11" i="54"/>
  <c r="J11" i="54"/>
  <c r="W10" i="54"/>
  <c r="R10" i="54"/>
  <c r="M10" i="54"/>
  <c r="W9" i="54"/>
  <c r="R9" i="54"/>
  <c r="M9" i="54"/>
  <c r="W8" i="54"/>
  <c r="R8" i="54"/>
  <c r="M8" i="54"/>
  <c r="W7" i="54"/>
  <c r="R7" i="54"/>
  <c r="M7" i="54"/>
  <c r="X6" i="54"/>
  <c r="W6" i="54"/>
  <c r="V6" i="54"/>
  <c r="U6" i="54"/>
  <c r="U33" i="54" s="1"/>
  <c r="T6" i="54"/>
  <c r="T33" i="54" s="1"/>
  <c r="S6" i="54"/>
  <c r="S33" i="54" s="1"/>
  <c r="Q6" i="54"/>
  <c r="Q33" i="54" s="1"/>
  <c r="P6" i="54"/>
  <c r="P33" i="54" s="1"/>
  <c r="O6" i="54"/>
  <c r="O33" i="54" s="1"/>
  <c r="N6" i="54"/>
  <c r="L6" i="54"/>
  <c r="L33" i="54" s="1"/>
  <c r="K6" i="54"/>
  <c r="K33" i="54" s="1"/>
  <c r="J6" i="54"/>
  <c r="X33" i="54" l="1"/>
  <c r="M33" i="54"/>
  <c r="R33" i="54"/>
  <c r="W33" i="54"/>
  <c r="M6" i="54"/>
  <c r="R6" i="54"/>
  <c r="H36" i="43"/>
  <c r="H35" i="43"/>
  <c r="H34" i="43"/>
  <c r="W32" i="43"/>
  <c r="R32" i="43"/>
  <c r="M32" i="43"/>
  <c r="W31" i="43"/>
  <c r="R31" i="43"/>
  <c r="M31" i="43"/>
  <c r="W30" i="43"/>
  <c r="R30" i="43"/>
  <c r="M30" i="43"/>
  <c r="W29" i="43"/>
  <c r="R29" i="43"/>
  <c r="M29" i="43"/>
  <c r="W28" i="43"/>
  <c r="R28" i="43"/>
  <c r="M28" i="43"/>
  <c r="W27" i="43"/>
  <c r="R27" i="43"/>
  <c r="W26" i="43"/>
  <c r="R26" i="43"/>
  <c r="M26" i="43"/>
  <c r="W25" i="43"/>
  <c r="R25" i="43"/>
  <c r="W24" i="43"/>
  <c r="R24" i="43"/>
  <c r="M24" i="43"/>
  <c r="W23" i="43"/>
  <c r="R23" i="43"/>
  <c r="M23" i="43"/>
  <c r="W22" i="43"/>
  <c r="R22" i="43"/>
  <c r="M22" i="43"/>
  <c r="W21" i="43"/>
  <c r="R21" i="43"/>
  <c r="M21" i="43"/>
  <c r="W20" i="43"/>
  <c r="R20" i="43"/>
  <c r="M20" i="43"/>
  <c r="W19" i="43"/>
  <c r="R19" i="43"/>
  <c r="M19" i="43"/>
  <c r="W18" i="43"/>
  <c r="R18" i="43"/>
  <c r="M18" i="43"/>
  <c r="W17" i="43"/>
  <c r="R17" i="43"/>
  <c r="M17" i="43"/>
  <c r="W16" i="43"/>
  <c r="R16" i="43"/>
  <c r="M16" i="43"/>
  <c r="W15" i="43"/>
  <c r="R15" i="43"/>
  <c r="M15" i="43"/>
  <c r="W14" i="43"/>
  <c r="R14" i="43"/>
  <c r="M14" i="43"/>
  <c r="W13" i="43"/>
  <c r="R13" i="43"/>
  <c r="M13" i="43"/>
  <c r="W12" i="43"/>
  <c r="R12" i="43"/>
  <c r="M12" i="43"/>
  <c r="U11" i="43"/>
  <c r="W11" i="43" s="1"/>
  <c r="T11" i="43"/>
  <c r="P11" i="43"/>
  <c r="R11" i="43" s="1"/>
  <c r="O11" i="43"/>
  <c r="L11" i="43"/>
  <c r="K11" i="43"/>
  <c r="W10" i="43"/>
  <c r="R10" i="43"/>
  <c r="M10" i="43"/>
  <c r="W9" i="43"/>
  <c r="R9" i="43"/>
  <c r="M9" i="43"/>
  <c r="W8" i="43"/>
  <c r="R8" i="43"/>
  <c r="M8" i="43"/>
  <c r="W7" i="43"/>
  <c r="R7" i="43"/>
  <c r="M7" i="43"/>
  <c r="W6" i="43"/>
  <c r="R6" i="43"/>
  <c r="L6" i="43"/>
  <c r="K6" i="43"/>
  <c r="M11" i="43" l="1"/>
  <c r="M6" i="43"/>
  <c r="H36" i="45" l="1"/>
  <c r="H35" i="45"/>
  <c r="H34" i="45"/>
  <c r="W32" i="45"/>
  <c r="R32" i="45"/>
  <c r="M32" i="45"/>
  <c r="W31" i="45"/>
  <c r="R31" i="45"/>
  <c r="M31" i="45"/>
  <c r="W30" i="45"/>
  <c r="R30" i="45"/>
  <c r="M30" i="45"/>
  <c r="W29" i="45"/>
  <c r="R29" i="45"/>
  <c r="M29" i="45"/>
  <c r="W28" i="45"/>
  <c r="R28" i="45"/>
  <c r="M28" i="45"/>
  <c r="W27" i="45"/>
  <c r="R27" i="45"/>
  <c r="M27" i="45"/>
  <c r="W26" i="45"/>
  <c r="R26" i="45"/>
  <c r="M26" i="45"/>
  <c r="W25" i="45"/>
  <c r="R25" i="45"/>
  <c r="M25" i="45"/>
  <c r="W24" i="45"/>
  <c r="R24" i="45"/>
  <c r="M24" i="45"/>
  <c r="W23" i="45"/>
  <c r="R23" i="45"/>
  <c r="M23" i="45"/>
  <c r="W22" i="45"/>
  <c r="R22" i="45"/>
  <c r="M22" i="45"/>
  <c r="W21" i="45"/>
  <c r="R21" i="45"/>
  <c r="M21" i="45"/>
  <c r="W20" i="45"/>
  <c r="R20" i="45"/>
  <c r="M20" i="45"/>
  <c r="W19" i="45"/>
  <c r="R19" i="45"/>
  <c r="M19" i="45"/>
  <c r="W18" i="45"/>
  <c r="R18" i="45"/>
  <c r="M18" i="45"/>
  <c r="W17" i="45"/>
  <c r="R17" i="45"/>
  <c r="M17" i="45"/>
  <c r="W16" i="45"/>
  <c r="R16" i="45"/>
  <c r="M16" i="45"/>
  <c r="W15" i="45"/>
  <c r="R15" i="45"/>
  <c r="M15" i="45"/>
  <c r="W14" i="45"/>
  <c r="R14" i="45"/>
  <c r="M14" i="45"/>
  <c r="W13" i="45"/>
  <c r="R13" i="45"/>
  <c r="M13" i="45"/>
  <c r="W12" i="45"/>
  <c r="R12" i="45"/>
  <c r="M12" i="45"/>
  <c r="X11" i="45"/>
  <c r="W11" i="45"/>
  <c r="V11" i="45"/>
  <c r="U11" i="45"/>
  <c r="U33" i="45" s="1"/>
  <c r="T11" i="45"/>
  <c r="S11" i="45"/>
  <c r="Q11" i="45"/>
  <c r="P11" i="45"/>
  <c r="O11" i="45"/>
  <c r="N11" i="45"/>
  <c r="L11" i="45"/>
  <c r="K11" i="45"/>
  <c r="J11" i="45"/>
  <c r="W10" i="45"/>
  <c r="R10" i="45"/>
  <c r="M10" i="45"/>
  <c r="W9" i="45"/>
  <c r="R9" i="45"/>
  <c r="M9" i="45"/>
  <c r="W8" i="45"/>
  <c r="R8" i="45"/>
  <c r="M8" i="45"/>
  <c r="W7" i="45"/>
  <c r="R7" i="45"/>
  <c r="M7" i="45"/>
  <c r="X6" i="45"/>
  <c r="X33" i="45" s="1"/>
  <c r="V6" i="45"/>
  <c r="W6" i="45" s="1"/>
  <c r="U6" i="45"/>
  <c r="T6" i="45"/>
  <c r="T33" i="45" s="1"/>
  <c r="S6" i="45"/>
  <c r="R6" i="45"/>
  <c r="Q6" i="45"/>
  <c r="P6" i="45"/>
  <c r="P33" i="45" s="1"/>
  <c r="O6" i="45"/>
  <c r="N6" i="45"/>
  <c r="N33" i="45" s="1"/>
  <c r="L6" i="45"/>
  <c r="L33" i="45" s="1"/>
  <c r="K6" i="45"/>
  <c r="J6" i="45"/>
  <c r="S33" i="45" l="1"/>
  <c r="R11" i="45"/>
  <c r="O33" i="45"/>
  <c r="K33" i="45"/>
  <c r="M33" i="45"/>
  <c r="M11" i="45"/>
  <c r="J33" i="45"/>
  <c r="Q33" i="45"/>
  <c r="R33" i="45" s="1"/>
  <c r="V33" i="45"/>
  <c r="W33" i="45" s="1"/>
  <c r="M6" i="45"/>
  <c r="H36" i="50" l="1"/>
  <c r="H35" i="50"/>
  <c r="H34" i="50"/>
  <c r="W28" i="50"/>
  <c r="R28" i="50"/>
  <c r="M28" i="50"/>
  <c r="W27" i="50"/>
  <c r="R27" i="50"/>
  <c r="M27" i="50"/>
  <c r="W26" i="50"/>
  <c r="R26" i="50"/>
  <c r="M26" i="50"/>
  <c r="W29" i="50"/>
  <c r="R29" i="50"/>
  <c r="M29" i="50"/>
  <c r="W24" i="50"/>
  <c r="R24" i="50"/>
  <c r="M24" i="50"/>
  <c r="W23" i="50"/>
  <c r="R23" i="50"/>
  <c r="M23" i="50"/>
  <c r="W22" i="50"/>
  <c r="R22" i="50"/>
  <c r="M22" i="50"/>
  <c r="W21" i="50"/>
  <c r="R21" i="50"/>
  <c r="M21" i="50"/>
  <c r="W20" i="50"/>
  <c r="R20" i="50"/>
  <c r="M20" i="50"/>
  <c r="W19" i="50"/>
  <c r="R19" i="50"/>
  <c r="M19" i="50"/>
  <c r="W18" i="50"/>
  <c r="R18" i="50"/>
  <c r="M18" i="50"/>
  <c r="W17" i="50"/>
  <c r="R17" i="50"/>
  <c r="M17" i="50"/>
  <c r="W16" i="50"/>
  <c r="R16" i="50"/>
  <c r="M16" i="50"/>
  <c r="W15" i="50"/>
  <c r="R15" i="50"/>
  <c r="M15" i="50"/>
  <c r="W14" i="50"/>
  <c r="R14" i="50"/>
  <c r="M14" i="50"/>
  <c r="W13" i="50"/>
  <c r="R13" i="50"/>
  <c r="M13" i="50"/>
  <c r="W12" i="50"/>
  <c r="R12" i="50"/>
  <c r="M12" i="50"/>
  <c r="W10" i="50"/>
  <c r="R10" i="50"/>
  <c r="M10" i="50"/>
  <c r="W9" i="50"/>
  <c r="R9" i="50"/>
  <c r="M9" i="50"/>
  <c r="W8" i="50"/>
  <c r="R8" i="50"/>
  <c r="M8" i="50"/>
  <c r="W7" i="50"/>
  <c r="R7" i="50"/>
  <c r="M7" i="50"/>
  <c r="X6" i="50"/>
  <c r="W6" i="50"/>
  <c r="V6" i="50"/>
  <c r="U6" i="50"/>
  <c r="T6" i="50"/>
  <c r="S6" i="50"/>
  <c r="Q6" i="50"/>
  <c r="R6" i="50" s="1"/>
  <c r="P6" i="50"/>
  <c r="O6" i="50"/>
  <c r="N6" i="50"/>
  <c r="L6" i="50"/>
  <c r="M6" i="50" s="1"/>
  <c r="K6" i="50"/>
  <c r="J6" i="50"/>
  <c r="R11" i="50" l="1"/>
  <c r="W11" i="50"/>
  <c r="H36" i="57" l="1"/>
  <c r="H35" i="57"/>
  <c r="H34" i="57"/>
  <c r="W32" i="57"/>
  <c r="R32" i="57"/>
  <c r="M32" i="57"/>
  <c r="W31" i="57"/>
  <c r="R31" i="57"/>
  <c r="M31" i="57"/>
  <c r="W30" i="57"/>
  <c r="R30" i="57"/>
  <c r="M30" i="57"/>
  <c r="W29" i="57"/>
  <c r="R29" i="57"/>
  <c r="M29" i="57"/>
  <c r="W28" i="57"/>
  <c r="R28" i="57"/>
  <c r="M28" i="57"/>
  <c r="W27" i="57"/>
  <c r="R27" i="57"/>
  <c r="M27" i="57"/>
  <c r="W26" i="57"/>
  <c r="R26" i="57"/>
  <c r="M26" i="57"/>
  <c r="W25" i="57"/>
  <c r="R25" i="57"/>
  <c r="M25" i="57"/>
  <c r="W24" i="57"/>
  <c r="R24" i="57"/>
  <c r="M24" i="57"/>
  <c r="W23" i="57"/>
  <c r="R23" i="57"/>
  <c r="M23" i="57"/>
  <c r="W22" i="57"/>
  <c r="R22" i="57"/>
  <c r="M22" i="57"/>
  <c r="W21" i="57"/>
  <c r="R21" i="57"/>
  <c r="M21" i="57"/>
  <c r="W20" i="57"/>
  <c r="R20" i="57"/>
  <c r="M20" i="57"/>
  <c r="W19" i="57"/>
  <c r="R19" i="57"/>
  <c r="M19" i="57"/>
  <c r="W18" i="57"/>
  <c r="R18" i="57"/>
  <c r="M18" i="57"/>
  <c r="W17" i="57"/>
  <c r="R17" i="57"/>
  <c r="M17" i="57"/>
  <c r="W16" i="57"/>
  <c r="R16" i="57"/>
  <c r="M16" i="57"/>
  <c r="W15" i="57"/>
  <c r="R15" i="57"/>
  <c r="M15" i="57"/>
  <c r="W14" i="57"/>
  <c r="R14" i="57"/>
  <c r="M14" i="57"/>
  <c r="W13" i="57"/>
  <c r="R13" i="57"/>
  <c r="M13" i="57"/>
  <c r="W12" i="57"/>
  <c r="R12" i="57"/>
  <c r="M12" i="57"/>
  <c r="W10" i="57"/>
  <c r="R10" i="57"/>
  <c r="M10" i="57"/>
  <c r="W9" i="57"/>
  <c r="R9" i="57"/>
  <c r="M9" i="57"/>
  <c r="W8" i="57"/>
  <c r="R8" i="57"/>
  <c r="M8" i="57"/>
  <c r="W7" i="57"/>
  <c r="R7" i="57"/>
  <c r="M7" i="57"/>
  <c r="X6" i="57"/>
  <c r="X33" i="57" s="1"/>
  <c r="V6" i="57"/>
  <c r="V33" i="57" s="1"/>
  <c r="U6" i="57"/>
  <c r="U33" i="57" s="1"/>
  <c r="T6" i="57"/>
  <c r="T33" i="57" s="1"/>
  <c r="S6" i="57"/>
  <c r="S33" i="57" s="1"/>
  <c r="R6" i="57"/>
  <c r="Q6" i="57"/>
  <c r="Q33" i="57" s="1"/>
  <c r="P6" i="57"/>
  <c r="P33" i="57" s="1"/>
  <c r="O6" i="57"/>
  <c r="O33" i="57" s="1"/>
  <c r="N6" i="57"/>
  <c r="N33" i="57" s="1"/>
  <c r="L6" i="57"/>
  <c r="L33" i="57" s="1"/>
  <c r="K6" i="57"/>
  <c r="K33" i="57" s="1"/>
  <c r="J6" i="57"/>
  <c r="J33" i="57" s="1"/>
  <c r="M33" i="57" l="1"/>
  <c r="R33" i="57"/>
  <c r="W33" i="57"/>
  <c r="W6" i="57"/>
  <c r="M6" i="57"/>
  <c r="H36" i="61" l="1"/>
  <c r="H35" i="61"/>
  <c r="H34" i="61"/>
  <c r="V33" i="61"/>
  <c r="N33" i="61"/>
  <c r="J33" i="61"/>
  <c r="W32" i="61"/>
  <c r="R32" i="61"/>
  <c r="M32" i="61"/>
  <c r="W31" i="61"/>
  <c r="R31" i="61"/>
  <c r="M31" i="61"/>
  <c r="W30" i="61"/>
  <c r="R30" i="61"/>
  <c r="M30" i="61"/>
  <c r="W29" i="61"/>
  <c r="R29" i="61"/>
  <c r="M29" i="61"/>
  <c r="W28" i="61"/>
  <c r="R28" i="61"/>
  <c r="M28" i="61"/>
  <c r="W27" i="61"/>
  <c r="R27" i="61"/>
  <c r="M27" i="61"/>
  <c r="W26" i="61"/>
  <c r="R26" i="61"/>
  <c r="M26" i="61"/>
  <c r="W25" i="61"/>
  <c r="R25" i="61"/>
  <c r="M25" i="61"/>
  <c r="W24" i="61"/>
  <c r="R24" i="61"/>
  <c r="M24" i="61"/>
  <c r="W23" i="61"/>
  <c r="R23" i="61"/>
  <c r="M23" i="61"/>
  <c r="W22" i="61"/>
  <c r="R22" i="61"/>
  <c r="M22" i="61"/>
  <c r="W21" i="61"/>
  <c r="R21" i="61"/>
  <c r="M21" i="61"/>
  <c r="W20" i="61"/>
  <c r="R20" i="61"/>
  <c r="M20" i="61"/>
  <c r="W19" i="61"/>
  <c r="R19" i="61"/>
  <c r="M19" i="61"/>
  <c r="W18" i="61"/>
  <c r="R18" i="61"/>
  <c r="M18" i="61"/>
  <c r="W17" i="61"/>
  <c r="R17" i="61"/>
  <c r="M17" i="61"/>
  <c r="W16" i="61"/>
  <c r="R16" i="61"/>
  <c r="M16" i="61"/>
  <c r="W15" i="61"/>
  <c r="R15" i="61"/>
  <c r="M15" i="61"/>
  <c r="W14" i="61"/>
  <c r="R14" i="61"/>
  <c r="M14" i="61"/>
  <c r="W13" i="61"/>
  <c r="R13" i="61"/>
  <c r="M13" i="61"/>
  <c r="W12" i="61"/>
  <c r="R12" i="61"/>
  <c r="M12" i="61"/>
  <c r="X11" i="61"/>
  <c r="V11" i="61"/>
  <c r="W11" i="61" s="1"/>
  <c r="U11" i="61"/>
  <c r="T11" i="61"/>
  <c r="S11" i="61"/>
  <c r="Q11" i="61"/>
  <c r="R11" i="61" s="1"/>
  <c r="P11" i="61"/>
  <c r="O11" i="61"/>
  <c r="N11" i="61"/>
  <c r="L11" i="61"/>
  <c r="M11" i="61" s="1"/>
  <c r="K11" i="61"/>
  <c r="J11" i="61"/>
  <c r="W10" i="61"/>
  <c r="R10" i="61"/>
  <c r="M10" i="61"/>
  <c r="W9" i="61"/>
  <c r="R9" i="61"/>
  <c r="M9" i="61"/>
  <c r="W8" i="61"/>
  <c r="R8" i="61"/>
  <c r="M8" i="61"/>
  <c r="W7" i="61"/>
  <c r="R7" i="61"/>
  <c r="M7" i="61"/>
  <c r="X6" i="61"/>
  <c r="X33" i="61" s="1"/>
  <c r="W6" i="61"/>
  <c r="V6" i="61"/>
  <c r="U6" i="61"/>
  <c r="U33" i="61" s="1"/>
  <c r="T6" i="61"/>
  <c r="T33" i="61" s="1"/>
  <c r="S6" i="61"/>
  <c r="S33" i="61" s="1"/>
  <c r="Q6" i="61"/>
  <c r="Q33" i="61" s="1"/>
  <c r="P6" i="61"/>
  <c r="P33" i="61" s="1"/>
  <c r="O6" i="61"/>
  <c r="O33" i="61" s="1"/>
  <c r="N6" i="61"/>
  <c r="L6" i="61"/>
  <c r="K6" i="61"/>
  <c r="J6" i="61"/>
  <c r="L33" i="61" l="1"/>
  <c r="K33" i="61"/>
  <c r="M33" i="61"/>
  <c r="R33" i="61"/>
  <c r="W33" i="61"/>
  <c r="M6" i="61"/>
  <c r="R6" i="61"/>
  <c r="W32" i="56" l="1"/>
  <c r="R32" i="56"/>
  <c r="M32" i="56"/>
  <c r="W31" i="56"/>
  <c r="R31" i="56"/>
  <c r="M31" i="56"/>
  <c r="W30" i="56"/>
  <c r="R30" i="56"/>
  <c r="M30" i="56"/>
  <c r="W29" i="56"/>
  <c r="R29" i="56"/>
  <c r="M29" i="56"/>
  <c r="W28" i="56"/>
  <c r="R28" i="56"/>
  <c r="M28" i="56"/>
  <c r="W27" i="56"/>
  <c r="R27" i="56"/>
  <c r="M27" i="56"/>
  <c r="W26" i="56"/>
  <c r="R26" i="56"/>
  <c r="M26" i="56"/>
  <c r="W25" i="56"/>
  <c r="R25" i="56"/>
  <c r="M25" i="56"/>
  <c r="W24" i="56"/>
  <c r="R24" i="56"/>
  <c r="M24" i="56"/>
  <c r="W23" i="56"/>
  <c r="R23" i="56"/>
  <c r="M23" i="56"/>
  <c r="W22" i="56"/>
  <c r="R22" i="56"/>
  <c r="M22" i="56"/>
  <c r="W21" i="56"/>
  <c r="R21" i="56"/>
  <c r="M21" i="56"/>
  <c r="W20" i="56"/>
  <c r="P20" i="56"/>
  <c r="R20" i="56" s="1"/>
  <c r="M20" i="56"/>
  <c r="W19" i="56"/>
  <c r="P19" i="56"/>
  <c r="R19" i="56" s="1"/>
  <c r="M19" i="56"/>
  <c r="W18" i="56"/>
  <c r="R18" i="56"/>
  <c r="M18" i="56"/>
  <c r="W17" i="56"/>
  <c r="R17" i="56"/>
  <c r="M17" i="56"/>
  <c r="W16" i="56"/>
  <c r="R16" i="56"/>
  <c r="M16" i="56"/>
  <c r="W15" i="56"/>
  <c r="R15" i="56"/>
  <c r="M15" i="56"/>
  <c r="W14" i="56"/>
  <c r="R14" i="56"/>
  <c r="M14" i="56"/>
  <c r="W13" i="56"/>
  <c r="R13" i="56"/>
  <c r="M13" i="56"/>
  <c r="W12" i="56"/>
  <c r="P12" i="56"/>
  <c r="R12" i="56" s="1"/>
  <c r="M12" i="56"/>
  <c r="X11" i="56"/>
  <c r="V11" i="56"/>
  <c r="W11" i="56" s="1"/>
  <c r="U11" i="56"/>
  <c r="T11" i="56"/>
  <c r="S11" i="56"/>
  <c r="Q11" i="56"/>
  <c r="P11" i="56"/>
  <c r="O11" i="56"/>
  <c r="N11" i="56"/>
  <c r="L11" i="56"/>
  <c r="M11" i="56" s="1"/>
  <c r="K11" i="56"/>
  <c r="J11" i="56"/>
  <c r="W10" i="56"/>
  <c r="R10" i="56"/>
  <c r="M10" i="56"/>
  <c r="W9" i="56"/>
  <c r="P9" i="56"/>
  <c r="R9" i="56" s="1"/>
  <c r="M9" i="56"/>
  <c r="W8" i="56"/>
  <c r="R8" i="56"/>
  <c r="M8" i="56"/>
  <c r="W7" i="56"/>
  <c r="R7" i="56"/>
  <c r="M7" i="56"/>
  <c r="X6" i="56"/>
  <c r="X33" i="56" s="1"/>
  <c r="V6" i="56"/>
  <c r="V33" i="56" s="1"/>
  <c r="U6" i="56"/>
  <c r="U33" i="56" s="1"/>
  <c r="T6" i="56"/>
  <c r="T33" i="56" s="1"/>
  <c r="S6" i="56"/>
  <c r="S33" i="56" s="1"/>
  <c r="Q6" i="56"/>
  <c r="P6" i="56"/>
  <c r="P33" i="56" s="1"/>
  <c r="O6" i="56"/>
  <c r="O33" i="56" s="1"/>
  <c r="N6" i="56"/>
  <c r="N33" i="56" s="1"/>
  <c r="L6" i="56"/>
  <c r="K6" i="56"/>
  <c r="K33" i="56" s="1"/>
  <c r="J6" i="56"/>
  <c r="J33" i="56" s="1"/>
  <c r="Q33" i="56" l="1"/>
  <c r="R11" i="56"/>
  <c r="L33" i="56"/>
  <c r="M33" i="56"/>
  <c r="R33" i="56"/>
  <c r="W33" i="56"/>
  <c r="R6" i="56"/>
  <c r="W6" i="56"/>
  <c r="M6" i="56"/>
  <c r="W31" i="25" l="1"/>
  <c r="R31" i="25"/>
  <c r="M31" i="25"/>
  <c r="W30" i="25"/>
  <c r="R30" i="25"/>
  <c r="M30" i="25"/>
  <c r="W29" i="25"/>
  <c r="R29" i="25"/>
  <c r="M29" i="25"/>
  <c r="W28" i="25"/>
  <c r="R28" i="25"/>
  <c r="M28" i="25"/>
  <c r="W26" i="25"/>
  <c r="R26" i="25"/>
  <c r="M26" i="25"/>
  <c r="W25" i="25"/>
  <c r="R25" i="25"/>
  <c r="M25" i="25"/>
  <c r="W24" i="25"/>
  <c r="R24" i="25"/>
  <c r="M24" i="25"/>
  <c r="W23" i="25"/>
  <c r="R23" i="25"/>
  <c r="M23" i="25"/>
  <c r="W22" i="25"/>
  <c r="R22" i="25"/>
  <c r="M22" i="25"/>
  <c r="W21" i="25"/>
  <c r="R21" i="25"/>
  <c r="M21" i="25"/>
  <c r="V20" i="25"/>
  <c r="W20" i="25" s="1"/>
  <c r="R20" i="25"/>
  <c r="Q20" i="25"/>
  <c r="L20" i="25"/>
  <c r="M20" i="25" s="1"/>
  <c r="W19" i="25"/>
  <c r="R19" i="25"/>
  <c r="M19" i="25"/>
  <c r="W18" i="25"/>
  <c r="R18" i="25"/>
  <c r="M18" i="25"/>
  <c r="W17" i="25"/>
  <c r="R17" i="25"/>
  <c r="M17" i="25"/>
  <c r="W16" i="25"/>
  <c r="R16" i="25"/>
  <c r="M16" i="25"/>
  <c r="W15" i="25"/>
  <c r="R15" i="25"/>
  <c r="M15" i="25"/>
  <c r="W14" i="25"/>
  <c r="R14" i="25"/>
  <c r="M14" i="25"/>
  <c r="W13" i="25"/>
  <c r="R13" i="25"/>
  <c r="M13" i="25"/>
  <c r="W12" i="25"/>
  <c r="R12" i="25"/>
  <c r="M12" i="25"/>
  <c r="X11" i="25"/>
  <c r="U11" i="25"/>
  <c r="T11" i="25"/>
  <c r="S11" i="25"/>
  <c r="Q11" i="25"/>
  <c r="P11" i="25"/>
  <c r="O11" i="25"/>
  <c r="N11" i="25"/>
  <c r="L11" i="25"/>
  <c r="K11" i="25"/>
  <c r="J11" i="25"/>
  <c r="W10" i="25"/>
  <c r="R10" i="25"/>
  <c r="M10" i="25"/>
  <c r="W9" i="25"/>
  <c r="R9" i="25"/>
  <c r="M9" i="25"/>
  <c r="W8" i="25"/>
  <c r="R8" i="25"/>
  <c r="M8" i="25"/>
  <c r="W7" i="25"/>
  <c r="R7" i="25"/>
  <c r="L7" i="25"/>
  <c r="L6" i="25" s="1"/>
  <c r="M6" i="25" s="1"/>
  <c r="K7" i="25"/>
  <c r="K6" i="25" s="1"/>
  <c r="X6" i="25"/>
  <c r="V6" i="25"/>
  <c r="U6" i="25"/>
  <c r="T6" i="25"/>
  <c r="S6" i="25"/>
  <c r="Q6" i="25"/>
  <c r="R6" i="25" s="1"/>
  <c r="P6" i="25"/>
  <c r="O6" i="25"/>
  <c r="N6" i="25"/>
  <c r="J6" i="25"/>
  <c r="W6" i="25" l="1"/>
  <c r="M11" i="25"/>
  <c r="R11" i="25"/>
  <c r="M7" i="25"/>
  <c r="V11" i="25"/>
  <c r="W11" i="25" s="1"/>
  <c r="N11" i="52"/>
  <c r="H36" i="52"/>
  <c r="H35" i="52"/>
  <c r="H34" i="52"/>
  <c r="X33" i="52"/>
  <c r="T33" i="52"/>
  <c r="P33" i="52"/>
  <c r="N33" i="52"/>
  <c r="W32" i="52"/>
  <c r="R32" i="52"/>
  <c r="M32" i="52"/>
  <c r="W31" i="52"/>
  <c r="R31" i="52"/>
  <c r="M31" i="52"/>
  <c r="W30" i="52"/>
  <c r="R30" i="52"/>
  <c r="M30" i="52"/>
  <c r="W29" i="52"/>
  <c r="R29" i="52"/>
  <c r="M29" i="52"/>
  <c r="W28" i="52"/>
  <c r="R28" i="52"/>
  <c r="M28" i="52"/>
  <c r="W27" i="52"/>
  <c r="R27" i="52"/>
  <c r="M27" i="52"/>
  <c r="W26" i="52"/>
  <c r="R26" i="52"/>
  <c r="M26" i="52"/>
  <c r="W25" i="52"/>
  <c r="R25" i="52"/>
  <c r="M25" i="52"/>
  <c r="W24" i="52"/>
  <c r="R24" i="52"/>
  <c r="M24" i="52"/>
  <c r="W23" i="52"/>
  <c r="R23" i="52"/>
  <c r="M23" i="52"/>
  <c r="W22" i="52"/>
  <c r="R22" i="52"/>
  <c r="M22" i="52"/>
  <c r="W21" i="52"/>
  <c r="R21" i="52"/>
  <c r="M21" i="52"/>
  <c r="W20" i="52"/>
  <c r="R20" i="52"/>
  <c r="M20" i="52"/>
  <c r="W19" i="52"/>
  <c r="R19" i="52"/>
  <c r="M19" i="52"/>
  <c r="W18" i="52"/>
  <c r="R18" i="52"/>
  <c r="M18" i="52"/>
  <c r="W17" i="52"/>
  <c r="R17" i="52"/>
  <c r="M17" i="52"/>
  <c r="W16" i="52"/>
  <c r="R16" i="52"/>
  <c r="M16" i="52"/>
  <c r="W15" i="52"/>
  <c r="R15" i="52"/>
  <c r="M15" i="52"/>
  <c r="W14" i="52"/>
  <c r="R14" i="52"/>
  <c r="W13" i="52"/>
  <c r="R13" i="52"/>
  <c r="M13" i="52"/>
  <c r="W12" i="52"/>
  <c r="R12" i="52"/>
  <c r="M12" i="52"/>
  <c r="X11" i="52"/>
  <c r="V11" i="52"/>
  <c r="V33" i="52" s="1"/>
  <c r="U11" i="52"/>
  <c r="U33" i="52" s="1"/>
  <c r="T11" i="52"/>
  <c r="S11" i="52"/>
  <c r="Q11" i="52"/>
  <c r="R11" i="52" s="1"/>
  <c r="P11" i="52"/>
  <c r="O11" i="52"/>
  <c r="L11" i="52"/>
  <c r="M11" i="52" s="1"/>
  <c r="K11" i="52"/>
  <c r="J11" i="52"/>
  <c r="J33" i="52" s="1"/>
  <c r="W10" i="52"/>
  <c r="R10" i="52"/>
  <c r="M10" i="52"/>
  <c r="W9" i="52"/>
  <c r="R9" i="52"/>
  <c r="M9" i="52"/>
  <c r="W8" i="52"/>
  <c r="R8" i="52"/>
  <c r="M8" i="52"/>
  <c r="W7" i="52"/>
  <c r="R7" i="52"/>
  <c r="M7" i="52"/>
  <c r="X6" i="52"/>
  <c r="W6" i="52"/>
  <c r="V6" i="52"/>
  <c r="U6" i="52"/>
  <c r="T6" i="52"/>
  <c r="S6" i="52"/>
  <c r="S33" i="52" s="1"/>
  <c r="Q6" i="52"/>
  <c r="R6" i="52" s="1"/>
  <c r="P6" i="52"/>
  <c r="O6" i="52"/>
  <c r="O33" i="52" s="1"/>
  <c r="N6" i="52"/>
  <c r="L6" i="52"/>
  <c r="M6" i="52" s="1"/>
  <c r="K6" i="52"/>
  <c r="K33" i="52" s="1"/>
  <c r="J6" i="52"/>
  <c r="W33" i="52" l="1"/>
  <c r="L33" i="52"/>
  <c r="M33" i="52" s="1"/>
  <c r="Q33" i="52"/>
  <c r="R33" i="52" s="1"/>
  <c r="W11" i="52"/>
  <c r="H36" i="55"/>
  <c r="H35" i="55"/>
  <c r="H34" i="55"/>
  <c r="W32" i="55"/>
  <c r="R32" i="55"/>
  <c r="M32" i="55"/>
  <c r="W31" i="55"/>
  <c r="R31" i="55"/>
  <c r="M31" i="55"/>
  <c r="W30" i="55"/>
  <c r="R30" i="55"/>
  <c r="M30" i="55"/>
  <c r="W29" i="55"/>
  <c r="R29" i="55"/>
  <c r="M29" i="55"/>
  <c r="W28" i="55"/>
  <c r="R28" i="55"/>
  <c r="M28" i="55"/>
  <c r="W27" i="55"/>
  <c r="R27" i="55"/>
  <c r="M27" i="55"/>
  <c r="W26" i="55"/>
  <c r="R26" i="55"/>
  <c r="M26" i="55"/>
  <c r="W25" i="55"/>
  <c r="R25" i="55"/>
  <c r="M25" i="55"/>
  <c r="W24" i="55"/>
  <c r="R24" i="55"/>
  <c r="M24" i="55"/>
  <c r="W23" i="55"/>
  <c r="R23" i="55"/>
  <c r="M23" i="55"/>
  <c r="W22" i="55"/>
  <c r="R22" i="55"/>
  <c r="M22" i="55"/>
  <c r="W21" i="55"/>
  <c r="R21" i="55"/>
  <c r="M21" i="55"/>
  <c r="W20" i="55"/>
  <c r="R20" i="55"/>
  <c r="M20" i="55"/>
  <c r="W19" i="55"/>
  <c r="R19" i="55"/>
  <c r="M19" i="55"/>
  <c r="W18" i="55"/>
  <c r="R18" i="55"/>
  <c r="M18" i="55"/>
  <c r="W17" i="55"/>
  <c r="R17" i="55"/>
  <c r="M17" i="55"/>
  <c r="W16" i="55"/>
  <c r="R16" i="55"/>
  <c r="M16" i="55"/>
  <c r="W15" i="55"/>
  <c r="R15" i="55"/>
  <c r="M15" i="55"/>
  <c r="W14" i="55"/>
  <c r="R14" i="55"/>
  <c r="M14" i="55"/>
  <c r="W13" i="55"/>
  <c r="R13" i="55"/>
  <c r="M13" i="55"/>
  <c r="W12" i="55"/>
  <c r="R12" i="55"/>
  <c r="M12" i="55"/>
  <c r="X11" i="55"/>
  <c r="V11" i="55"/>
  <c r="U11" i="55"/>
  <c r="T11" i="55"/>
  <c r="S11" i="55"/>
  <c r="Q11" i="55"/>
  <c r="P11" i="55"/>
  <c r="O11" i="55"/>
  <c r="N11" i="55"/>
  <c r="L11" i="55"/>
  <c r="K11" i="55"/>
  <c r="J11" i="55"/>
  <c r="W10" i="55"/>
  <c r="R10" i="55"/>
  <c r="M10" i="55"/>
  <c r="W9" i="55"/>
  <c r="R9" i="55"/>
  <c r="M9" i="55"/>
  <c r="W8" i="55"/>
  <c r="R8" i="55"/>
  <c r="M8" i="55"/>
  <c r="W7" i="55"/>
  <c r="R7" i="55"/>
  <c r="M7" i="55"/>
  <c r="X6" i="55"/>
  <c r="V6" i="55"/>
  <c r="U6" i="55"/>
  <c r="T6" i="55"/>
  <c r="T33" i="55" s="1"/>
  <c r="S6" i="55"/>
  <c r="Q6" i="55"/>
  <c r="Q33" i="55" s="1"/>
  <c r="P6" i="55"/>
  <c r="P33" i="55" s="1"/>
  <c r="O6" i="55"/>
  <c r="O33" i="55" s="1"/>
  <c r="N6" i="55"/>
  <c r="L6" i="55"/>
  <c r="K6" i="55"/>
  <c r="M6" i="55" s="1"/>
  <c r="J6" i="55"/>
  <c r="J33" i="55" l="1"/>
  <c r="X33" i="55"/>
  <c r="V33" i="55"/>
  <c r="U33" i="55"/>
  <c r="W11" i="55"/>
  <c r="L33" i="55"/>
  <c r="S33" i="55"/>
  <c r="N33" i="55"/>
  <c r="M11" i="55"/>
  <c r="R33" i="55"/>
  <c r="R11" i="55"/>
  <c r="R6" i="55"/>
  <c r="W33" i="55"/>
  <c r="W6" i="55"/>
  <c r="K33" i="55"/>
  <c r="M33" i="55" l="1"/>
  <c r="H10" i="58" l="1"/>
  <c r="G32" i="58"/>
  <c r="H32" i="58" s="1"/>
  <c r="F32" i="58"/>
  <c r="E32" i="58"/>
  <c r="G31" i="58"/>
  <c r="H31" i="58" s="1"/>
  <c r="F31" i="58"/>
  <c r="E31" i="58"/>
  <c r="G30" i="58"/>
  <c r="H30" i="58" s="1"/>
  <c r="F30" i="58"/>
  <c r="E30" i="58"/>
  <c r="G29" i="58"/>
  <c r="H29" i="58" s="1"/>
  <c r="F29" i="58"/>
  <c r="E29" i="58"/>
  <c r="G28" i="58"/>
  <c r="H28" i="58" s="1"/>
  <c r="F28" i="58"/>
  <c r="E28" i="58"/>
  <c r="G27" i="58"/>
  <c r="H27" i="58" s="1"/>
  <c r="F27" i="58"/>
  <c r="E27" i="58"/>
  <c r="G26" i="58"/>
  <c r="H26" i="58" s="1"/>
  <c r="F26" i="58"/>
  <c r="E26" i="58"/>
  <c r="G25" i="58"/>
  <c r="H25" i="58" s="1"/>
  <c r="F25" i="58"/>
  <c r="E25" i="58"/>
  <c r="G24" i="58"/>
  <c r="H24" i="58" s="1"/>
  <c r="F24" i="58"/>
  <c r="E24" i="58"/>
  <c r="G23" i="58"/>
  <c r="H23" i="58" s="1"/>
  <c r="F23" i="58"/>
  <c r="E23" i="58"/>
  <c r="H33" i="42" l="1"/>
  <c r="P33" i="43" l="1"/>
  <c r="I32" i="43"/>
  <c r="G32" i="43"/>
  <c r="H32" i="43" s="1"/>
  <c r="F32" i="43"/>
  <c r="E32" i="43"/>
  <c r="I31" i="43"/>
  <c r="G31" i="43"/>
  <c r="F31" i="43"/>
  <c r="E31" i="43"/>
  <c r="I30" i="43"/>
  <c r="G30" i="43"/>
  <c r="H30" i="43" s="1"/>
  <c r="F30" i="43"/>
  <c r="E30" i="43"/>
  <c r="I29" i="43"/>
  <c r="G29" i="43"/>
  <c r="F29" i="43"/>
  <c r="E29" i="43"/>
  <c r="I28" i="43"/>
  <c r="G28" i="43"/>
  <c r="F28" i="43"/>
  <c r="E28" i="43"/>
  <c r="I27" i="43"/>
  <c r="G27" i="43"/>
  <c r="F27" i="43"/>
  <c r="E27" i="43"/>
  <c r="I26" i="43"/>
  <c r="G26" i="43"/>
  <c r="H26" i="43" s="1"/>
  <c r="F26" i="43"/>
  <c r="E26" i="43"/>
  <c r="I25" i="43"/>
  <c r="G25" i="43"/>
  <c r="F25" i="43"/>
  <c r="E25" i="43"/>
  <c r="I24" i="43"/>
  <c r="G24" i="43"/>
  <c r="H24" i="43" s="1"/>
  <c r="F24" i="43"/>
  <c r="E24" i="43"/>
  <c r="I23" i="43"/>
  <c r="G23" i="43"/>
  <c r="F23" i="43"/>
  <c r="E23" i="43"/>
  <c r="I22" i="43"/>
  <c r="G22" i="43"/>
  <c r="F22" i="43"/>
  <c r="E22" i="43"/>
  <c r="I21" i="43"/>
  <c r="G21" i="43"/>
  <c r="F21" i="43"/>
  <c r="E21" i="43"/>
  <c r="I20" i="43"/>
  <c r="G20" i="43"/>
  <c r="H20" i="43" s="1"/>
  <c r="F20" i="43"/>
  <c r="E20" i="43"/>
  <c r="I19" i="43"/>
  <c r="G19" i="43"/>
  <c r="F19" i="43"/>
  <c r="E19" i="43"/>
  <c r="I18" i="43"/>
  <c r="G18" i="43"/>
  <c r="H18" i="43" s="1"/>
  <c r="F18" i="43"/>
  <c r="E18" i="43"/>
  <c r="I17" i="43"/>
  <c r="G17" i="43"/>
  <c r="F17" i="43"/>
  <c r="E17" i="43"/>
  <c r="I16" i="43"/>
  <c r="G16" i="43"/>
  <c r="H16" i="43" s="1"/>
  <c r="F16" i="43"/>
  <c r="E16" i="43"/>
  <c r="I15" i="43"/>
  <c r="G15" i="43"/>
  <c r="F15" i="43"/>
  <c r="E15" i="43"/>
  <c r="I14" i="43"/>
  <c r="G14" i="43"/>
  <c r="H14" i="43" s="1"/>
  <c r="F14" i="43"/>
  <c r="E14" i="43"/>
  <c r="I13" i="43"/>
  <c r="G13" i="43"/>
  <c r="F13" i="43"/>
  <c r="E13" i="43"/>
  <c r="I12" i="43"/>
  <c r="G12" i="43"/>
  <c r="F12" i="43"/>
  <c r="E12" i="43"/>
  <c r="I10" i="43"/>
  <c r="G10" i="43"/>
  <c r="F10" i="43"/>
  <c r="E10" i="43"/>
  <c r="I9" i="43"/>
  <c r="G9" i="43"/>
  <c r="F9" i="43"/>
  <c r="E9" i="43"/>
  <c r="I8" i="43"/>
  <c r="G8" i="43"/>
  <c r="F8" i="43"/>
  <c r="F6" i="43" s="1"/>
  <c r="E8" i="43"/>
  <c r="I7" i="43"/>
  <c r="G7" i="43"/>
  <c r="H7" i="43" s="1"/>
  <c r="F7" i="43"/>
  <c r="E7" i="43"/>
  <c r="E6" i="43" s="1"/>
  <c r="X33" i="43"/>
  <c r="U33" i="43"/>
  <c r="S33" i="43"/>
  <c r="O33" i="43"/>
  <c r="L33" i="43"/>
  <c r="J33" i="43"/>
  <c r="H12" i="43" l="1"/>
  <c r="E11" i="43"/>
  <c r="I6" i="43"/>
  <c r="T33" i="43"/>
  <c r="H8" i="43"/>
  <c r="H15" i="43"/>
  <c r="H19" i="43"/>
  <c r="H23" i="43"/>
  <c r="H27" i="43"/>
  <c r="H31" i="43"/>
  <c r="H10" i="43"/>
  <c r="H13" i="43"/>
  <c r="H17" i="43"/>
  <c r="H21" i="43"/>
  <c r="H25" i="43"/>
  <c r="H29" i="43"/>
  <c r="H9" i="43"/>
  <c r="H28" i="43"/>
  <c r="G11" i="43"/>
  <c r="I11" i="43"/>
  <c r="I33" i="43" s="1"/>
  <c r="N33" i="43"/>
  <c r="H22" i="43"/>
  <c r="K33" i="43"/>
  <c r="M33" i="43" s="1"/>
  <c r="F11" i="43"/>
  <c r="H11" i="43" s="1"/>
  <c r="E33" i="43"/>
  <c r="G6" i="43"/>
  <c r="Q33" i="43"/>
  <c r="R33" i="43" s="1"/>
  <c r="V33" i="43"/>
  <c r="W33" i="43" s="1"/>
  <c r="F33" i="43" l="1"/>
  <c r="G33" i="43"/>
  <c r="H6" i="43"/>
  <c r="H33" i="43" l="1"/>
  <c r="I32" i="44"/>
  <c r="G32" i="44"/>
  <c r="F32" i="44"/>
  <c r="H32" i="44" s="1"/>
  <c r="E32" i="44"/>
  <c r="I31" i="44"/>
  <c r="G31" i="44"/>
  <c r="F31" i="44"/>
  <c r="E31" i="44"/>
  <c r="I30" i="44"/>
  <c r="G30" i="44"/>
  <c r="F30" i="44"/>
  <c r="E30" i="44"/>
  <c r="I29" i="44"/>
  <c r="G29" i="44"/>
  <c r="F29" i="44"/>
  <c r="H29" i="44" s="1"/>
  <c r="E29" i="44"/>
  <c r="I28" i="44"/>
  <c r="G28" i="44"/>
  <c r="F28" i="44"/>
  <c r="H28" i="44" s="1"/>
  <c r="E28" i="44"/>
  <c r="I27" i="44"/>
  <c r="G27" i="44"/>
  <c r="F27" i="44"/>
  <c r="E27" i="44"/>
  <c r="I26" i="44"/>
  <c r="G26" i="44"/>
  <c r="F26" i="44"/>
  <c r="E26" i="44"/>
  <c r="I25" i="44"/>
  <c r="G25" i="44"/>
  <c r="F25" i="44"/>
  <c r="H25" i="44" s="1"/>
  <c r="E25" i="44"/>
  <c r="I24" i="44"/>
  <c r="G24" i="44"/>
  <c r="F24" i="44"/>
  <c r="E24" i="44"/>
  <c r="I23" i="44"/>
  <c r="G23" i="44"/>
  <c r="F23" i="44"/>
  <c r="E23" i="44"/>
  <c r="I22" i="44"/>
  <c r="G22" i="44"/>
  <c r="F22" i="44"/>
  <c r="E22" i="44"/>
  <c r="I21" i="44"/>
  <c r="G21" i="44"/>
  <c r="F21" i="44"/>
  <c r="E21" i="44"/>
  <c r="I20" i="44"/>
  <c r="G20" i="44"/>
  <c r="F20" i="44"/>
  <c r="E20" i="44"/>
  <c r="I19" i="44"/>
  <c r="G19" i="44"/>
  <c r="F19" i="44"/>
  <c r="E19" i="44"/>
  <c r="I18" i="44"/>
  <c r="G18" i="44"/>
  <c r="F18" i="44"/>
  <c r="E18" i="44"/>
  <c r="I17" i="44"/>
  <c r="G17" i="44"/>
  <c r="F17" i="44"/>
  <c r="E17" i="44"/>
  <c r="I16" i="44"/>
  <c r="G16" i="44"/>
  <c r="F16" i="44"/>
  <c r="E16" i="44"/>
  <c r="I15" i="44"/>
  <c r="G15" i="44"/>
  <c r="F15" i="44"/>
  <c r="E15" i="44"/>
  <c r="I14" i="44"/>
  <c r="G14" i="44"/>
  <c r="F14" i="44"/>
  <c r="E14" i="44"/>
  <c r="I13" i="44"/>
  <c r="G13" i="44"/>
  <c r="F13" i="44"/>
  <c r="E13" i="44"/>
  <c r="I12" i="44"/>
  <c r="G12" i="44"/>
  <c r="F12" i="44"/>
  <c r="E12" i="44"/>
  <c r="I10" i="44"/>
  <c r="G10" i="44"/>
  <c r="F10" i="44"/>
  <c r="E10" i="44"/>
  <c r="I9" i="44"/>
  <c r="G9" i="44"/>
  <c r="F9" i="44"/>
  <c r="E9" i="44"/>
  <c r="I8" i="44"/>
  <c r="G8" i="44"/>
  <c r="F8" i="44"/>
  <c r="E8" i="44"/>
  <c r="I7" i="44"/>
  <c r="G7" i="44"/>
  <c r="H7" i="44" s="1"/>
  <c r="F7" i="44"/>
  <c r="F6" i="44" s="1"/>
  <c r="E7" i="44"/>
  <c r="I6" i="44"/>
  <c r="E6" i="44" l="1"/>
  <c r="H9" i="44"/>
  <c r="H10" i="44"/>
  <c r="H12" i="44"/>
  <c r="H15" i="44"/>
  <c r="H19" i="44"/>
  <c r="H20" i="44"/>
  <c r="H21" i="44"/>
  <c r="H23" i="44"/>
  <c r="H8" i="44"/>
  <c r="H26" i="44"/>
  <c r="H30" i="44"/>
  <c r="H13" i="44"/>
  <c r="H18" i="44"/>
  <c r="H22" i="44"/>
  <c r="H24" i="44"/>
  <c r="H27" i="44"/>
  <c r="H17" i="44"/>
  <c r="H16" i="44"/>
  <c r="E11" i="44"/>
  <c r="E33" i="44" s="1"/>
  <c r="H31" i="44"/>
  <c r="I11" i="44"/>
  <c r="I33" i="44" s="1"/>
  <c r="F11" i="44"/>
  <c r="F33" i="44" s="1"/>
  <c r="G11" i="44"/>
  <c r="G6" i="44"/>
  <c r="H14" i="44"/>
  <c r="H11" i="44" l="1"/>
  <c r="G33" i="44"/>
  <c r="H33" i="44" s="1"/>
  <c r="H6" i="44"/>
  <c r="I32" i="45" l="1"/>
  <c r="G32" i="45"/>
  <c r="F32" i="45"/>
  <c r="E32" i="45"/>
  <c r="I31" i="45"/>
  <c r="G31" i="45"/>
  <c r="F31" i="45"/>
  <c r="E31" i="45"/>
  <c r="I30" i="45"/>
  <c r="G30" i="45"/>
  <c r="F30" i="45"/>
  <c r="E30" i="45"/>
  <c r="I29" i="45"/>
  <c r="G29" i="45"/>
  <c r="F29" i="45"/>
  <c r="H29" i="45" s="1"/>
  <c r="E29" i="45"/>
  <c r="I28" i="45"/>
  <c r="G28" i="45"/>
  <c r="F28" i="45"/>
  <c r="H28" i="45" s="1"/>
  <c r="E28" i="45"/>
  <c r="I27" i="45"/>
  <c r="G27" i="45"/>
  <c r="F27" i="45"/>
  <c r="E27" i="45"/>
  <c r="I26" i="45"/>
  <c r="G26" i="45"/>
  <c r="F26" i="45"/>
  <c r="E26" i="45"/>
  <c r="I25" i="45"/>
  <c r="G25" i="45"/>
  <c r="F25" i="45"/>
  <c r="H25" i="45" s="1"/>
  <c r="E25" i="45"/>
  <c r="I24" i="45"/>
  <c r="G24" i="45"/>
  <c r="F24" i="45"/>
  <c r="H24" i="45" s="1"/>
  <c r="E24" i="45"/>
  <c r="I23" i="45"/>
  <c r="G23" i="45"/>
  <c r="F23" i="45"/>
  <c r="E23" i="45"/>
  <c r="I22" i="45"/>
  <c r="G22" i="45"/>
  <c r="F22" i="45"/>
  <c r="E22" i="45"/>
  <c r="I21" i="45"/>
  <c r="G21" i="45"/>
  <c r="F21" i="45"/>
  <c r="H21" i="45" s="1"/>
  <c r="E21" i="45"/>
  <c r="I20" i="45"/>
  <c r="G20" i="45"/>
  <c r="F20" i="45"/>
  <c r="E20" i="45"/>
  <c r="I19" i="45"/>
  <c r="G19" i="45"/>
  <c r="F19" i="45"/>
  <c r="E19" i="45"/>
  <c r="I18" i="45"/>
  <c r="G18" i="45"/>
  <c r="H18" i="45" s="1"/>
  <c r="F18" i="45"/>
  <c r="E18" i="45"/>
  <c r="I17" i="45"/>
  <c r="G17" i="45"/>
  <c r="F17" i="45"/>
  <c r="E17" i="45"/>
  <c r="I16" i="45"/>
  <c r="G16" i="45"/>
  <c r="F16" i="45"/>
  <c r="E16" i="45"/>
  <c r="I15" i="45"/>
  <c r="G15" i="45"/>
  <c r="F15" i="45"/>
  <c r="E15" i="45"/>
  <c r="I14" i="45"/>
  <c r="G14" i="45"/>
  <c r="F14" i="45"/>
  <c r="E14" i="45"/>
  <c r="I13" i="45"/>
  <c r="G13" i="45"/>
  <c r="F13" i="45"/>
  <c r="E13" i="45"/>
  <c r="I12" i="45"/>
  <c r="G12" i="45"/>
  <c r="H12" i="45" s="1"/>
  <c r="F12" i="45"/>
  <c r="E12" i="45"/>
  <c r="I10" i="45"/>
  <c r="G10" i="45"/>
  <c r="H10" i="45" s="1"/>
  <c r="F10" i="45"/>
  <c r="E10" i="45"/>
  <c r="I9" i="45"/>
  <c r="G9" i="45"/>
  <c r="H9" i="45" s="1"/>
  <c r="F9" i="45"/>
  <c r="E9" i="45"/>
  <c r="I8" i="45"/>
  <c r="G8" i="45"/>
  <c r="F8" i="45"/>
  <c r="E8" i="45"/>
  <c r="I7" i="45"/>
  <c r="G7" i="45"/>
  <c r="F7" i="45"/>
  <c r="E7" i="45"/>
  <c r="I6" i="45"/>
  <c r="H13" i="45" l="1"/>
  <c r="H32" i="45"/>
  <c r="G6" i="45"/>
  <c r="H19" i="45"/>
  <c r="E6" i="45"/>
  <c r="F6" i="45"/>
  <c r="H6" i="45" s="1"/>
  <c r="H7" i="45"/>
  <c r="H15" i="45"/>
  <c r="H20" i="45"/>
  <c r="H22" i="45"/>
  <c r="H26" i="45"/>
  <c r="H30" i="45"/>
  <c r="H8" i="45"/>
  <c r="H16" i="45"/>
  <c r="I11" i="45"/>
  <c r="I33" i="45" s="1"/>
  <c r="H27" i="45"/>
  <c r="H14" i="45"/>
  <c r="H31" i="45"/>
  <c r="F11" i="45"/>
  <c r="E11" i="45"/>
  <c r="E33" i="45" s="1"/>
  <c r="G11" i="45"/>
  <c r="H23" i="45"/>
  <c r="H17" i="45"/>
  <c r="F33" i="45" l="1"/>
  <c r="H11" i="45"/>
  <c r="G33" i="45"/>
  <c r="H33" i="45" s="1"/>
  <c r="E7" i="46" l="1"/>
  <c r="F7" i="46"/>
  <c r="G7" i="46"/>
  <c r="I7" i="46"/>
  <c r="E8" i="46"/>
  <c r="F8" i="46"/>
  <c r="G8" i="46"/>
  <c r="H8" i="46" s="1"/>
  <c r="I8" i="46"/>
  <c r="E9" i="46"/>
  <c r="F9" i="46"/>
  <c r="G9" i="46"/>
  <c r="I9" i="46"/>
  <c r="E10" i="46"/>
  <c r="F10" i="46"/>
  <c r="G10" i="46"/>
  <c r="H10" i="46" s="1"/>
  <c r="I10" i="46"/>
  <c r="E12" i="46"/>
  <c r="F12" i="46"/>
  <c r="G12" i="46"/>
  <c r="I12" i="46"/>
  <c r="E13" i="46"/>
  <c r="F13" i="46"/>
  <c r="G13" i="46"/>
  <c r="I13" i="46"/>
  <c r="E14" i="46"/>
  <c r="F14" i="46"/>
  <c r="G14" i="46"/>
  <c r="I14" i="46"/>
  <c r="E15" i="46"/>
  <c r="F15" i="46"/>
  <c r="G15" i="46"/>
  <c r="I15" i="46"/>
  <c r="E16" i="46"/>
  <c r="F16" i="46"/>
  <c r="G16" i="46"/>
  <c r="H16" i="46" s="1"/>
  <c r="I16" i="46"/>
  <c r="E17" i="46"/>
  <c r="F17" i="46"/>
  <c r="G17" i="46"/>
  <c r="I17" i="46"/>
  <c r="E18" i="46"/>
  <c r="F18" i="46"/>
  <c r="G18" i="46"/>
  <c r="I18" i="46"/>
  <c r="E19" i="46"/>
  <c r="F19" i="46"/>
  <c r="G19" i="46"/>
  <c r="I19" i="46"/>
  <c r="E20" i="46"/>
  <c r="F20" i="46"/>
  <c r="G20" i="46"/>
  <c r="H20" i="46" s="1"/>
  <c r="I20" i="46"/>
  <c r="E21" i="46"/>
  <c r="F21" i="46"/>
  <c r="G21" i="46"/>
  <c r="I21" i="46"/>
  <c r="E22" i="46"/>
  <c r="F22" i="46"/>
  <c r="G22" i="46"/>
  <c r="I22" i="46"/>
  <c r="E23" i="46"/>
  <c r="F23" i="46"/>
  <c r="G23" i="46"/>
  <c r="I23" i="46"/>
  <c r="E24" i="46"/>
  <c r="F24" i="46"/>
  <c r="G24" i="46"/>
  <c r="H24" i="46" s="1"/>
  <c r="I24" i="46"/>
  <c r="E25" i="46"/>
  <c r="F25" i="46"/>
  <c r="G25" i="46"/>
  <c r="I25" i="46"/>
  <c r="E26" i="46"/>
  <c r="F26" i="46"/>
  <c r="G26" i="46"/>
  <c r="I26" i="46"/>
  <c r="E27" i="46"/>
  <c r="F27" i="46"/>
  <c r="G27" i="46"/>
  <c r="I27" i="46"/>
  <c r="E28" i="46"/>
  <c r="F28" i="46"/>
  <c r="G28" i="46"/>
  <c r="H28" i="46" s="1"/>
  <c r="I28" i="46"/>
  <c r="E29" i="46"/>
  <c r="F29" i="46"/>
  <c r="G29" i="46"/>
  <c r="I29" i="46"/>
  <c r="E30" i="46"/>
  <c r="F30" i="46"/>
  <c r="G30" i="46"/>
  <c r="I30" i="46"/>
  <c r="E31" i="46"/>
  <c r="F31" i="46"/>
  <c r="G31" i="46"/>
  <c r="I31" i="46"/>
  <c r="E32" i="46"/>
  <c r="F32" i="46"/>
  <c r="G32" i="46"/>
  <c r="H32" i="46" s="1"/>
  <c r="I32" i="46"/>
  <c r="F6" i="46" l="1"/>
  <c r="H31" i="46"/>
  <c r="H27" i="46"/>
  <c r="H23" i="46"/>
  <c r="H19" i="46"/>
  <c r="H15" i="46"/>
  <c r="H9" i="46"/>
  <c r="E6" i="46"/>
  <c r="E33" i="46" s="1"/>
  <c r="H29" i="46"/>
  <c r="H25" i="46"/>
  <c r="H21" i="46"/>
  <c r="H17" i="46"/>
  <c r="H13" i="46"/>
  <c r="E11" i="46"/>
  <c r="I11" i="46"/>
  <c r="I6" i="46"/>
  <c r="G11" i="46"/>
  <c r="F11" i="46"/>
  <c r="F33" i="46" s="1"/>
  <c r="H30" i="46"/>
  <c r="H26" i="46"/>
  <c r="H22" i="46"/>
  <c r="H18" i="46"/>
  <c r="H14" i="46"/>
  <c r="G6" i="46"/>
  <c r="H12" i="46"/>
  <c r="H7" i="46"/>
  <c r="I32" i="56"/>
  <c r="G32" i="56"/>
  <c r="F32" i="56"/>
  <c r="E32" i="56"/>
  <c r="I31" i="56"/>
  <c r="G31" i="56"/>
  <c r="F31" i="56"/>
  <c r="H31" i="56" s="1"/>
  <c r="E31" i="56"/>
  <c r="I30" i="56"/>
  <c r="G30" i="56"/>
  <c r="F30" i="56"/>
  <c r="E30" i="56"/>
  <c r="I29" i="56"/>
  <c r="G29" i="56"/>
  <c r="F29" i="56"/>
  <c r="H29" i="56" s="1"/>
  <c r="E29" i="56"/>
  <c r="I28" i="56"/>
  <c r="G28" i="56"/>
  <c r="F28" i="56"/>
  <c r="E28" i="56"/>
  <c r="G27" i="56"/>
  <c r="F27" i="56"/>
  <c r="E27" i="56"/>
  <c r="G26" i="56"/>
  <c r="F26" i="56"/>
  <c r="E26" i="56"/>
  <c r="G25" i="56"/>
  <c r="E25" i="56"/>
  <c r="I24" i="56"/>
  <c r="G24" i="56"/>
  <c r="F24" i="56"/>
  <c r="E24" i="56"/>
  <c r="G23" i="56"/>
  <c r="F23" i="56"/>
  <c r="E23" i="56"/>
  <c r="G22" i="56"/>
  <c r="F22" i="56"/>
  <c r="E22" i="56"/>
  <c r="G21" i="56"/>
  <c r="F21" i="56"/>
  <c r="E21" i="56"/>
  <c r="G20" i="56"/>
  <c r="F20" i="56"/>
  <c r="E20" i="56"/>
  <c r="G19" i="56"/>
  <c r="F19" i="56"/>
  <c r="H19" i="56" s="1"/>
  <c r="E19" i="56"/>
  <c r="G18" i="56"/>
  <c r="F18" i="56"/>
  <c r="E18" i="56"/>
  <c r="G17" i="56"/>
  <c r="F17" i="56"/>
  <c r="E17" i="56"/>
  <c r="G16" i="56"/>
  <c r="F16" i="56"/>
  <c r="E16" i="56"/>
  <c r="G15" i="56"/>
  <c r="F15" i="56"/>
  <c r="E15" i="56"/>
  <c r="I14" i="56"/>
  <c r="G14" i="56"/>
  <c r="F14" i="56"/>
  <c r="E14" i="56"/>
  <c r="G13" i="56"/>
  <c r="F13" i="56"/>
  <c r="E13" i="56"/>
  <c r="H12" i="56"/>
  <c r="G12" i="56"/>
  <c r="F12" i="56"/>
  <c r="E12" i="56"/>
  <c r="I10" i="56"/>
  <c r="G10" i="56"/>
  <c r="F10" i="56"/>
  <c r="E10" i="56"/>
  <c r="F9" i="56"/>
  <c r="E9" i="56"/>
  <c r="G8" i="56"/>
  <c r="F8" i="56"/>
  <c r="E8" i="56"/>
  <c r="E6" i="56" s="1"/>
  <c r="G7" i="56"/>
  <c r="H7" i="56" s="1"/>
  <c r="F7" i="56"/>
  <c r="E7" i="56"/>
  <c r="I6" i="56"/>
  <c r="H27" i="56" l="1"/>
  <c r="I33" i="46"/>
  <c r="E11" i="56"/>
  <c r="H20" i="56"/>
  <c r="H14" i="56"/>
  <c r="H18" i="56"/>
  <c r="H23" i="56"/>
  <c r="H10" i="56"/>
  <c r="H22" i="56"/>
  <c r="H16" i="56"/>
  <c r="H8" i="56"/>
  <c r="H13" i="56"/>
  <c r="F6" i="56"/>
  <c r="H15" i="56"/>
  <c r="H17" i="56"/>
  <c r="H30" i="56"/>
  <c r="I11" i="56"/>
  <c r="H21" i="56"/>
  <c r="H24" i="56"/>
  <c r="H26" i="56"/>
  <c r="H28" i="56"/>
  <c r="H32" i="56"/>
  <c r="H11" i="46"/>
  <c r="G33" i="46"/>
  <c r="H33" i="46" s="1"/>
  <c r="H6" i="46"/>
  <c r="E33" i="56"/>
  <c r="I33" i="56"/>
  <c r="G9" i="56"/>
  <c r="G11" i="56"/>
  <c r="F25" i="56"/>
  <c r="F11" i="56" s="1"/>
  <c r="F33" i="56" s="1"/>
  <c r="H25" i="56" l="1"/>
  <c r="H11" i="56"/>
  <c r="H9" i="56"/>
  <c r="G6" i="56"/>
  <c r="G33" i="56" l="1"/>
  <c r="H33" i="56" s="1"/>
  <c r="H6" i="56"/>
  <c r="G22" i="58" l="1"/>
  <c r="H22" i="58" s="1"/>
  <c r="F22" i="58"/>
  <c r="E22" i="58"/>
  <c r="G21" i="58"/>
  <c r="F21" i="58"/>
  <c r="E21" i="58"/>
  <c r="G20" i="58"/>
  <c r="F20" i="58"/>
  <c r="E20" i="58"/>
  <c r="G19" i="58"/>
  <c r="F19" i="58"/>
  <c r="E19" i="58"/>
  <c r="G18" i="58"/>
  <c r="H18" i="58" s="1"/>
  <c r="F18" i="58"/>
  <c r="E18" i="58"/>
  <c r="G17" i="58"/>
  <c r="F17" i="58"/>
  <c r="H17" i="58" s="1"/>
  <c r="E17" i="58"/>
  <c r="G16" i="58"/>
  <c r="F16" i="58"/>
  <c r="E16" i="58"/>
  <c r="G15" i="58"/>
  <c r="H15" i="58" s="1"/>
  <c r="F15" i="58"/>
  <c r="E15" i="58"/>
  <c r="I14" i="58"/>
  <c r="I11" i="58" s="1"/>
  <c r="G14" i="58"/>
  <c r="F14" i="58"/>
  <c r="E14" i="58"/>
  <c r="G13" i="58"/>
  <c r="F13" i="58"/>
  <c r="E13" i="58"/>
  <c r="G12" i="58"/>
  <c r="F12" i="58"/>
  <c r="E12" i="58"/>
  <c r="G9" i="58"/>
  <c r="F9" i="58"/>
  <c r="E9" i="58"/>
  <c r="G8" i="58"/>
  <c r="H8" i="58" s="1"/>
  <c r="F8" i="58"/>
  <c r="E8" i="58"/>
  <c r="G7" i="58"/>
  <c r="F7" i="58"/>
  <c r="E7" i="58"/>
  <c r="E6" i="58" s="1"/>
  <c r="I6" i="58"/>
  <c r="G11" i="58" l="1"/>
  <c r="H9" i="58"/>
  <c r="F6" i="58"/>
  <c r="F33" i="58" s="1"/>
  <c r="H20" i="58"/>
  <c r="E33" i="58"/>
  <c r="H16" i="58"/>
  <c r="H21" i="58"/>
  <c r="H7" i="58"/>
  <c r="H12" i="58"/>
  <c r="H13" i="58"/>
  <c r="H19" i="58"/>
  <c r="I33" i="58"/>
  <c r="G6" i="58"/>
  <c r="H11" i="58" l="1"/>
  <c r="H6" i="58"/>
  <c r="G33" i="58"/>
  <c r="H33" i="58" s="1"/>
  <c r="I32" i="57" l="1"/>
  <c r="G32" i="57"/>
  <c r="H32" i="57" s="1"/>
  <c r="F32" i="57"/>
  <c r="E32" i="57"/>
  <c r="I31" i="57"/>
  <c r="G31" i="57"/>
  <c r="H31" i="57" s="1"/>
  <c r="F31" i="57"/>
  <c r="E31" i="57"/>
  <c r="I30" i="57"/>
  <c r="G30" i="57"/>
  <c r="H30" i="57" s="1"/>
  <c r="F30" i="57"/>
  <c r="E30" i="57"/>
  <c r="I29" i="57"/>
  <c r="G29" i="57"/>
  <c r="H29" i="57" s="1"/>
  <c r="F29" i="57"/>
  <c r="E29" i="57"/>
  <c r="I28" i="57"/>
  <c r="G28" i="57"/>
  <c r="H28" i="57" s="1"/>
  <c r="F28" i="57"/>
  <c r="E28" i="57"/>
  <c r="I27" i="57"/>
  <c r="G27" i="57"/>
  <c r="H27" i="57" s="1"/>
  <c r="F27" i="57"/>
  <c r="E27" i="57"/>
  <c r="I26" i="57"/>
  <c r="G26" i="57"/>
  <c r="H26" i="57" s="1"/>
  <c r="F26" i="57"/>
  <c r="E26" i="57"/>
  <c r="I25" i="57"/>
  <c r="F25" i="57"/>
  <c r="H25" i="57" s="1"/>
  <c r="E25" i="57"/>
  <c r="I24" i="57"/>
  <c r="G24" i="57"/>
  <c r="F24" i="57"/>
  <c r="E24" i="57"/>
  <c r="I23" i="57"/>
  <c r="G23" i="57"/>
  <c r="F23" i="57"/>
  <c r="E23" i="57"/>
  <c r="I22" i="57"/>
  <c r="G22" i="57"/>
  <c r="F22" i="57"/>
  <c r="E22" i="57"/>
  <c r="I21" i="57"/>
  <c r="G21" i="57"/>
  <c r="F21" i="57"/>
  <c r="E21" i="57"/>
  <c r="I20" i="57"/>
  <c r="G20" i="57"/>
  <c r="F20" i="57"/>
  <c r="E20" i="57"/>
  <c r="I19" i="57"/>
  <c r="G19" i="57"/>
  <c r="F19" i="57"/>
  <c r="E19" i="57"/>
  <c r="I18" i="57"/>
  <c r="G18" i="57"/>
  <c r="F18" i="57"/>
  <c r="E18" i="57"/>
  <c r="I17" i="57"/>
  <c r="G17" i="57"/>
  <c r="F17" i="57"/>
  <c r="E17" i="57"/>
  <c r="I16" i="57"/>
  <c r="G16" i="57"/>
  <c r="F16" i="57"/>
  <c r="E16" i="57"/>
  <c r="I15" i="57"/>
  <c r="G15" i="57"/>
  <c r="F15" i="57"/>
  <c r="E15" i="57"/>
  <c r="I14" i="57"/>
  <c r="G14" i="57"/>
  <c r="F14" i="57"/>
  <c r="E14" i="57"/>
  <c r="I13" i="57"/>
  <c r="G13" i="57"/>
  <c r="F13" i="57"/>
  <c r="E13" i="57"/>
  <c r="I12" i="57"/>
  <c r="G12" i="57"/>
  <c r="F12" i="57"/>
  <c r="E12" i="57"/>
  <c r="I10" i="57"/>
  <c r="G10" i="57"/>
  <c r="F10" i="57"/>
  <c r="E10" i="57"/>
  <c r="I9" i="57"/>
  <c r="G9" i="57"/>
  <c r="F9" i="57"/>
  <c r="E9" i="57"/>
  <c r="I8" i="57"/>
  <c r="G8" i="57"/>
  <c r="F8" i="57"/>
  <c r="E8" i="57"/>
  <c r="I7" i="57"/>
  <c r="I6" i="57" s="1"/>
  <c r="G7" i="57"/>
  <c r="F7" i="57"/>
  <c r="E7" i="57"/>
  <c r="E6" i="57" s="1"/>
  <c r="G6" i="57"/>
  <c r="F6" i="57"/>
  <c r="H12" i="57" l="1"/>
  <c r="H14" i="57"/>
  <c r="H16" i="57"/>
  <c r="H20" i="57"/>
  <c r="H24" i="57"/>
  <c r="F33" i="57"/>
  <c r="G33" i="57"/>
  <c r="H33" i="57" s="1"/>
  <c r="H7" i="57"/>
  <c r="H9" i="57"/>
  <c r="H8" i="57"/>
  <c r="H15" i="57"/>
  <c r="H19" i="57"/>
  <c r="H23" i="57"/>
  <c r="H18" i="57"/>
  <c r="H22" i="57"/>
  <c r="H10" i="57"/>
  <c r="H13" i="57"/>
  <c r="H17" i="57"/>
  <c r="H21" i="57"/>
  <c r="I33" i="57"/>
  <c r="E33" i="57"/>
  <c r="H6" i="57"/>
  <c r="I32" i="61" l="1"/>
  <c r="G32" i="61"/>
  <c r="H32" i="61" s="1"/>
  <c r="F32" i="61"/>
  <c r="E32" i="61"/>
  <c r="I31" i="61"/>
  <c r="G31" i="61"/>
  <c r="F31" i="61"/>
  <c r="E31" i="61"/>
  <c r="I30" i="61"/>
  <c r="G30" i="61"/>
  <c r="F30" i="61"/>
  <c r="E30" i="61"/>
  <c r="I29" i="61"/>
  <c r="G29" i="61"/>
  <c r="F29" i="61"/>
  <c r="E29" i="61"/>
  <c r="I28" i="61"/>
  <c r="G28" i="61"/>
  <c r="H28" i="61" s="1"/>
  <c r="F28" i="61"/>
  <c r="E28" i="61"/>
  <c r="I27" i="61"/>
  <c r="G27" i="61"/>
  <c r="F27" i="61"/>
  <c r="E27" i="61"/>
  <c r="I26" i="61"/>
  <c r="G26" i="61"/>
  <c r="F26" i="61"/>
  <c r="E26" i="61"/>
  <c r="I25" i="61"/>
  <c r="G25" i="61"/>
  <c r="F25" i="61"/>
  <c r="E25" i="61"/>
  <c r="I24" i="61"/>
  <c r="G24" i="61"/>
  <c r="H24" i="61" s="1"/>
  <c r="F24" i="61"/>
  <c r="E24" i="61"/>
  <c r="I23" i="61"/>
  <c r="G23" i="61"/>
  <c r="F23" i="61"/>
  <c r="E23" i="61"/>
  <c r="I22" i="61"/>
  <c r="G22" i="61"/>
  <c r="F22" i="61"/>
  <c r="F11" i="61" s="1"/>
  <c r="E22" i="61"/>
  <c r="I21" i="61"/>
  <c r="G21" i="61"/>
  <c r="F21" i="61"/>
  <c r="E21" i="61"/>
  <c r="I20" i="61"/>
  <c r="G20" i="61"/>
  <c r="H20" i="61" s="1"/>
  <c r="F20" i="61"/>
  <c r="E20" i="61"/>
  <c r="I19" i="61"/>
  <c r="G19" i="61"/>
  <c r="F19" i="61"/>
  <c r="E19" i="61"/>
  <c r="I18" i="61"/>
  <c r="G18" i="61"/>
  <c r="H18" i="61" s="1"/>
  <c r="F18" i="61"/>
  <c r="E18" i="61"/>
  <c r="I17" i="61"/>
  <c r="G17" i="61"/>
  <c r="F17" i="61"/>
  <c r="E17" i="61"/>
  <c r="I16" i="61"/>
  <c r="G16" i="61"/>
  <c r="H16" i="61" s="1"/>
  <c r="F16" i="61"/>
  <c r="E16" i="61"/>
  <c r="I15" i="61"/>
  <c r="G15" i="61"/>
  <c r="F15" i="61"/>
  <c r="E15" i="61"/>
  <c r="I14" i="61"/>
  <c r="G14" i="61"/>
  <c r="H14" i="61" s="1"/>
  <c r="F14" i="61"/>
  <c r="E14" i="61"/>
  <c r="I13" i="61"/>
  <c r="G13" i="61"/>
  <c r="F13" i="61"/>
  <c r="E13" i="61"/>
  <c r="I12" i="61"/>
  <c r="G12" i="61"/>
  <c r="H12" i="61" s="1"/>
  <c r="F12" i="61"/>
  <c r="E12" i="61"/>
  <c r="E11" i="61" s="1"/>
  <c r="I11" i="61"/>
  <c r="I10" i="61"/>
  <c r="G10" i="61"/>
  <c r="H10" i="61" s="1"/>
  <c r="F10" i="61"/>
  <c r="E10" i="61"/>
  <c r="I9" i="61"/>
  <c r="G9" i="61"/>
  <c r="F9" i="61"/>
  <c r="E9" i="61"/>
  <c r="I8" i="61"/>
  <c r="G8" i="61"/>
  <c r="F8" i="61"/>
  <c r="F6" i="61" s="1"/>
  <c r="E8" i="61"/>
  <c r="I7" i="61"/>
  <c r="G7" i="61"/>
  <c r="F7" i="61"/>
  <c r="E7" i="61"/>
  <c r="I6" i="61"/>
  <c r="G6" i="61"/>
  <c r="H8" i="61" l="1"/>
  <c r="H22" i="61"/>
  <c r="F33" i="61"/>
  <c r="E6" i="61"/>
  <c r="E33" i="61"/>
  <c r="H7" i="61"/>
  <c r="H15" i="61"/>
  <c r="H19" i="61"/>
  <c r="H23" i="61"/>
  <c r="H27" i="61"/>
  <c r="H31" i="61"/>
  <c r="H26" i="61"/>
  <c r="H30" i="61"/>
  <c r="H9" i="61"/>
  <c r="H13" i="61"/>
  <c r="H17" i="61"/>
  <c r="H21" i="61"/>
  <c r="H25" i="61"/>
  <c r="H29" i="61"/>
  <c r="I33" i="61"/>
  <c r="G11" i="61"/>
  <c r="H11" i="61" s="1"/>
  <c r="H6" i="61"/>
  <c r="G33" i="61" l="1"/>
  <c r="H33" i="61" s="1"/>
  <c r="H14" i="52"/>
  <c r="G12" i="52"/>
  <c r="G13" i="52"/>
  <c r="G15" i="52"/>
  <c r="G17" i="52"/>
  <c r="G18" i="52"/>
  <c r="G19" i="52"/>
  <c r="G20" i="52"/>
  <c r="G21" i="52"/>
  <c r="G22" i="52"/>
  <c r="G23" i="52"/>
  <c r="G24" i="52"/>
  <c r="G25" i="52"/>
  <c r="G26" i="52"/>
  <c r="G27" i="52"/>
  <c r="G28" i="52"/>
  <c r="G29" i="52"/>
  <c r="G30" i="52"/>
  <c r="G31" i="52"/>
  <c r="G32" i="52"/>
  <c r="I32" i="52"/>
  <c r="F32" i="52"/>
  <c r="E32" i="52"/>
  <c r="I31" i="52"/>
  <c r="F31" i="52"/>
  <c r="E31" i="52"/>
  <c r="I30" i="52"/>
  <c r="F30" i="52"/>
  <c r="E30" i="52"/>
  <c r="I29" i="52"/>
  <c r="F29" i="52"/>
  <c r="E29" i="52"/>
  <c r="I28" i="52"/>
  <c r="F28" i="52"/>
  <c r="E28" i="52"/>
  <c r="I27" i="52"/>
  <c r="F27" i="52"/>
  <c r="E27" i="52"/>
  <c r="I26" i="52"/>
  <c r="F26" i="52"/>
  <c r="E26" i="52"/>
  <c r="I25" i="52"/>
  <c r="F25" i="52"/>
  <c r="E25" i="52"/>
  <c r="I24" i="52"/>
  <c r="F24" i="52"/>
  <c r="E24" i="52"/>
  <c r="I23" i="52"/>
  <c r="F23" i="52"/>
  <c r="E23" i="52"/>
  <c r="I22" i="52"/>
  <c r="F22" i="52"/>
  <c r="E22" i="52"/>
  <c r="I21" i="52"/>
  <c r="F21" i="52"/>
  <c r="E21" i="52"/>
  <c r="I20" i="52"/>
  <c r="F20" i="52"/>
  <c r="E20" i="52"/>
  <c r="I19" i="52"/>
  <c r="F19" i="52"/>
  <c r="E19" i="52"/>
  <c r="I18" i="52"/>
  <c r="F18" i="52"/>
  <c r="E18" i="52"/>
  <c r="I17" i="52"/>
  <c r="F17" i="52"/>
  <c r="E17" i="52"/>
  <c r="I16" i="52"/>
  <c r="G16" i="52"/>
  <c r="F16" i="52"/>
  <c r="E16" i="52"/>
  <c r="I15" i="52"/>
  <c r="F15" i="52"/>
  <c r="H15" i="52" s="1"/>
  <c r="E15" i="52"/>
  <c r="I13" i="52"/>
  <c r="F13" i="52"/>
  <c r="E13" i="52"/>
  <c r="I12" i="52"/>
  <c r="F12" i="52"/>
  <c r="E12" i="52"/>
  <c r="F11" i="52"/>
  <c r="I10" i="52"/>
  <c r="G10" i="52"/>
  <c r="F10" i="52"/>
  <c r="E10" i="52"/>
  <c r="I9" i="52"/>
  <c r="G9" i="52"/>
  <c r="F9" i="52"/>
  <c r="E9" i="52"/>
  <c r="I8" i="52"/>
  <c r="G8" i="52"/>
  <c r="F8" i="52"/>
  <c r="E8" i="52"/>
  <c r="I7" i="52"/>
  <c r="G7" i="52"/>
  <c r="F7" i="52"/>
  <c r="E7" i="52"/>
  <c r="F6" i="52"/>
  <c r="F33" i="52" s="1"/>
  <c r="I6" i="52" l="1"/>
  <c r="H31" i="52"/>
  <c r="H27" i="52"/>
  <c r="H23" i="52"/>
  <c r="H19" i="52"/>
  <c r="H13" i="52"/>
  <c r="H16" i="52"/>
  <c r="H30" i="52"/>
  <c r="H26" i="52"/>
  <c r="H22" i="52"/>
  <c r="H12" i="52"/>
  <c r="H29" i="52"/>
  <c r="H25" i="52"/>
  <c r="H21" i="52"/>
  <c r="H17" i="52"/>
  <c r="H8" i="52"/>
  <c r="H10" i="52"/>
  <c r="H32" i="52"/>
  <c r="H28" i="52"/>
  <c r="H24" i="52"/>
  <c r="H20" i="52"/>
  <c r="H18" i="52"/>
  <c r="H9" i="52"/>
  <c r="E11" i="52"/>
  <c r="H7" i="52"/>
  <c r="E6" i="52"/>
  <c r="I11" i="52"/>
  <c r="I33" i="52" s="1"/>
  <c r="G11" i="52"/>
  <c r="H11" i="52" s="1"/>
  <c r="G6" i="52"/>
  <c r="E33" i="52" l="1"/>
  <c r="H6" i="52"/>
  <c r="G33" i="52"/>
  <c r="H33" i="52" s="1"/>
  <c r="I32" i="55" l="1"/>
  <c r="G32" i="55"/>
  <c r="F32" i="55"/>
  <c r="E32" i="55"/>
  <c r="I31" i="55"/>
  <c r="G31" i="55"/>
  <c r="H31" i="55" s="1"/>
  <c r="F31" i="55"/>
  <c r="E31" i="55"/>
  <c r="I30" i="55"/>
  <c r="G30" i="55"/>
  <c r="F30" i="55"/>
  <c r="E30" i="55"/>
  <c r="I29" i="55"/>
  <c r="G29" i="55"/>
  <c r="F29" i="55"/>
  <c r="E29" i="55"/>
  <c r="I28" i="55"/>
  <c r="G28" i="55"/>
  <c r="H28" i="55" s="1"/>
  <c r="F28" i="55"/>
  <c r="E28" i="55"/>
  <c r="I27" i="55"/>
  <c r="G27" i="55"/>
  <c r="E27" i="55"/>
  <c r="I26" i="55"/>
  <c r="G26" i="55"/>
  <c r="F26" i="55"/>
  <c r="E26" i="55"/>
  <c r="I25" i="55"/>
  <c r="G25" i="55"/>
  <c r="F25" i="55"/>
  <c r="E25" i="55"/>
  <c r="I24" i="55"/>
  <c r="G24" i="55"/>
  <c r="F24" i="55"/>
  <c r="E24" i="55"/>
  <c r="I23" i="55"/>
  <c r="G23" i="55"/>
  <c r="F23" i="55"/>
  <c r="E23" i="55"/>
  <c r="I22" i="55"/>
  <c r="G22" i="55"/>
  <c r="F22" i="55"/>
  <c r="E22" i="55"/>
  <c r="I21" i="55"/>
  <c r="G21" i="55"/>
  <c r="F21" i="55"/>
  <c r="E21" i="55"/>
  <c r="I20" i="55"/>
  <c r="G20" i="55"/>
  <c r="F20" i="55"/>
  <c r="E20" i="55"/>
  <c r="I19" i="55"/>
  <c r="G19" i="55"/>
  <c r="F19" i="55"/>
  <c r="E19" i="55"/>
  <c r="I18" i="55"/>
  <c r="G18" i="55"/>
  <c r="F18" i="55"/>
  <c r="E18" i="55"/>
  <c r="I17" i="55"/>
  <c r="G17" i="55"/>
  <c r="F17" i="55"/>
  <c r="E17" i="55"/>
  <c r="I16" i="55"/>
  <c r="G16" i="55"/>
  <c r="H16" i="55" s="1"/>
  <c r="F16" i="55"/>
  <c r="E16" i="55"/>
  <c r="I15" i="55"/>
  <c r="G15" i="55"/>
  <c r="F15" i="55"/>
  <c r="E15" i="55"/>
  <c r="I14" i="55"/>
  <c r="G14" i="55"/>
  <c r="F14" i="55"/>
  <c r="E14" i="55"/>
  <c r="I13" i="55"/>
  <c r="G13" i="55"/>
  <c r="F13" i="55"/>
  <c r="E13" i="55"/>
  <c r="I12" i="55"/>
  <c r="G12" i="55"/>
  <c r="H12" i="55" s="1"/>
  <c r="F12" i="55"/>
  <c r="E12" i="55"/>
  <c r="I10" i="55"/>
  <c r="G10" i="55"/>
  <c r="H10" i="55" s="1"/>
  <c r="F10" i="55"/>
  <c r="E10" i="55"/>
  <c r="I9" i="55"/>
  <c r="H9" i="55"/>
  <c r="G9" i="55"/>
  <c r="F9" i="55"/>
  <c r="E9" i="55"/>
  <c r="I8" i="55"/>
  <c r="G8" i="55"/>
  <c r="H8" i="55" s="1"/>
  <c r="F8" i="55"/>
  <c r="E8" i="55"/>
  <c r="I7" i="55"/>
  <c r="G7" i="55"/>
  <c r="G6" i="55" s="1"/>
  <c r="F7" i="55"/>
  <c r="E7" i="55"/>
  <c r="I6" i="55"/>
  <c r="F6" i="55"/>
  <c r="E6" i="55"/>
  <c r="H18" i="55" l="1"/>
  <c r="H19" i="55"/>
  <c r="H22" i="55"/>
  <c r="H6" i="55"/>
  <c r="H26" i="55"/>
  <c r="H21" i="55"/>
  <c r="H20" i="55"/>
  <c r="F27" i="55"/>
  <c r="H27" i="55" s="1"/>
  <c r="H29" i="55"/>
  <c r="H25" i="55"/>
  <c r="H17" i="55"/>
  <c r="H13" i="55"/>
  <c r="G11" i="55"/>
  <c r="G33" i="55" s="1"/>
  <c r="H15" i="55"/>
  <c r="H32" i="55"/>
  <c r="E11" i="55"/>
  <c r="E33" i="55" s="1"/>
  <c r="H30" i="55"/>
  <c r="H24" i="55"/>
  <c r="H23" i="55"/>
  <c r="I11" i="55"/>
  <c r="I33" i="55" s="1"/>
  <c r="H14" i="55"/>
  <c r="H7" i="55"/>
  <c r="F11" i="55" l="1"/>
  <c r="F33" i="55" s="1"/>
  <c r="H33" i="55" s="1"/>
  <c r="H11" i="55" l="1"/>
  <c r="I32" i="54"/>
  <c r="G32" i="54"/>
  <c r="H32" i="54" s="1"/>
  <c r="F32" i="54"/>
  <c r="E32" i="54"/>
  <c r="I31" i="54"/>
  <c r="G31" i="54"/>
  <c r="F31" i="54"/>
  <c r="E31" i="54"/>
  <c r="I30" i="54"/>
  <c r="G30" i="54"/>
  <c r="F30" i="54"/>
  <c r="E30" i="54"/>
  <c r="I29" i="54"/>
  <c r="G29" i="54"/>
  <c r="F29" i="54"/>
  <c r="E29" i="54"/>
  <c r="I28" i="54"/>
  <c r="G28" i="54"/>
  <c r="H28" i="54" s="1"/>
  <c r="F28" i="54"/>
  <c r="E28" i="54"/>
  <c r="I27" i="54"/>
  <c r="G27" i="54"/>
  <c r="F27" i="54"/>
  <c r="E27" i="54"/>
  <c r="I26" i="54"/>
  <c r="G26" i="54"/>
  <c r="F26" i="54"/>
  <c r="E26" i="54"/>
  <c r="I25" i="54"/>
  <c r="G25" i="54"/>
  <c r="F25" i="54"/>
  <c r="E25" i="54"/>
  <c r="I24" i="54"/>
  <c r="G24" i="54"/>
  <c r="H24" i="54" s="1"/>
  <c r="F24" i="54"/>
  <c r="E24" i="54"/>
  <c r="I23" i="54"/>
  <c r="G23" i="54"/>
  <c r="F23" i="54"/>
  <c r="E23" i="54"/>
  <c r="I22" i="54"/>
  <c r="G22" i="54"/>
  <c r="H22" i="54" s="1"/>
  <c r="F22" i="54"/>
  <c r="E22" i="54"/>
  <c r="I21" i="54"/>
  <c r="G21" i="54"/>
  <c r="F21" i="54"/>
  <c r="E21" i="54"/>
  <c r="I20" i="54"/>
  <c r="G20" i="54"/>
  <c r="H20" i="54" s="1"/>
  <c r="F20" i="54"/>
  <c r="E20" i="54"/>
  <c r="I19" i="54"/>
  <c r="G19" i="54"/>
  <c r="F19" i="54"/>
  <c r="E19" i="54"/>
  <c r="I18" i="54"/>
  <c r="G18" i="54"/>
  <c r="H18" i="54" s="1"/>
  <c r="F18" i="54"/>
  <c r="E18" i="54"/>
  <c r="I17" i="54"/>
  <c r="G17" i="54"/>
  <c r="F17" i="54"/>
  <c r="E17" i="54"/>
  <c r="I16" i="54"/>
  <c r="G16" i="54"/>
  <c r="H16" i="54" s="1"/>
  <c r="F16" i="54"/>
  <c r="E16" i="54"/>
  <c r="I15" i="54"/>
  <c r="G15" i="54"/>
  <c r="F15" i="54"/>
  <c r="E15" i="54"/>
  <c r="I14" i="54"/>
  <c r="G14" i="54"/>
  <c r="H14" i="54" s="1"/>
  <c r="F14" i="54"/>
  <c r="E14" i="54"/>
  <c r="I13" i="54"/>
  <c r="G13" i="54"/>
  <c r="F13" i="54"/>
  <c r="E13" i="54"/>
  <c r="I12" i="54"/>
  <c r="G12" i="54"/>
  <c r="H12" i="54" s="1"/>
  <c r="F12" i="54"/>
  <c r="F11" i="54" s="1"/>
  <c r="E12" i="54"/>
  <c r="E11" i="54" s="1"/>
  <c r="I10" i="54"/>
  <c r="G10" i="54"/>
  <c r="F10" i="54"/>
  <c r="E10" i="54"/>
  <c r="I9" i="54"/>
  <c r="G9" i="54"/>
  <c r="F9" i="54"/>
  <c r="E9" i="54"/>
  <c r="I8" i="54"/>
  <c r="G8" i="54"/>
  <c r="F8" i="54"/>
  <c r="E8" i="54"/>
  <c r="I7" i="54"/>
  <c r="G7" i="54"/>
  <c r="F7" i="54"/>
  <c r="F6" i="54" s="1"/>
  <c r="E7" i="54"/>
  <c r="G6" i="54"/>
  <c r="E6" i="54"/>
  <c r="I32" i="49"/>
  <c r="G32" i="49"/>
  <c r="F32" i="49"/>
  <c r="H32" i="49" s="1"/>
  <c r="E32" i="49"/>
  <c r="I31" i="49"/>
  <c r="G31" i="49"/>
  <c r="F31" i="49"/>
  <c r="E31" i="49"/>
  <c r="I30" i="49"/>
  <c r="G30" i="49"/>
  <c r="F30" i="49"/>
  <c r="H30" i="49" s="1"/>
  <c r="E30" i="49"/>
  <c r="I29" i="49"/>
  <c r="G29" i="49"/>
  <c r="F29" i="49"/>
  <c r="H29" i="49" s="1"/>
  <c r="E29" i="49"/>
  <c r="I28" i="49"/>
  <c r="G28" i="49"/>
  <c r="F28" i="49"/>
  <c r="H28" i="49" s="1"/>
  <c r="E28" i="49"/>
  <c r="I27" i="49"/>
  <c r="G27" i="49"/>
  <c r="F27" i="49"/>
  <c r="E27" i="49"/>
  <c r="I26" i="49"/>
  <c r="G26" i="49"/>
  <c r="F26" i="49"/>
  <c r="H26" i="49" s="1"/>
  <c r="E26" i="49"/>
  <c r="I25" i="49"/>
  <c r="G25" i="49"/>
  <c r="F25" i="49"/>
  <c r="H25" i="49" s="1"/>
  <c r="E25" i="49"/>
  <c r="I24" i="49"/>
  <c r="G24" i="49"/>
  <c r="F24" i="49"/>
  <c r="H24" i="49" s="1"/>
  <c r="E24" i="49"/>
  <c r="I23" i="49"/>
  <c r="G23" i="49"/>
  <c r="F23" i="49"/>
  <c r="E23" i="49"/>
  <c r="I22" i="49"/>
  <c r="G22" i="49"/>
  <c r="F22" i="49"/>
  <c r="H22" i="49" s="1"/>
  <c r="E22" i="49"/>
  <c r="I21" i="49"/>
  <c r="G21" i="49"/>
  <c r="F21" i="49"/>
  <c r="H21" i="49" s="1"/>
  <c r="E21" i="49"/>
  <c r="I20" i="49"/>
  <c r="G20" i="49"/>
  <c r="F20" i="49"/>
  <c r="H20" i="49" s="1"/>
  <c r="E20" i="49"/>
  <c r="I19" i="49"/>
  <c r="G19" i="49"/>
  <c r="F19" i="49"/>
  <c r="E19" i="49"/>
  <c r="I18" i="49"/>
  <c r="G18" i="49"/>
  <c r="F18" i="49"/>
  <c r="H18" i="49" s="1"/>
  <c r="E18" i="49"/>
  <c r="I17" i="49"/>
  <c r="G17" i="49"/>
  <c r="F17" i="49"/>
  <c r="E17" i="49"/>
  <c r="I16" i="49"/>
  <c r="G16" i="49"/>
  <c r="F16" i="49"/>
  <c r="E16" i="49"/>
  <c r="I15" i="49"/>
  <c r="G15" i="49"/>
  <c r="F15" i="49"/>
  <c r="E15" i="49"/>
  <c r="I14" i="49"/>
  <c r="G14" i="49"/>
  <c r="F14" i="49"/>
  <c r="E14" i="49"/>
  <c r="I13" i="49"/>
  <c r="G13" i="49"/>
  <c r="F13" i="49"/>
  <c r="E13" i="49"/>
  <c r="I12" i="49"/>
  <c r="I11" i="49" s="1"/>
  <c r="G12" i="49"/>
  <c r="F12" i="49"/>
  <c r="E12" i="49"/>
  <c r="I10" i="49"/>
  <c r="G10" i="49"/>
  <c r="H10" i="49" s="1"/>
  <c r="F10" i="49"/>
  <c r="E10" i="49"/>
  <c r="I9" i="49"/>
  <c r="G9" i="49"/>
  <c r="H9" i="49" s="1"/>
  <c r="F9" i="49"/>
  <c r="E9" i="49"/>
  <c r="I8" i="49"/>
  <c r="G8" i="49"/>
  <c r="H8" i="49" s="1"/>
  <c r="F8" i="49"/>
  <c r="E8" i="49"/>
  <c r="I7" i="49"/>
  <c r="G7" i="49"/>
  <c r="H7" i="49" s="1"/>
  <c r="F7" i="49"/>
  <c r="E7" i="49"/>
  <c r="E6" i="49" s="1"/>
  <c r="I6" i="49"/>
  <c r="F6" i="49"/>
  <c r="E11" i="49" l="1"/>
  <c r="E33" i="49" s="1"/>
  <c r="H12" i="49"/>
  <c r="H13" i="49"/>
  <c r="H14" i="49"/>
  <c r="H15" i="49"/>
  <c r="H16" i="49"/>
  <c r="G11" i="49"/>
  <c r="F33" i="54"/>
  <c r="H8" i="54"/>
  <c r="H10" i="54"/>
  <c r="I6" i="54"/>
  <c r="I11" i="54"/>
  <c r="G6" i="49"/>
  <c r="F11" i="49"/>
  <c r="H19" i="49"/>
  <c r="H23" i="49"/>
  <c r="H27" i="49"/>
  <c r="H31" i="49"/>
  <c r="E33" i="54"/>
  <c r="H9" i="54"/>
  <c r="H15" i="54"/>
  <c r="H19" i="54"/>
  <c r="H23" i="54"/>
  <c r="H27" i="54"/>
  <c r="H31" i="54"/>
  <c r="H26" i="54"/>
  <c r="H30" i="54"/>
  <c r="I33" i="49"/>
  <c r="H17" i="49"/>
  <c r="H7" i="54"/>
  <c r="G11" i="54"/>
  <c r="H11" i="54" s="1"/>
  <c r="H13" i="54"/>
  <c r="H17" i="54"/>
  <c r="H21" i="54"/>
  <c r="H25" i="54"/>
  <c r="H29" i="54"/>
  <c r="H6" i="54"/>
  <c r="H11" i="49" l="1"/>
  <c r="I33" i="54"/>
  <c r="G33" i="49"/>
  <c r="H6" i="49"/>
  <c r="F33" i="49"/>
  <c r="G33" i="54"/>
  <c r="H33" i="54" s="1"/>
  <c r="I32" i="53"/>
  <c r="G32" i="53"/>
  <c r="F32" i="53"/>
  <c r="E32" i="53"/>
  <c r="I31" i="53"/>
  <c r="G31" i="53"/>
  <c r="H31" i="53" s="1"/>
  <c r="F31" i="53"/>
  <c r="E31" i="53"/>
  <c r="I30" i="53"/>
  <c r="G30" i="53"/>
  <c r="H30" i="53" s="1"/>
  <c r="F30" i="53"/>
  <c r="E30" i="53"/>
  <c r="I29" i="53"/>
  <c r="G29" i="53"/>
  <c r="H29" i="53" s="1"/>
  <c r="F29" i="53"/>
  <c r="E29" i="53"/>
  <c r="I28" i="53"/>
  <c r="H28" i="53"/>
  <c r="G28" i="53"/>
  <c r="F28" i="53"/>
  <c r="E28" i="53"/>
  <c r="I27" i="53"/>
  <c r="G27" i="53"/>
  <c r="F27" i="53"/>
  <c r="E27" i="53"/>
  <c r="I26" i="53"/>
  <c r="G26" i="53"/>
  <c r="H26" i="53" s="1"/>
  <c r="F26" i="53"/>
  <c r="E26" i="53"/>
  <c r="I25" i="53"/>
  <c r="G25" i="53"/>
  <c r="H25" i="53" s="1"/>
  <c r="F25" i="53"/>
  <c r="E25" i="53"/>
  <c r="I24" i="53"/>
  <c r="G24" i="53"/>
  <c r="H24" i="53" s="1"/>
  <c r="F24" i="53"/>
  <c r="E24" i="53"/>
  <c r="I23" i="53"/>
  <c r="G23" i="53"/>
  <c r="H23" i="53" s="1"/>
  <c r="F23" i="53"/>
  <c r="E23" i="53"/>
  <c r="I22" i="53"/>
  <c r="G22" i="53"/>
  <c r="H22" i="53" s="1"/>
  <c r="F22" i="53"/>
  <c r="E22" i="53"/>
  <c r="I21" i="53"/>
  <c r="G21" i="53"/>
  <c r="H21" i="53" s="1"/>
  <c r="F21" i="53"/>
  <c r="E21" i="53"/>
  <c r="I20" i="53"/>
  <c r="G20" i="53"/>
  <c r="H20" i="53" s="1"/>
  <c r="F20" i="53"/>
  <c r="E20" i="53"/>
  <c r="I19" i="53"/>
  <c r="G19" i="53"/>
  <c r="F19" i="53"/>
  <c r="E19" i="53"/>
  <c r="I18" i="53"/>
  <c r="G18" i="53"/>
  <c r="H18" i="53" s="1"/>
  <c r="F18" i="53"/>
  <c r="E18" i="53"/>
  <c r="I17" i="53"/>
  <c r="H17" i="53"/>
  <c r="G17" i="53"/>
  <c r="F17" i="53"/>
  <c r="E17" i="53"/>
  <c r="I16" i="53"/>
  <c r="G16" i="53"/>
  <c r="H16" i="53" s="1"/>
  <c r="F16" i="53"/>
  <c r="E16" i="53"/>
  <c r="I15" i="53"/>
  <c r="G15" i="53"/>
  <c r="F15" i="53"/>
  <c r="E15" i="53"/>
  <c r="I14" i="53"/>
  <c r="G14" i="53"/>
  <c r="H14" i="53" s="1"/>
  <c r="F14" i="53"/>
  <c r="E14" i="53"/>
  <c r="I13" i="53"/>
  <c r="G13" i="53"/>
  <c r="F13" i="53"/>
  <c r="E13" i="53"/>
  <c r="I12" i="53"/>
  <c r="G12" i="53"/>
  <c r="H12" i="53" s="1"/>
  <c r="F12" i="53"/>
  <c r="E12" i="53"/>
  <c r="F11" i="53"/>
  <c r="I10" i="53"/>
  <c r="G10" i="53"/>
  <c r="F10" i="53"/>
  <c r="E10" i="53"/>
  <c r="I9" i="53"/>
  <c r="G9" i="53"/>
  <c r="F9" i="53"/>
  <c r="E9" i="53"/>
  <c r="I8" i="53"/>
  <c r="G8" i="53"/>
  <c r="F8" i="53"/>
  <c r="E8" i="53"/>
  <c r="I7" i="53"/>
  <c r="G7" i="53"/>
  <c r="F7" i="53"/>
  <c r="F6" i="53" s="1"/>
  <c r="E7" i="53"/>
  <c r="E6" i="53" s="1"/>
  <c r="I6" i="53"/>
  <c r="H10" i="53" l="1"/>
  <c r="I11" i="53"/>
  <c r="H32" i="53"/>
  <c r="H7" i="53"/>
  <c r="H8" i="53"/>
  <c r="H9" i="53"/>
  <c r="H13" i="53"/>
  <c r="F33" i="53"/>
  <c r="E11" i="53"/>
  <c r="E33" i="53" s="1"/>
  <c r="G11" i="53"/>
  <c r="H11" i="53" s="1"/>
  <c r="H15" i="53"/>
  <c r="H27" i="53"/>
  <c r="H33" i="49"/>
  <c r="I33" i="53"/>
  <c r="G6" i="53"/>
  <c r="H19" i="53"/>
  <c r="H6" i="53" l="1"/>
  <c r="G33" i="53"/>
  <c r="H33" i="53" s="1"/>
  <c r="W32" i="50" l="1"/>
  <c r="R32" i="50"/>
  <c r="M32" i="50"/>
  <c r="I32" i="50"/>
  <c r="G32" i="50"/>
  <c r="F32" i="50"/>
  <c r="E32" i="50"/>
  <c r="W31" i="50"/>
  <c r="R31" i="50"/>
  <c r="M31" i="50"/>
  <c r="I31" i="50"/>
  <c r="G31" i="50"/>
  <c r="H31" i="50" s="1"/>
  <c r="F31" i="50"/>
  <c r="E31" i="50"/>
  <c r="W30" i="50"/>
  <c r="R30" i="50"/>
  <c r="M30" i="50"/>
  <c r="I30" i="50"/>
  <c r="G30" i="50"/>
  <c r="F30" i="50"/>
  <c r="E30" i="50"/>
  <c r="I29" i="50"/>
  <c r="G29" i="50"/>
  <c r="F29" i="50"/>
  <c r="E29" i="50"/>
  <c r="I28" i="50"/>
  <c r="G28" i="50"/>
  <c r="H28" i="50" s="1"/>
  <c r="F28" i="50"/>
  <c r="E28" i="50"/>
  <c r="I27" i="50"/>
  <c r="G27" i="50"/>
  <c r="F27" i="50"/>
  <c r="E27" i="50"/>
  <c r="I26" i="50"/>
  <c r="G26" i="50"/>
  <c r="F26" i="50"/>
  <c r="E26" i="50"/>
  <c r="W25" i="50"/>
  <c r="R25" i="50"/>
  <c r="M25" i="50"/>
  <c r="I25" i="50"/>
  <c r="G25" i="50"/>
  <c r="F25" i="50"/>
  <c r="E25" i="50"/>
  <c r="I24" i="50"/>
  <c r="G24" i="50"/>
  <c r="F24" i="50"/>
  <c r="E24" i="50"/>
  <c r="I23" i="50"/>
  <c r="G23" i="50"/>
  <c r="F23" i="50"/>
  <c r="E23" i="50"/>
  <c r="I22" i="50"/>
  <c r="G22" i="50"/>
  <c r="F22" i="50"/>
  <c r="E22" i="50"/>
  <c r="I21" i="50"/>
  <c r="G21" i="50"/>
  <c r="F21" i="50"/>
  <c r="E21" i="50"/>
  <c r="I20" i="50"/>
  <c r="G20" i="50"/>
  <c r="H20" i="50" s="1"/>
  <c r="F20" i="50"/>
  <c r="E20" i="50"/>
  <c r="I19" i="50"/>
  <c r="G19" i="50"/>
  <c r="H19" i="50" s="1"/>
  <c r="F19" i="50"/>
  <c r="E19" i="50"/>
  <c r="I18" i="50"/>
  <c r="G18" i="50"/>
  <c r="F18" i="50"/>
  <c r="E18" i="50"/>
  <c r="I17" i="50"/>
  <c r="G17" i="50"/>
  <c r="F17" i="50"/>
  <c r="E17" i="50"/>
  <c r="I16" i="50"/>
  <c r="G16" i="50"/>
  <c r="H16" i="50" s="1"/>
  <c r="F16" i="50"/>
  <c r="E16" i="50"/>
  <c r="I15" i="50"/>
  <c r="G15" i="50"/>
  <c r="H15" i="50" s="1"/>
  <c r="F15" i="50"/>
  <c r="E15" i="50"/>
  <c r="I14" i="50"/>
  <c r="G14" i="50"/>
  <c r="F14" i="50"/>
  <c r="E14" i="50"/>
  <c r="I13" i="50"/>
  <c r="G13" i="50"/>
  <c r="F13" i="50"/>
  <c r="E13" i="50"/>
  <c r="I12" i="50"/>
  <c r="G12" i="50"/>
  <c r="H12" i="50" s="1"/>
  <c r="F12" i="50"/>
  <c r="E12" i="50"/>
  <c r="I10" i="50"/>
  <c r="G10" i="50"/>
  <c r="F10" i="50"/>
  <c r="E10" i="50"/>
  <c r="I9" i="50"/>
  <c r="G9" i="50"/>
  <c r="F9" i="50"/>
  <c r="E9" i="50"/>
  <c r="I8" i="50"/>
  <c r="G8" i="50"/>
  <c r="F8" i="50"/>
  <c r="E8" i="50"/>
  <c r="I7" i="50"/>
  <c r="G7" i="50"/>
  <c r="F7" i="50"/>
  <c r="E7" i="50"/>
  <c r="E6" i="50" s="1"/>
  <c r="U33" i="50"/>
  <c r="T33" i="50"/>
  <c r="S33" i="50"/>
  <c r="P33" i="50"/>
  <c r="O33" i="50"/>
  <c r="N33" i="50"/>
  <c r="L33" i="50"/>
  <c r="K33" i="50"/>
  <c r="I6" i="50"/>
  <c r="G6" i="50"/>
  <c r="F6" i="50"/>
  <c r="I11" i="50" l="1"/>
  <c r="G11" i="50"/>
  <c r="I33" i="50"/>
  <c r="G33" i="50"/>
  <c r="H27" i="50"/>
  <c r="H8" i="50"/>
  <c r="H9" i="50"/>
  <c r="E11" i="50"/>
  <c r="E33" i="50" s="1"/>
  <c r="H7" i="50"/>
  <c r="H18" i="50"/>
  <c r="H22" i="50"/>
  <c r="H10" i="50"/>
  <c r="H13" i="50"/>
  <c r="H17" i="50"/>
  <c r="H21" i="50"/>
  <c r="H25" i="50"/>
  <c r="J33" i="50"/>
  <c r="H30" i="50"/>
  <c r="H29" i="50"/>
  <c r="H32" i="50"/>
  <c r="H26" i="50"/>
  <c r="H24" i="50"/>
  <c r="F11" i="50"/>
  <c r="F33" i="50" s="1"/>
  <c r="H23" i="50"/>
  <c r="H14" i="50"/>
  <c r="X33" i="50"/>
  <c r="M33" i="50"/>
  <c r="H6" i="50"/>
  <c r="Q33" i="50"/>
  <c r="R33" i="50" s="1"/>
  <c r="V33" i="50"/>
  <c r="W33" i="50" s="1"/>
  <c r="W32" i="25"/>
  <c r="R32" i="25"/>
  <c r="M32" i="25"/>
  <c r="I32" i="25"/>
  <c r="G32" i="25"/>
  <c r="H32" i="25" s="1"/>
  <c r="F32" i="25"/>
  <c r="E32" i="25"/>
  <c r="I31" i="25"/>
  <c r="G31" i="25"/>
  <c r="F31" i="25"/>
  <c r="E31" i="25"/>
  <c r="I30" i="25"/>
  <c r="G30" i="25"/>
  <c r="F30" i="25"/>
  <c r="E30" i="25"/>
  <c r="I29" i="25"/>
  <c r="G29" i="25"/>
  <c r="H29" i="25" s="1"/>
  <c r="F29" i="25"/>
  <c r="E29" i="25"/>
  <c r="I28" i="25"/>
  <c r="G28" i="25"/>
  <c r="H28" i="25" s="1"/>
  <c r="F28" i="25"/>
  <c r="E28" i="25"/>
  <c r="W27" i="25"/>
  <c r="R27" i="25"/>
  <c r="M27" i="25"/>
  <c r="I27" i="25"/>
  <c r="G27" i="25"/>
  <c r="F27" i="25"/>
  <c r="E27" i="25"/>
  <c r="I26" i="25"/>
  <c r="G26" i="25"/>
  <c r="F26" i="25"/>
  <c r="E26" i="25"/>
  <c r="I25" i="25"/>
  <c r="G25" i="25"/>
  <c r="F25" i="25"/>
  <c r="E25" i="25"/>
  <c r="I24" i="25"/>
  <c r="G24" i="25"/>
  <c r="F24" i="25"/>
  <c r="E24" i="25"/>
  <c r="I23" i="25"/>
  <c r="G23" i="25"/>
  <c r="F23" i="25"/>
  <c r="E23" i="25"/>
  <c r="I22" i="25"/>
  <c r="G22" i="25"/>
  <c r="F22" i="25"/>
  <c r="E22" i="25"/>
  <c r="E21" i="25"/>
  <c r="I21" i="25"/>
  <c r="G21" i="25"/>
  <c r="H21" i="25" s="1"/>
  <c r="F21" i="25"/>
  <c r="E20" i="25"/>
  <c r="I20" i="25"/>
  <c r="F20" i="25"/>
  <c r="G19" i="25"/>
  <c r="I19" i="25"/>
  <c r="F19" i="25"/>
  <c r="E19" i="25"/>
  <c r="I18" i="25"/>
  <c r="G18" i="25"/>
  <c r="F18" i="25"/>
  <c r="E18" i="25"/>
  <c r="I17" i="25"/>
  <c r="G17" i="25"/>
  <c r="F17" i="25"/>
  <c r="E17" i="25"/>
  <c r="I16" i="25"/>
  <c r="G16" i="25"/>
  <c r="F16" i="25"/>
  <c r="E16" i="25"/>
  <c r="I15" i="25"/>
  <c r="F15" i="25"/>
  <c r="E15" i="25"/>
  <c r="I14" i="25"/>
  <c r="G14" i="25"/>
  <c r="F14" i="25"/>
  <c r="E14" i="25"/>
  <c r="I13" i="25"/>
  <c r="F13" i="25"/>
  <c r="E13" i="25"/>
  <c r="I12" i="25"/>
  <c r="G12" i="25"/>
  <c r="H12" i="25" s="1"/>
  <c r="F12" i="25"/>
  <c r="E12" i="25"/>
  <c r="I10" i="25"/>
  <c r="G10" i="25"/>
  <c r="F10" i="25"/>
  <c r="E10" i="25"/>
  <c r="O33" i="25"/>
  <c r="I9" i="25"/>
  <c r="G9" i="25"/>
  <c r="H9" i="25" s="1"/>
  <c r="F9" i="25"/>
  <c r="E9" i="25"/>
  <c r="I8" i="25"/>
  <c r="G8" i="25"/>
  <c r="F8" i="25"/>
  <c r="E8" i="25"/>
  <c r="I7" i="25"/>
  <c r="G7" i="25"/>
  <c r="F7" i="25"/>
  <c r="E7" i="25"/>
  <c r="P33" i="25"/>
  <c r="H30" i="25" l="1"/>
  <c r="H31" i="25"/>
  <c r="H10" i="25"/>
  <c r="G6" i="25"/>
  <c r="H7" i="25"/>
  <c r="H33" i="50"/>
  <c r="H16" i="25"/>
  <c r="G20" i="25"/>
  <c r="K33" i="25"/>
  <c r="H18" i="25"/>
  <c r="H11" i="50"/>
  <c r="T33" i="25"/>
  <c r="U33" i="25"/>
  <c r="S33" i="25"/>
  <c r="H23" i="25"/>
  <c r="H27" i="25"/>
  <c r="H25" i="25"/>
  <c r="H17" i="25"/>
  <c r="F11" i="25"/>
  <c r="J33" i="25"/>
  <c r="E11" i="25"/>
  <c r="H26" i="25"/>
  <c r="H22" i="25"/>
  <c r="H24" i="25"/>
  <c r="H20" i="25"/>
  <c r="N33" i="25"/>
  <c r="I11" i="25"/>
  <c r="H14" i="25"/>
  <c r="X33" i="25"/>
  <c r="I6" i="25"/>
  <c r="E6" i="25"/>
  <c r="F6" i="25"/>
  <c r="H8" i="25"/>
  <c r="H19" i="25"/>
  <c r="H6" i="25"/>
  <c r="L33" i="25"/>
  <c r="G15" i="25"/>
  <c r="H15" i="25" s="1"/>
  <c r="V33" i="25"/>
  <c r="G13" i="25"/>
  <c r="M33" i="25" l="1"/>
  <c r="E33" i="25"/>
  <c r="W33" i="25"/>
  <c r="Q33" i="25"/>
  <c r="R33" i="25" s="1"/>
  <c r="F33" i="25"/>
  <c r="I33" i="25"/>
  <c r="H13" i="25"/>
  <c r="G11" i="25"/>
  <c r="H11" i="25" l="1"/>
  <c r="G33" i="25"/>
  <c r="H33" i="25" s="1"/>
</calcChain>
</file>

<file path=xl/sharedStrings.xml><?xml version="1.0" encoding="utf-8"?>
<sst xmlns="http://schemas.openxmlformats.org/spreadsheetml/2006/main" count="4664" uniqueCount="1253">
  <si>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</si>
  <si>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</si>
  <si>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</si>
  <si>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</si>
  <si>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</si>
  <si>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</si>
  <si>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</si>
  <si>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</si>
  <si>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</si>
  <si>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</si>
  <si>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</si>
  <si>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</si>
  <si>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</si>
  <si>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</si>
  <si>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</si>
  <si>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</si>
  <si>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</si>
  <si>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</si>
  <si>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</si>
  <si>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</si>
  <si>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</si>
  <si>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</si>
  <si>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</si>
  <si>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</si>
  <si>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</si>
  <si>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</si>
  <si>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</si>
  <si>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</si>
  <si>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</si>
  <si>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</si>
  <si>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</si>
  <si>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</si>
  <si>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</si>
  <si>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</si>
  <si>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</si>
  <si>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Roční plán</t>
  </si>
  <si>
    <t>Skutečnost</t>
  </si>
  <si>
    <t>SK/RP</t>
  </si>
  <si>
    <t>Vztah ke zřizovateli</t>
  </si>
  <si>
    <t>Poř. číslo</t>
  </si>
  <si>
    <t>Ukazatel</t>
  </si>
  <si>
    <t>Měrná jednotka</t>
  </si>
  <si>
    <t>Schválený roční plán</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</si>
  <si>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</si>
  <si>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</si>
  <si>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</si>
  <si>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</si>
  <si>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</si>
  <si>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</si>
  <si>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</si>
  <si>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</si>
  <si>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</si>
  <si>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</si>
  <si>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</si>
  <si>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</si>
  <si>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</si>
  <si>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29.</t>
  </si>
  <si>
    <t>30.</t>
  </si>
  <si>
    <t>31.</t>
  </si>
  <si>
    <t>67X - Výnosy z transferů</t>
  </si>
  <si>
    <t>50X - Jiné spotřebované nákupy</t>
  </si>
  <si>
    <t>53X - Daně a poplatky</t>
  </si>
  <si>
    <t>54X - Jiné ostatní náklady</t>
  </si>
  <si>
    <t>551 - Odpisy dlouhodobého majetku</t>
  </si>
  <si>
    <t>55X - Jiné odpisy, rezervy a opravné položky</t>
  </si>
  <si>
    <t>549 - Ostatní náklady z činnosti</t>
  </si>
  <si>
    <t>57X - Náklady na transfery</t>
  </si>
  <si>
    <t>59X - Daň z příjmů</t>
  </si>
  <si>
    <t>Kategorie</t>
  </si>
  <si>
    <t>Hlavní činnost (zřizovatel)</t>
  </si>
  <si>
    <t>Rezervní fond</t>
  </si>
  <si>
    <t>Fond odměn</t>
  </si>
  <si>
    <t>Číslo účtu - Název účtu dle rozvahy</t>
  </si>
  <si>
    <t>Číslo faktury</t>
  </si>
  <si>
    <t>Účel</t>
  </si>
  <si>
    <t>Mateřská škola Prostějov, ul. Šárka 4a, příspěvková organizace</t>
  </si>
  <si>
    <t>Mateřská škola Prostějov, Partyzánská ul. 34, příspěvková organizace</t>
  </si>
  <si>
    <t>Mateřská škola Prostějov, Smetanova ul. 24, příspěvková organizace</t>
  </si>
  <si>
    <t>Mateřská škola Prostějov, Moravská ul. 30, příspěvková organizace</t>
  </si>
  <si>
    <t>Základní škola a mateřská škola Prostějov, Palackého tř. 14</t>
  </si>
  <si>
    <t>Základní škola a mateřská škola Prostějov, Kollárova ul. 4</t>
  </si>
  <si>
    <t>Základní škola a mateřská škola Jana Železného Prostějov, Sídliště svobody 24/79</t>
  </si>
  <si>
    <t>Základní škola a mateřská škola Prostějov, Melantrichova 60</t>
  </si>
  <si>
    <t>Základní škola Prostějov, ul. Vl. Majakovského 1</t>
  </si>
  <si>
    <t>Reálné gymnázium a základní škola města Prostějova, Studentská ul. 2</t>
  </si>
  <si>
    <t>Základní škola Prostějov, Dr. Horáka 24</t>
  </si>
  <si>
    <t>Základní škola Prostějov, ul. E. Valenty 52</t>
  </si>
  <si>
    <t>Sportcentrum - DDM Prostějov, příspěvková organizace, Olympijská 4</t>
  </si>
  <si>
    <t>Základní umělecká škola Vl. Ambrose Prostějov, Kravařova 14</t>
  </si>
  <si>
    <t>Městské divadlo v Prostějově, příspěvková organizace, Vojáčkovo nám. 1</t>
  </si>
  <si>
    <t>Městská knihovna Prostějov, příspěvková organizace, Skálovo nám. 6</t>
  </si>
  <si>
    <t>Mateřská škola Prostějov, Rumunská ul. 23, příspěvková organizace</t>
  </si>
  <si>
    <t>558 - Náklady z drobného dlouhodobého majetku</t>
  </si>
  <si>
    <t xml:space="preserve"> </t>
  </si>
  <si>
    <t>Datum provedení úpravy</t>
  </si>
  <si>
    <t>Celkem hlavní činnost</t>
  </si>
  <si>
    <t>Vztah k Olomouckému kraji, popř. SR ČR, EU apod.</t>
  </si>
  <si>
    <t>Celkem doplňková činnost</t>
  </si>
  <si>
    <t>Srovn. skut. 2014</t>
  </si>
  <si>
    <t>Fond investic</t>
  </si>
  <si>
    <t>Čerpáno v roce 2015 (Kč)</t>
  </si>
  <si>
    <t>Důvod úpravy</t>
  </si>
  <si>
    <t>Analytický účet</t>
  </si>
  <si>
    <t>Částka ± úpravy výnosů v Kč</t>
  </si>
  <si>
    <t>Částka ± úpravy nákladů v Kč</t>
  </si>
  <si>
    <t>Datum schválení úpravy</t>
  </si>
  <si>
    <t>648/0320</t>
  </si>
  <si>
    <t>501/0430</t>
  </si>
  <si>
    <t>551/0300</t>
  </si>
  <si>
    <t>518/0320</t>
  </si>
  <si>
    <t>549/0301</t>
  </si>
  <si>
    <t>Celkem úpravy finančního plánu v Kč</t>
  </si>
  <si>
    <t>551/0310</t>
  </si>
  <si>
    <t>558/0300</t>
  </si>
  <si>
    <t>672/0500</t>
  </si>
  <si>
    <t>672/0520</t>
  </si>
  <si>
    <t>31.3.205</t>
  </si>
  <si>
    <t>648/0300</t>
  </si>
  <si>
    <t>649/0310</t>
  </si>
  <si>
    <t>501/0431</t>
  </si>
  <si>
    <t>672/0510</t>
  </si>
  <si>
    <t>518/130</t>
  </si>
  <si>
    <t>518/0800</t>
  </si>
  <si>
    <t>648/0350</t>
  </si>
  <si>
    <t>501/0330</t>
  </si>
  <si>
    <t>558/0305</t>
  </si>
  <si>
    <t>551/0320</t>
  </si>
  <si>
    <t>538/0320</t>
  </si>
  <si>
    <t>518/0430</t>
  </si>
  <si>
    <t>549/0300</t>
  </si>
  <si>
    <t>518/0510</t>
  </si>
  <si>
    <t>512/0300</t>
  </si>
  <si>
    <t>501/0350</t>
  </si>
  <si>
    <t>501/0700</t>
  </si>
  <si>
    <t>602/390</t>
  </si>
  <si>
    <t>501/390,391</t>
  </si>
  <si>
    <t>501/370</t>
  </si>
  <si>
    <t>501/350</t>
  </si>
  <si>
    <t>501/320</t>
  </si>
  <si>
    <t>501/430</t>
  </si>
  <si>
    <t>502/0330</t>
  </si>
  <si>
    <t>649/320</t>
  </si>
  <si>
    <t>501/649</t>
  </si>
  <si>
    <t>648/350</t>
  </si>
  <si>
    <t>502/330</t>
  </si>
  <si>
    <t>551/300</t>
  </si>
  <si>
    <t>558/0310</t>
  </si>
  <si>
    <t>672/0502</t>
  </si>
  <si>
    <t>551/672</t>
  </si>
  <si>
    <t>Užití fondu dle Zásad pro hospodaření s FKSP.</t>
  </si>
  <si>
    <t>551/310</t>
  </si>
  <si>
    <t>672/320</t>
  </si>
  <si>
    <t>501/461</t>
  </si>
  <si>
    <t>544/330</t>
  </si>
  <si>
    <t>542/310</t>
  </si>
  <si>
    <t>649/330</t>
  </si>
  <si>
    <t>558/300</t>
  </si>
  <si>
    <t>501/310</t>
  </si>
  <si>
    <t>649/400</t>
  </si>
  <si>
    <t>551/210</t>
  </si>
  <si>
    <t>558/001</t>
  </si>
  <si>
    <t>311 - Odběratelé</t>
  </si>
  <si>
    <t>549/350</t>
  </si>
  <si>
    <t>672/0310</t>
  </si>
  <si>
    <t>648/0800</t>
  </si>
  <si>
    <t>3.3.2015 RMP</t>
  </si>
  <si>
    <t>511/0330</t>
  </si>
  <si>
    <t>16.6.2015 ZMP</t>
  </si>
  <si>
    <t>16. 6. 2015 RMP</t>
  </si>
  <si>
    <t>Fond bude čerpán dle aktuál. potřeb organizace.</t>
  </si>
  <si>
    <t>K 31.12.2015</t>
  </si>
  <si>
    <t>511 - Opravy a udržování</t>
  </si>
  <si>
    <t>541, 542 - Pokuty, úroky z prodlení  a penále</t>
  </si>
  <si>
    <t>543 - Dary a jiná bezúplatná předání</t>
  </si>
  <si>
    <t>Výsledek hospodaření po zdanění</t>
  </si>
  <si>
    <t>1. Zlepšený výsledek hospodaření za rok 2015</t>
  </si>
  <si>
    <t>Komentář k tvorbě hospodářského výsledku roku 2015</t>
  </si>
  <si>
    <t>Celkem rok 2015</t>
  </si>
  <si>
    <t>Doplňková činnost (zřizovatel)</t>
  </si>
  <si>
    <t>Ostatní</t>
  </si>
  <si>
    <t>2. Návrh na rozdělení zlepšeného výsledku hospodaření (zřizovatel) za rok 2015 na základě jeho projednání</t>
  </si>
  <si>
    <t>Peněžní fond</t>
  </si>
  <si>
    <t>Zřizovatel</t>
  </si>
  <si>
    <t>Organizace</t>
  </si>
  <si>
    <t>3. Fondové hospodaření příspěvkové organizace v roce 2015 v Kč</t>
  </si>
  <si>
    <t>Počáteční zůstatek 2015</t>
  </si>
  <si>
    <t>Zdroje 2015</t>
  </si>
  <si>
    <t>Čerpání 2015</t>
  </si>
  <si>
    <t>Konečný zůstatek 2015</t>
  </si>
  <si>
    <t>Komentář k plánovanému užití fondu</t>
  </si>
  <si>
    <t>Rezervní fond celkem</t>
  </si>
  <si>
    <t>Investiční fond</t>
  </si>
  <si>
    <t>Motivační program zaměstnanců organizace.</t>
  </si>
  <si>
    <t>Fond kulturních a sociálních potřeb</t>
  </si>
  <si>
    <t>Příspěvek na stravu zaměstananců, na dary k výročí a vitamíny.</t>
  </si>
  <si>
    <t>4. Pohledávky roku 2015 po lhůtě splatnosti</t>
  </si>
  <si>
    <t>Způsob vymáhání pohledávky po lhůtě splatnosti (dosavadní a plánovaný)</t>
  </si>
  <si>
    <t>5. Závazky roku 2015 po lhůtě splatnosti</t>
  </si>
  <si>
    <t>6. Přehled přijatých darů v roce 2015</t>
  </si>
  <si>
    <t>7. Úpravy finančního plánu příspěvkové organizace v roce 2015 v hlavní činnosti</t>
  </si>
  <si>
    <t>551/03</t>
  </si>
  <si>
    <t>502/03</t>
  </si>
  <si>
    <t>558/03</t>
  </si>
  <si>
    <t>518/03</t>
  </si>
  <si>
    <t>511/03</t>
  </si>
  <si>
    <t>512/00</t>
  </si>
  <si>
    <t>513/00</t>
  </si>
  <si>
    <t>648/00</t>
  </si>
  <si>
    <t>501/04</t>
  </si>
  <si>
    <t>602/031</t>
  </si>
  <si>
    <t>501/030</t>
  </si>
  <si>
    <t>8. Úpravy finančního plánu příspěvkové organizace v roce 2015 v doplňkové činnosti</t>
  </si>
  <si>
    <t>9. Plnění opatření z minulého kontrolního dne k výsledkům hospodaření za I. pololetí roku 2015</t>
  </si>
  <si>
    <t>10. Ostatní závěry, které vyplynuly z jednání kontrolního dne k výsledkům hospodaření za rok 2015, vztahované k období roku 2016, popř. obdobím následujícím</t>
  </si>
  <si>
    <t>Obnova herních prvků na školní zahradě.</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</si>
  <si>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110.020,66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indexed="8"/>
        <rFont val="Times New Roman"/>
        <family val="1"/>
        <charset val="238"/>
      </rPr>
      <t>100.020,66 Kč,</t>
    </r>
    <r>
      <rPr>
        <sz val="8"/>
        <color indexed="8"/>
        <rFont val="Times New Roman"/>
        <family val="1"/>
        <charset val="238"/>
      </rPr>
      <t xml:space="preserve"> s tím, že tato částka bude účelově vázána na nákup nábytku ve třídách MŠ (obnova zastaralého vybavení). </t>
    </r>
    <r>
      <rPr>
        <b/>
        <sz val="8"/>
        <color indexed="8"/>
        <rFont val="Times New Roman"/>
        <family val="1"/>
        <charset val="238"/>
      </rPr>
      <t>Kontrola užití účelově vázaných prostředků bude provedena  na kontrolním dnu k výsledkům hospodaření organizace za I. pololetí roku 2016.</t>
    </r>
    <r>
      <rPr>
        <sz val="8"/>
        <color indexed="8"/>
        <rFont val="Times New Roman"/>
        <family val="1"/>
        <charset val="238"/>
      </rPr>
      <t xml:space="preserve"> Do fondu odměn je navrženo převést částku </t>
    </r>
    <r>
      <rPr>
        <b/>
        <sz val="8"/>
        <color indexed="8"/>
        <rFont val="Times New Roman"/>
        <family val="1"/>
        <charset val="238"/>
      </rPr>
      <t>10.000 Kč.</t>
    </r>
  </si>
  <si>
    <t>2. Příděl fondům provede organizace na základě písemného vyrozumění Odboru školství, kultury a sportu MMPv.</t>
  </si>
  <si>
    <t>Investiční fond bude použit v následujících letech na opravy plotů mateřské školy.</t>
  </si>
  <si>
    <t>Není zatím plánováno jeho čerpání.</t>
  </si>
  <si>
    <t>Fond FKSP je čerpán v souladu se směrnicí organizace o FKSP. Jedná se o příspěvek na důchodové pojištění a dary k životnímu a pracovnímu výročí zaměstnanců.</t>
  </si>
  <si>
    <t>Nakoupeny hry pro děti.</t>
  </si>
  <si>
    <t>Nakoupeno dětské zahradní nářadí pro údržbu záhonů a zahradních ploch dětmi - lopatky, kultivátory, motyčky, konve, košťata.</t>
  </si>
  <si>
    <t>Nakoupeny výukové hry a hračky.</t>
  </si>
  <si>
    <t>549/340</t>
  </si>
  <si>
    <t>518/380</t>
  </si>
  <si>
    <t>672/501</t>
  </si>
  <si>
    <t xml:space="preserve">Výsledek hospodaření ve výši 159.158,11 Kč byl dosažen hlavně úsporami v nákladových položkách. Jedná se zejména o úsporu v položce spotřebního materiálu ve výši 144 tisíc korun. Další, menší úspory jsou na energiích a v položce oprav a údržby a ostatních služeb. </t>
  </si>
  <si>
    <t>1. Účelově vázané prostředky výsledku hospodaření roku 2014 ve výši 73.705,13 kč byly použity na dovybavení třídy pracoviště Libušinka 18 v souladu s uloženým usnesením.</t>
  </si>
  <si>
    <r>
      <t xml:space="preserve">1. Účastníci kontrolního dne, vzhledem k provedené analýze výsledku hospodaření doporučují ponechat organizaci část výsledku hospodaření ve výši </t>
    </r>
    <r>
      <rPr>
        <b/>
        <sz val="8"/>
        <color theme="1"/>
        <rFont val="Times New Roman"/>
        <family val="1"/>
        <charset val="238"/>
      </rPr>
      <t>138.998,11 Kč</t>
    </r>
    <r>
      <rPr>
        <sz val="8"/>
        <color theme="1"/>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celou částku </t>
    </r>
    <r>
      <rPr>
        <b/>
        <sz val="8"/>
        <color theme="1"/>
        <rFont val="Times New Roman"/>
        <family val="1"/>
        <charset val="238"/>
      </rPr>
      <t xml:space="preserve">138 998,11 Kč, </t>
    </r>
    <r>
      <rPr>
        <sz val="8"/>
        <color theme="1"/>
        <rFont val="Times New Roman"/>
        <family val="1"/>
        <charset val="238"/>
      </rPr>
      <t xml:space="preserve">s tím, že </t>
    </r>
    <r>
      <rPr>
        <b/>
        <sz val="8"/>
        <color theme="1"/>
        <rFont val="Times New Roman"/>
        <family val="1"/>
        <charset val="238"/>
      </rPr>
      <t>97.000,00 Kč</t>
    </r>
    <r>
      <rPr>
        <sz val="8"/>
        <color theme="1"/>
        <rFont val="Times New Roman"/>
        <family val="1"/>
        <charset val="238"/>
      </rPr>
      <t xml:space="preserve"> bude účelově vázáno na pořízení elektrického kotle a </t>
    </r>
    <r>
      <rPr>
        <b/>
        <sz val="8"/>
        <color theme="1"/>
        <rFont val="Times New Roman"/>
        <family val="1"/>
        <charset val="238"/>
      </rPr>
      <t>41.998,11 Kč</t>
    </r>
    <r>
      <rPr>
        <sz val="8"/>
        <color theme="1"/>
        <rFont val="Times New Roman"/>
        <family val="1"/>
        <charset val="238"/>
      </rPr>
      <t xml:space="preserve"> bude účelově vázáno na pořízení kondenzační digestoře páry do ŠJ Libušinka. </t>
    </r>
    <r>
      <rPr>
        <b/>
        <sz val="8"/>
        <color theme="1"/>
        <rFont val="Times New Roman"/>
        <family val="1"/>
        <charset val="238"/>
      </rPr>
      <t>Kontrola užití účelově vázaných prostředků bude provedena na KD k výsledkům hospodaření organizace za I. pololetí 2016.</t>
    </r>
    <r>
      <rPr>
        <sz val="8"/>
        <color theme="1"/>
        <rFont val="Times New Roman"/>
        <family val="1"/>
        <charset val="238"/>
      </rPr>
      <t xml:space="preserve"> Účastníci kontrolního dne, vzhledem k provedené analýze výsledku hospodaření, doporučují odvést část výsledku hospodaření ve výši 20 160,00 Kč na účet zřizovatele v rámci finančního vypořádání roku 2015. Příděl do fondu a odvod na účet zřizovatele provede organizace na základě písemného vyrozumění Odboru školství, kultury a sportu MMPv.</t>
    </r>
  </si>
  <si>
    <r>
      <t xml:space="preserve">2. Účastníci kontrolního dne, vzhledem k provedené analýze výsledku hospodaření, doporučují odvést část výsledku hospodaření ve výši </t>
    </r>
    <r>
      <rPr>
        <b/>
        <sz val="8"/>
        <rFont val="Times New Roman"/>
        <family val="1"/>
        <charset val="238"/>
      </rPr>
      <t xml:space="preserve">20.160 Kč </t>
    </r>
    <r>
      <rPr>
        <sz val="8"/>
        <rFont val="Times New Roman"/>
        <family val="1"/>
        <charset val="238"/>
      </rPr>
      <t>na účet zřizovatele v rámci finančního vypořádání roku 2015.</t>
    </r>
  </si>
  <si>
    <t>Výnosy z pronájmu bytu, činnost ukončena 28.2.2015</t>
  </si>
  <si>
    <t>502/0310</t>
  </si>
  <si>
    <t>501/0400</t>
  </si>
  <si>
    <t>501/0300</t>
  </si>
  <si>
    <t>502/0320</t>
  </si>
  <si>
    <t>501/0370</t>
  </si>
  <si>
    <t>Výsledek hospodaření byl vytvořen vyššími příjmy ze školného (zvýšení kapacity MŠ) a úsporou na účtech zejména energií, drobné údržby a ONČ zboží s náhradním plněním.</t>
  </si>
  <si>
    <t>Zahradní domek; posílení investičního fondu na vybudování výtahu.</t>
  </si>
  <si>
    <t>Nákup sporáku, vybudování výtahu na stravu.</t>
  </si>
  <si>
    <t>Mimořádné odměny pro 48 zaměstnanců.</t>
  </si>
  <si>
    <t>Životní a pracovní výročí, příspěvek na stravu a penzijní pojištění.</t>
  </si>
  <si>
    <t>Pořízení dětského nábytku.</t>
  </si>
  <si>
    <t>Vybudování výtahu na přepravu stravy bude realizováno v průběhu roku 2016 ve spolupráci s odborem ORI (účelově vázána částka výsledku hospodaření z roku 2014).</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</si>
  <si>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131.318,97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indexed="8"/>
        <rFont val="Times New Roman"/>
        <family val="1"/>
        <charset val="238"/>
      </rPr>
      <t>121.318,97 Kč,</t>
    </r>
    <r>
      <rPr>
        <sz val="8"/>
        <color indexed="8"/>
        <rFont val="Times New Roman"/>
        <family val="1"/>
        <charset val="238"/>
      </rPr>
      <t xml:space="preserve"> s tím, že částka </t>
    </r>
    <r>
      <rPr>
        <b/>
        <sz val="8"/>
        <color indexed="8"/>
        <rFont val="Times New Roman"/>
        <family val="1"/>
        <charset val="238"/>
      </rPr>
      <t>30.000 Kč</t>
    </r>
    <r>
      <rPr>
        <sz val="8"/>
        <color indexed="8"/>
        <rFont val="Times New Roman"/>
        <family val="1"/>
        <charset val="238"/>
      </rPr>
      <t xml:space="preserve"> bude účelově vázána na zakoupení zahradního domku na středisko A. Krále. </t>
    </r>
    <r>
      <rPr>
        <b/>
        <sz val="8"/>
        <color indexed="8"/>
        <rFont val="Times New Roman"/>
        <family val="1"/>
        <charset val="238"/>
      </rPr>
      <t>Kontrola užití účelově vázaných prostředků bude provedena  na kontrolním dnu k výsledkům hospodaření organizace za I. pololetí roku 2016 (včetně 39.000 Kč účelově vázaných z výsledku hospodaření roku 2014 na vybudování výtahu na stravu).</t>
    </r>
    <r>
      <rPr>
        <sz val="8"/>
        <color indexed="8"/>
        <rFont val="Times New Roman"/>
        <family val="1"/>
        <charset val="238"/>
      </rPr>
      <t xml:space="preserve"> Do fondu odměn je navrženo převést částku </t>
    </r>
    <r>
      <rPr>
        <b/>
        <sz val="8"/>
        <color indexed="8"/>
        <rFont val="Times New Roman"/>
        <family val="1"/>
        <charset val="238"/>
      </rPr>
      <t>10.000 Kč.</t>
    </r>
  </si>
  <si>
    <t>3. Příděl do fondu a případný odvod na účet zřizovatele provede organizace na základě písemného vyrozumění Odboru školství, kultury a sportu MMPv.</t>
  </si>
  <si>
    <t>20.3.20158</t>
  </si>
  <si>
    <t>542/0300</t>
  </si>
  <si>
    <t>521/0360</t>
  </si>
  <si>
    <t>648/0310</t>
  </si>
  <si>
    <t>524/0309,0319</t>
  </si>
  <si>
    <t>511/0310</t>
  </si>
  <si>
    <t>512/0320</t>
  </si>
  <si>
    <t>501/0430,0351</t>
  </si>
  <si>
    <t>518/400,410,411,480</t>
  </si>
  <si>
    <t>511/0320</t>
  </si>
  <si>
    <t>602/0307</t>
  </si>
  <si>
    <t>602/0310</t>
  </si>
  <si>
    <t>511/001</t>
  </si>
  <si>
    <t>Výsledk hospodaření organizace vytvořila úsporou energií v důsledku klimatických podmínek v roce 2015 a zateplením MŠ.</t>
  </si>
  <si>
    <t>Výši výsledku hospodaření ovlivnila rozsáhlá oprava koupelny v bytě.</t>
  </si>
  <si>
    <t xml:space="preserve"> Pořízení sekačky trávy.</t>
  </si>
  <si>
    <t>Odměny pracovníkům za plnění mimořádných úkolů.</t>
  </si>
  <si>
    <t>Dle plánu FKSP na rok 2016 (rekreace, příspěvek na stravu).</t>
  </si>
  <si>
    <t xml:space="preserve"> Převod do investičního fondu, nákup herního prvku - průlezka.</t>
  </si>
  <si>
    <t>1. navýšení provozní dotace - odpisy (č.5237).</t>
  </si>
  <si>
    <t>1. odpisy nemovitého majetku.</t>
  </si>
  <si>
    <t>2. navýšení provozní dotace - odpisy (č.5237).</t>
  </si>
  <si>
    <t>2. odpisy movitého majetku.</t>
  </si>
  <si>
    <t>3. použití rezervního fondu z ost.titulů - využítí daru.</t>
  </si>
  <si>
    <t>3. nákup didaktických her.</t>
  </si>
  <si>
    <t>4. použití rezervního fondu na úhradu sankcí.</t>
  </si>
  <si>
    <t>4. úhrada sankce - penále.</t>
  </si>
  <si>
    <t>5. odměna z fondu odměn.</t>
  </si>
  <si>
    <t>6. odvody za odměnu z fondu odměn.</t>
  </si>
  <si>
    <t>7. oprava podlah.</t>
  </si>
  <si>
    <t>8. odměna z fondu odměn.</t>
  </si>
  <si>
    <t>9. odvody za odměnu z fondu odměn.</t>
  </si>
  <si>
    <t>10. úspora cestovné.</t>
  </si>
  <si>
    <t>10. pořízení DDHM.</t>
  </si>
  <si>
    <t>11. předpokládaná úspora energie.</t>
  </si>
  <si>
    <t>11. nákup vybavení MŠ, ŠJ.</t>
  </si>
  <si>
    <t>12. předpokládaná úspora energie.</t>
  </si>
  <si>
    <t>12. navýšení odpisů.</t>
  </si>
  <si>
    <t>13. předpokládaná úspora energie.</t>
  </si>
  <si>
    <t>13. nákup vybavení do ŠJ.</t>
  </si>
  <si>
    <t>14. oprava podlah.</t>
  </si>
  <si>
    <t>15. úspora v položce služeb.</t>
  </si>
  <si>
    <t>15. vyšší náklady na opravu zařízení.</t>
  </si>
  <si>
    <t>15. pořízení DDHM.</t>
  </si>
  <si>
    <t>16. režijní náklady Držovice.</t>
  </si>
  <si>
    <t>16. pořízení DDHM.</t>
  </si>
  <si>
    <t>17. úprava výnosy úplata MŠ, stravné.</t>
  </si>
  <si>
    <t>17. pořízení DDHM.</t>
  </si>
  <si>
    <t>17. pořízení OEM.</t>
  </si>
  <si>
    <t>18. použití rezervního fondu.</t>
  </si>
  <si>
    <t>18. odvody za pracovnice ÚP.</t>
  </si>
  <si>
    <t>7. použítí investičního fondu na opravu podlah.</t>
  </si>
  <si>
    <t>14. použití investičního fondu na opravu podlah.</t>
  </si>
  <si>
    <t>1. navýšení prostředků na opravu bytu.</t>
  </si>
  <si>
    <t>1. ponížení prostředků - revize.</t>
  </si>
  <si>
    <t>Účelově vázané prostředky výsledku hospodaření roku 2014 byly čerpány v souladu s účelem na opravu podlah.</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</si>
  <si>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207.208,69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celou částku </t>
    </r>
    <r>
      <rPr>
        <b/>
        <sz val="8"/>
        <color indexed="8"/>
        <rFont val="Times New Roman"/>
        <family val="1"/>
        <charset val="238"/>
      </rPr>
      <t>207.208,69 Kč,</t>
    </r>
    <r>
      <rPr>
        <sz val="8"/>
        <color indexed="8"/>
        <rFont val="Times New Roman"/>
        <family val="1"/>
        <charset val="238"/>
      </rPr>
      <t xml:space="preserve"> s tím, že bude účelově vázána na malování MŠ a ŠJ a nákup herního prvku - průlezka. </t>
    </r>
    <r>
      <rPr>
        <b/>
        <sz val="8"/>
        <color indexed="8"/>
        <rFont val="Times New Roman"/>
        <family val="1"/>
        <charset val="238"/>
      </rPr>
      <t>Kontrola užití účelově vázaných prostředků bude provedena  na kontrolním dnu k výsledkům hospodaření organizace za I. pololetí roku 2016.</t>
    </r>
  </si>
  <si>
    <t>Čerpáno v r. 2015 - Kč</t>
  </si>
  <si>
    <t>2.3.2 015</t>
  </si>
  <si>
    <t>527//0310</t>
  </si>
  <si>
    <t>Čerpání RF- finanční dary</t>
  </si>
  <si>
    <t xml:space="preserve">25.8.2015
</t>
  </si>
  <si>
    <t xml:space="preserve">1.9.2015
</t>
  </si>
  <si>
    <t xml:space="preserve">
511/0300
</t>
  </si>
  <si>
    <t>549/0310</t>
  </si>
  <si>
    <t>518/0305</t>
  </si>
  <si>
    <t xml:space="preserve">
502/0340
</t>
  </si>
  <si>
    <t>648/0330</t>
  </si>
  <si>
    <t>521/0307</t>
  </si>
  <si>
    <t>525/0307</t>
  </si>
  <si>
    <t>512//0310</t>
  </si>
  <si>
    <t>501/0490</t>
  </si>
  <si>
    <t>511/0320
511/0321</t>
  </si>
  <si>
    <t>649/0300</t>
  </si>
  <si>
    <t>Celkem úpravy finančního plánu v Kč  -  nebyly provedeny</t>
  </si>
  <si>
    <t>Obnova dětského zahradního zařízení, nábytku, hraček.</t>
  </si>
  <si>
    <t>Revitalizace školní zahrady.</t>
  </si>
  <si>
    <t>Odměny zaměstnancům při případném překročení platů.</t>
  </si>
  <si>
    <t>Příspěvek na stravování, ozdravný program, dary k pracovním a životním výročím.</t>
  </si>
  <si>
    <t>Byly čerpány také finanční dary z předchozích období  - na obnovu dětského zahradního mobiliáře, pohyblivých hraček, Tv nářadí a dopravních značek pro dopravní výchovu dětí.</t>
  </si>
  <si>
    <t>Čerpání RF - finanční dary.</t>
  </si>
  <si>
    <t>Nutná obnova dětských pohyblivých hraček a aut pro dopravní výchovu dětí.</t>
  </si>
  <si>
    <t>Pojištění dětí na ozdravný pobyt v Itálii - v rámci školy; předpokládaná úspora na bankovních poplatcích.</t>
  </si>
  <si>
    <t xml:space="preserve">Pojištění dětí na ozdravný pobyt v Itálii - v rámci školy.
</t>
  </si>
  <si>
    <t xml:space="preserve">Na zákl. předání majetku od zřizovatele přeúčtování odpisů.
</t>
  </si>
  <si>
    <t>Změna soustavy analytic. účtů od 1.1.2015 - OOPP.</t>
  </si>
  <si>
    <t xml:space="preserve">22.9.2015
</t>
  </si>
  <si>
    <t>Čerpání rezervního fondu - zlepšený výsledek hospodaření.</t>
  </si>
  <si>
    <t xml:space="preserve">Pořízení dětského zahradního zařízení , sportovního náčiní a dopr. značky pro výuku doprav. výchovy.
</t>
  </si>
  <si>
    <t xml:space="preserve">31.12. 2015
</t>
  </si>
  <si>
    <t>Technické zhodnocení budovy - automatické otevírání dveří - úspora práce prováděné svépomocí a brigádnicky (schváleno ing. Zajíček - ORI).</t>
  </si>
  <si>
    <t>Nutnost zabezpečit nové vstupní dveře po rekonstrukci budovy.</t>
  </si>
  <si>
    <t>Nutná obnova nábytku, ledničky, pořízení myčky děts. zahr. zařízení, kancel. židle, tiskárna, servírov. vozíky.</t>
  </si>
  <si>
    <t>Nutná reinstalace prvků EZS po rekonstrukci školy, přesun přijímacího intern. zařízení z téhož důvodu.</t>
  </si>
  <si>
    <t>Pořízení děts. zahradního zařízení, 4 ks kancel. židle,  Lego Duplo, zásuvk. kontejner, hračky, pomůcky.</t>
  </si>
  <si>
    <t>Nutnost -  papír. ručníky, samolepky na várnice, literatura, tonery, učební pomůcky aj. materiál.</t>
  </si>
  <si>
    <t>Nutnost pořízení ledničky - stará, nevyhovující, z roku 1986.</t>
  </si>
  <si>
    <t>Posílení odměn zaměstnancům za přípravu a náročný úklid po rekonstrukci školy.</t>
  </si>
  <si>
    <t>Čerpání fondu odměn organizace.</t>
  </si>
  <si>
    <t>Dokrytí fondu odměn - zákonné sociální pojištění - zdravotní. a sociální poj.</t>
  </si>
  <si>
    <t>Dokrytí fondu odměn - jiné sociální pojištění (Kooperativa - odp.).</t>
  </si>
  <si>
    <t>Úspora cestovného - možnost docházky pěšky, nekonané výjezdní zasedání ředitelů.</t>
  </si>
  <si>
    <t>Nutná obnova cedulí na školu po rekonstrukci.</t>
  </si>
  <si>
    <t>Nutnost doplnění a obnovy materiálu, učebních pomůcek; úspora: provádění prací svépomocí a brigádnicky.</t>
  </si>
  <si>
    <t>Klávesnice PC, nádobí, hygien. a čistící prostředky, stolní lampa, úložné boxy, aj. materiál.</t>
  </si>
  <si>
    <t>Učební pomůcky -  Fa Hafera.</t>
  </si>
  <si>
    <r>
      <t>Ostatní výnosy z činnosti -  věcný dar.</t>
    </r>
    <r>
      <rPr>
        <sz val="8"/>
        <rFont val="Times New Roman"/>
        <family val="1"/>
        <charset val="238"/>
      </rPr>
      <t xml:space="preserve"> 
</t>
    </r>
  </si>
  <si>
    <t>Převzetí věcného daru - dětské dřevěné hoblice.</t>
  </si>
  <si>
    <t>Nutnost obnovy nábytku, koupě myčky, programu pro evidenci majetku, didaktické pomůcky, hračky.</t>
  </si>
  <si>
    <t>Výnosy z prodeje služeb - školné - pravidelná docházka, naplněná kapacita MŠ.</t>
  </si>
  <si>
    <t>Obnova nábytku, polic. skříňky, zahradní zařízení.</t>
  </si>
  <si>
    <t>Výnosy z projede materiálu.</t>
  </si>
  <si>
    <t>Nutnost zakoupení vědra s víkem - hygien vyhláška.</t>
  </si>
  <si>
    <t>Účelově vázané prostředky výsledku hospodaření roku 2014 ve výši 5.700 Kč byly čerpány dle přijatého usnesení na obnovu dětského zahradního zařízení (malý lanový park).</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</si>
  <si>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12.471,40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indexed="8"/>
        <rFont val="Times New Roman"/>
        <family val="1"/>
        <charset val="238"/>
      </rPr>
      <t xml:space="preserve">9.471,40 Kč. </t>
    </r>
    <r>
      <rPr>
        <sz val="8"/>
        <color indexed="8"/>
        <rFont val="Times New Roman"/>
        <family val="1"/>
        <charset val="238"/>
      </rPr>
      <t xml:space="preserve">Do fondu odměn je navrženo převést částku </t>
    </r>
    <r>
      <rPr>
        <b/>
        <sz val="8"/>
        <color indexed="8"/>
        <rFont val="Times New Roman"/>
        <family val="1"/>
        <charset val="238"/>
      </rPr>
      <t>3.000 Kč.</t>
    </r>
  </si>
  <si>
    <t>501/0491</t>
  </si>
  <si>
    <t xml:space="preserve">649/0300
558/0300
</t>
  </si>
  <si>
    <t xml:space="preserve">501/0430
</t>
  </si>
  <si>
    <t>524/0317</t>
  </si>
  <si>
    <t xml:space="preserve">524/0307
</t>
  </si>
  <si>
    <t>… atd. …</t>
  </si>
  <si>
    <t>648.0300</t>
  </si>
  <si>
    <t>26.1.205</t>
  </si>
  <si>
    <t>549.0350</t>
  </si>
  <si>
    <t>649.0310</t>
  </si>
  <si>
    <t>501.0430</t>
  </si>
  <si>
    <t>501.0431</t>
  </si>
  <si>
    <t>672.0510</t>
  </si>
  <si>
    <t>551.0300</t>
  </si>
  <si>
    <t>558.0300</t>
  </si>
  <si>
    <t>662.0300</t>
  </si>
  <si>
    <t>602.0320</t>
  </si>
  <si>
    <t>602.0360</t>
  </si>
  <si>
    <t>649.0330</t>
  </si>
  <si>
    <t>511.0300</t>
  </si>
  <si>
    <t>521.0300</t>
  </si>
  <si>
    <t>524.0000</t>
  </si>
  <si>
    <t>528.0300</t>
  </si>
  <si>
    <t>501.0350</t>
  </si>
  <si>
    <t>511.0320</t>
  </si>
  <si>
    <t>502.0310</t>
  </si>
  <si>
    <t>521.0310</t>
  </si>
  <si>
    <t>549.0310</t>
  </si>
  <si>
    <t>538.0320</t>
  </si>
  <si>
    <t>518.0410</t>
  </si>
  <si>
    <t>518.0510</t>
  </si>
  <si>
    <t>602.0310</t>
  </si>
  <si>
    <t>649.0320</t>
  </si>
  <si>
    <t>snížení položky SU 501-spotřeba materiálu = oproti původnímu plánu nižší čerpání</t>
  </si>
  <si>
    <t>501.0090</t>
  </si>
  <si>
    <t>501.0160</t>
  </si>
  <si>
    <t>502.0000</t>
  </si>
  <si>
    <t>502.0010</t>
  </si>
  <si>
    <t>502.0030</t>
  </si>
  <si>
    <t>511.0000</t>
  </si>
  <si>
    <t>511.0020</t>
  </si>
  <si>
    <t>518.0130</t>
  </si>
  <si>
    <t>551.0000</t>
  </si>
  <si>
    <t>Výsledek hospodaření v hlavní činnosti je třeba rozdělit na úsporu na položce spotřeba energií, především plynu, vlivem klimatických podmínek v roce 2015 ve výši + 41.171,86 Kč a nákupem nábytku do kanceláře školy pomocí zapojených financí z doplňkové činnosti.</t>
  </si>
  <si>
    <t>Rezervní fond bude navýšen o výsledek hospodaření z doplňkové činnosti ve výši 132.099,99 Kč. V případě nutnosti bude posílen investiční fond o částky na výměnu/opravu oken ve škole v Čechovicích (jedná se o 20 ks oken v částce cca 245.000 Kč) a renovaci podlahy ve velké tělocvičně (rozloha 538 m3) v částce cca 370.000 Kč.</t>
  </si>
  <si>
    <t>V roce 2016 plánuje škola výměnu oken v ZŠ Čechovice a renovaci podlahy ve velké tělocvičně. V případě nedostačujících prostředků bude žádat o posílení investičního fondu z rezervního fondu.</t>
  </si>
  <si>
    <t>V případě nutnosti bude použit fond na vyplacení odměn za mimořádné úkoly.</t>
  </si>
  <si>
    <t>FKSP v roce 2016 bude použit na příspěvky na obědy zaměstnanců ve výši 14 Kč za 1 oběd, dále na životní a pracovní výročí zaměstnanců, na Den učitelů a zájezd zaměstnaců.</t>
  </si>
  <si>
    <t>Projekt Obědy pro děti.</t>
  </si>
  <si>
    <t>Usnesením RM č. 5042 bylo schváleno čerpání RF (do výše 10.000 Kč) a přijetí daru na projekt Obědy pro děti.</t>
  </si>
  <si>
    <t>Usnesením RM č. 5169 byl posílen účet 649.0310-ostatní výnosy-DARY a účet 501.0430 - OEM = laminátor a 501.0431 - OEM-UP = domeček pro panenky MŠ Mánesova.</t>
  </si>
  <si>
    <t>Usnesením RM č. 5291 byl posílen účet 649.0310 - ostatní výnosy - DARY a účet 501.0430 - OEM = fotoaparát CANON a reproduktory Avante MŠ Čechovice.</t>
  </si>
  <si>
    <t>Usnesením RM č. 5237 byl navýšen NIV organizace na odpisy 551.0300 na bezúplatně převedený majetek.</t>
  </si>
  <si>
    <t>Usnesením RM č. 15102 byl navýšen NIV organizace na odpisy 551.0300 na svěřený majetek.</t>
  </si>
  <si>
    <t>Usnesením RM č. 5365 byl posílen účet 649.0310 - ostatní výnosy - DARY a účet 558.0300 - DDHM.</t>
  </si>
  <si>
    <t>Úpravou FP byly poníženy bankovní úroky - účet 662 a následně povýšen účet 602 - poplatky v ŠD a výpisy z dokumentace a 649 - ostatní výnosy.</t>
  </si>
  <si>
    <t>Usnesením RM č. 5707 bylo schváleno čerpání investičního fondu na výměnu oken na budově ZŠ v Čechovicích - upraveny SU 511 - opravy KAP. 60 a SU 648 - čerpání fondů.</t>
  </si>
  <si>
    <t>Úprava finančního plánu na položkách 648 - čerpání fondů a 521 - mzdy (použití fondu odměn na odměny zaměstnanců).</t>
  </si>
  <si>
    <t>Usnesením RM č. 5878 bylo schváleno převedení úspory na SU 528 - preventivní prohlídky (hrazené z prostředků ONIV - SR) na účet 524 - sociální pojištění k odměnám z fondu odměn.</t>
  </si>
  <si>
    <t>Usnesením RM č. 5925 bylo schváleno přijetí DARů pro MŠ Mánesova - hračky pro děti SU 501 - hračky a spotřební materiál pro MŠ a pro MŠ Čechovice el.trouba ET333 SU 501 - nákupy OEM; zároveň SU 649 - dary.</t>
  </si>
  <si>
    <t>Usnesením RM č. 5924 bylo schváleno posílení SU 551 - odpisy (na vyřazení + doodepisování dřevěného stánku v MŠ Čechovice - hrozilo nebezpečí úrazu, stánek byl ve velmi špatném stavu) úsporou na SU 511 - drobné opravy (většinu oprav provádí školníci).</t>
  </si>
  <si>
    <t>Úspora na položce SU 502 - spotřeba energie vlivem mírné zimy (schváleno vedoucím OŠKS) a posílení SU 501 - nákupy OEM a 558 - nákupy DDHM (výroba nábytku do kabinetu).</t>
  </si>
  <si>
    <t>Úspora na položce SU 502 - spotřeba energie vlivem mírné zimy (schváleno vedoucím OŠKS) a posílení SU 501 - nákupy OEM a 558 - nákupy DDHM (nákup lavic a židliček do 3. tříd, PC pro zást.ředitelky, PC do sborovny, síťový disk, zahradní prvky pro MŠ).</t>
  </si>
  <si>
    <t>Usnesením RM č. 51111 byl schválen převod ušetřených prostředků na mzdy koordinátora (uzavřením hřiště v I. pololetí roku 2015) SU 521 - mzdy a úsporou na SU 551 - odpisy (částečné odpisy převedeny na DČ); posílením SU 558 - nákupy DDHM na 2ks počítačů pro učitele školy.</t>
  </si>
  <si>
    <t>Schválením ORI byly převedeny prostředky z SU 511 - opravy nemovit.majetku na SU 549 - technické zhodnocení budovy jako zabezpečení/monitorování objektu MŠ Čechovice.</t>
  </si>
  <si>
    <t>Úsporou na položce SU 549 - jiné ostatní náklady byl posílen SU 538 - správní poplatky…ověření podpisu ŘŠ.</t>
  </si>
  <si>
    <t>SU 558 - nákupy DDHM byl posílen úsporou na položce 518 - ostatní služby a 511 - opravy movitého majetku na nové monitory pro žáky do PC učebny na ZŠ Palackého a nábytek do PC učebny a ŠD Čechovice.</t>
  </si>
  <si>
    <t>Díky vyšším výnosům oproti plánu na položkách 602 - úplata MŠ a ŠD, dále 602 - opisy vysvědčení, 649 - výnosy ze sběrové soutěže a za ztráty ŽK byla posílena položka 558 - .DDHM na nábytek do kanceláře školy</t>
  </si>
  <si>
    <t>Snížení položky SU 501 - spotřeba materiálu = oproti původnímu plánu nižší čerpání.</t>
  </si>
  <si>
    <t>Navýšení na položce 511 - opravy nemovitého majetku (byla provedena oprava/renovace podlahy v malé tělocvičně) a snížení položky 511 - drobné opravy a údržba.</t>
  </si>
  <si>
    <t>Navýšení SU 518 - servisní prohlídky ve služebním bytě.</t>
  </si>
  <si>
    <t>Navýšení SU 551 - odpisy budov (výpočet dle koeficientu na základě svěření nemovit. maj. organizaci).</t>
  </si>
  <si>
    <t>Opatření z kontrolního dne k výsledkům hospodaření za I. pololetí 2015 nebyla uložena.</t>
  </si>
  <si>
    <t>2. Příděl do rezervního fondu provede organizace na základě písemného vyrozumění Odboru školství, kultury a sportu MMPV.</t>
  </si>
  <si>
    <t>Výsledek hospodaření v hlavní činnosti je tvořen nedočerpáním nákladových účtů (především energií).</t>
  </si>
  <si>
    <t xml:space="preserve">Čerpáno v roce 2015 </t>
  </si>
  <si>
    <t>521/648</t>
  </si>
  <si>
    <t>558/649</t>
  </si>
  <si>
    <t>524,525,527/518</t>
  </si>
  <si>
    <t>511,558/648</t>
  </si>
  <si>
    <t>558/672</t>
  </si>
  <si>
    <t>518/527</t>
  </si>
  <si>
    <t>518/521</t>
  </si>
  <si>
    <t>518/602</t>
  </si>
  <si>
    <t>502/603</t>
  </si>
  <si>
    <t>Výsledek hospodaření v doplňkové činnosti  je tvořen výnosy z pronájmů školního bytu, tělocvičny, kantýny, dvora, garáže a výnosy ze školení ICT.</t>
  </si>
  <si>
    <t>Použití na odměny za mimořádné úkoly.</t>
  </si>
  <si>
    <t>FKSP bude čerpán průběžně dle zásad o použití - obědy, kulturní a sportovní akce, dary.</t>
  </si>
  <si>
    <t>Asistent pro žáka Vojtka - účelově určený peněžní dar.</t>
  </si>
  <si>
    <t>Věcný dar - elektrický klavír YAMAHA - dar školní klub.</t>
  </si>
  <si>
    <t>Asistent pro žáka Kintla - účelově určený peněžní dar.</t>
  </si>
  <si>
    <t>Asistent pro žáka Daniše - účelově určený peněžní dar.</t>
  </si>
  <si>
    <t>Věcný dar - elektrická keramická pec.</t>
  </si>
  <si>
    <t>Čerpání z investičního fondu - oprava tříd - RMP č. 5605.</t>
  </si>
  <si>
    <t>Posíl. účtu 501 0360 hračky do ŠD proti přij. odměně za sběr pap.</t>
  </si>
  <si>
    <t>Úsp. účtu 518 0341 plav. k. - posíl. úč. 521 0320 kr. k.</t>
  </si>
  <si>
    <t>Navýšení nákl. položky DDHM - věc. dar el. kr. pec - RMP č. 5816.</t>
  </si>
  <si>
    <t>Navýšení závazného ukaz. mzd.náklady - asistent - RMP č. 5040.</t>
  </si>
  <si>
    <t>Navýšení nákl. položky DDHM - věc.dar el. klavír - RMP č. 5041.</t>
  </si>
  <si>
    <t>Navýšení záv. uk. odpisy - bezúpl. přev.mov.maj. - RMP č. 5237.</t>
  </si>
  <si>
    <t>Navýš. záv. uk. odpisy - bezúpl. přev. nem. DHM - ZMP č. 15102.</t>
  </si>
  <si>
    <t>Navýšení závaz. ukaz. mzd. nákl. - odměna z fondu odměn - RMP č. 5601.</t>
  </si>
  <si>
    <t>Navýšení závaz. ukaz. mzd. nákl. - naváz. na odměnu z fondu odměn.</t>
  </si>
  <si>
    <t>Navýšení nákl. položky DDHM - vybav. př. uč. ICT - RMP č.5681.</t>
  </si>
  <si>
    <t>Úsp. účtu 518 0411 ost. sl. - posíl. účtu FKSP - RMP č. 5708.</t>
  </si>
  <si>
    <t>Navýšení závazného ukaz. mzd. náklady - asistent - RMP č.5815.</t>
  </si>
  <si>
    <t>Navýšení nákl. položky 518 - v souv. s dosaž. vyšších výn. 602.</t>
  </si>
  <si>
    <t>Dosažením vyšších tržeb z pron. Tv došlo k navýš. nákl. energií.</t>
  </si>
  <si>
    <t>Úsporou účtu 511 - opravy, byl posílen účet 518 - ostatní služby.</t>
  </si>
  <si>
    <t>Účelově byly vázány finanční prostředky výsledku hospodaření roku 2014 ve výši 133.000 Kč na výměnu osvětlení učeben. Na základě žádosti organizace byla RMP dne 30.0.2015 usnesením č. 5605 schválena změna účelu použití finančních prostředků na úpravu a přebudování učebny speciální třídy 2. stupně. Realizace proběhla během prázdninových měsíců 7-8/2015.</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</si>
  <si>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253.762,25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celou částku </t>
    </r>
    <r>
      <rPr>
        <b/>
        <sz val="8"/>
        <color indexed="8"/>
        <rFont val="Times New Roman"/>
        <family val="1"/>
        <charset val="238"/>
      </rPr>
      <t>253.762,25 Kč,</t>
    </r>
    <r>
      <rPr>
        <sz val="8"/>
        <color indexed="8"/>
        <rFont val="Times New Roman"/>
        <family val="1"/>
        <charset val="238"/>
      </rPr>
      <t xml:space="preserve"> s tím, že částka ve výši </t>
    </r>
    <r>
      <rPr>
        <b/>
        <sz val="8"/>
        <color indexed="8"/>
        <rFont val="Times New Roman"/>
        <family val="1"/>
        <charset val="238"/>
      </rPr>
      <t>189.664,25 Kč</t>
    </r>
    <r>
      <rPr>
        <sz val="8"/>
        <color indexed="8"/>
        <rFont val="Times New Roman"/>
        <family val="1"/>
        <charset val="238"/>
      </rPr>
      <t xml:space="preserve"> bude účelově vázána na výměnu nevyhovujících světel na schodištích v hlavní budově a zářivek ve třídách (cca 100 tis. Kč), provedení zabezpečení proti posedávání holubů a následné znečišťování budovy a přilehlých prostor školy (cca 50 tis. Kč), úpravu a přesun učeben pro zajištění poslední speciální třídy - přesun malé učebny informatiky a vybavení nové učebny speciální třídy - rozvody, podlahy, topení, ... (39.664 Kč). </t>
    </r>
    <r>
      <rPr>
        <b/>
        <sz val="8"/>
        <color indexed="8"/>
        <rFont val="Times New Roman"/>
        <family val="1"/>
        <charset val="238"/>
      </rPr>
      <t>Kontrola užití účelově vázaných prostředků bude provedena  na kontrolním dnu k výsledkům hospodaření organizace za I. pololetí roku 2016.</t>
    </r>
  </si>
  <si>
    <t>3. Příděl fondům provede organizace na základě písemného vyrozumění Odboru školství, kultury a sportu MMPv.</t>
  </si>
  <si>
    <t>511/300</t>
  </si>
  <si>
    <t>672/500</t>
  </si>
  <si>
    <t>521/301</t>
  </si>
  <si>
    <t>648/610</t>
  </si>
  <si>
    <t>502/310</t>
  </si>
  <si>
    <t>502/320</t>
  </si>
  <si>
    <t>558/305</t>
  </si>
  <si>
    <t>553/0320</t>
  </si>
  <si>
    <t>564/0320</t>
  </si>
  <si>
    <t>558/350</t>
  </si>
  <si>
    <t>501/0360</t>
  </si>
  <si>
    <t>502/0300</t>
  </si>
  <si>
    <t>501/0440</t>
  </si>
  <si>
    <t>501/0391</t>
  </si>
  <si>
    <t>501/0420</t>
  </si>
  <si>
    <t>602/300</t>
  </si>
  <si>
    <t>501/0310</t>
  </si>
  <si>
    <t>501/0320</t>
  </si>
  <si>
    <t>602/0390</t>
  </si>
  <si>
    <t>501/470</t>
  </si>
  <si>
    <t>501/390</t>
  </si>
  <si>
    <t>Úspora finančních prostředků v položce spotřební učební materiály a přesun na nákup tonerů a xeropapíru pro výchovně vzdělávací potřeby školy.</t>
  </si>
  <si>
    <t>501/330</t>
  </si>
  <si>
    <t>518/0460</t>
  </si>
  <si>
    <t>518/0390</t>
  </si>
  <si>
    <t>518/0540</t>
  </si>
  <si>
    <t>518/0443</t>
  </si>
  <si>
    <t>518/0340</t>
  </si>
  <si>
    <t>518/0440</t>
  </si>
  <si>
    <t>518/0411</t>
  </si>
  <si>
    <t>518/0380</t>
  </si>
  <si>
    <t>518/0420</t>
  </si>
  <si>
    <t>518/0400</t>
  </si>
  <si>
    <t>518/0480</t>
  </si>
  <si>
    <t>518/0441</t>
  </si>
  <si>
    <t>602/0320</t>
  </si>
  <si>
    <t>518/0410</t>
  </si>
  <si>
    <t>518/0310</t>
  </si>
  <si>
    <t>Zvýšené výnosy za poskytování stravy žáků ZŠ Mostkovice, úhrada nákladů vzniklých z tvorby opravných položek k pohledávkám.</t>
  </si>
  <si>
    <t>556/0300</t>
  </si>
  <si>
    <t>502/0340</t>
  </si>
  <si>
    <t>Výsledek hospodaření je tvořen z minimálního nedočerpání nákladových účtů a překročením vlastních výnosů (poskytování stravy žákům ZŠ a MŠ Mostkovice).</t>
  </si>
  <si>
    <t>Využití RF v roce 2016 - organizace bude čerpat finanční prostředky na akce nepokryté příspěvkem zřizovatele. Využití se předpokládá na opravu rozvodů internetových sítí na pavilonech ZŠ a MŠ.</t>
  </si>
  <si>
    <t>Použití na odměny zaměstnaců za plnění mimořádných úkolů.</t>
  </si>
  <si>
    <t>FKSP bude využito dle stanovených zásad o čerpání FKSP. Čerpání příspěvku na obědy ve výši 7 Kč/oběd, rekreace, kulturní a výchovnou činnost.</t>
  </si>
  <si>
    <t>315 - Jiné pohledávky</t>
  </si>
  <si>
    <t>Stravné. Pohledávky jsou řešeny ve spolupráci s finančním odborem MMPv a advokátní kanceláří Klapka. Jsou předány k dalším právním úkonům.</t>
  </si>
  <si>
    <t>Příjem sponzorského daru účelově neurčeného.</t>
  </si>
  <si>
    <t>Usnesení RMP č.5237 ze 17.3.2015. Navýšení neinv. příspěvku na odpisy svěřeného majetku.</t>
  </si>
  <si>
    <t>Usnesení ZMP č.15102 z 13.4.2015. Navýšení neinv. příspěvku na odpisy převedeného majetku.</t>
  </si>
  <si>
    <t>Bezúplatné převedení automobilu Mazda - zajištění přepisu auta.</t>
  </si>
  <si>
    <t>Bezúplatné převedení automobilu Mazda - úhrada zákonného a havarijního pojištění.</t>
  </si>
  <si>
    <t>Příjem sponzorského daru účelově neurčeného pro MŠ.</t>
  </si>
  <si>
    <t>Navýšení neinvestičního příspěvku - usnesení RMP č. 5486 z 26.5.2015 - Projekt Zdravé Město.</t>
  </si>
  <si>
    <t>Úprava fin. plánu - navýšení tržeb za režijní náklady z vývozu stravy pro ostatní subjekty - CMG Pv, ZŠ a MŠ Mostkovice.</t>
  </si>
  <si>
    <t>Navýšení výnosů - sběr starého papíru.</t>
  </si>
  <si>
    <t>RMP usnesením č.5549 z 16.6.2015 schválila snížení položky 502 a navýšení záv. ukazatele - pol. 551 z důvodu jednorázového odpisu auta Mazda.</t>
  </si>
  <si>
    <t>RMP usnesením č. 5618 ze dne 30.6.2015 uložila odvod  finanč. prostředků z invest. fondu Jeslí sídl. Svobody na účet zřizovatele a ZŠ byly uvolněny tyto fin. prostředky a navýšen příspěvek od zřizovatele.</t>
  </si>
  <si>
    <t>Převod z účtu 558 - DDHM na účet 501 - Předměty v operativní evidenci. Při nákupu vybavení MŠ nábytkem zakoupeno pod hranicí 3000/ks.</t>
  </si>
  <si>
    <t>RMP schválila usnesením č. 5601 ze dne 30.6.2015 přiznání odměny z  fondu odměn.</t>
  </si>
  <si>
    <t>Schválení úpravy finančního plánu - přesun uspořených prostředků z položky 502 na položku 558.</t>
  </si>
  <si>
    <t>RMP schválila usnesení č. 51037 snížení závazného ukazatele 551 - Odpisy a navýšení účtu 553 - Prodaný DHM a účtu 564 - Náklady z přecenění.</t>
  </si>
  <si>
    <t>RMP schválila usnesením č. 51037 ze dne 24.11.2015 snížení závazného ukazatele 551 - Odpisy a navýšení položky 558 - DDHM.</t>
  </si>
  <si>
    <t>RMP schválila usnesení č. 51047 ze dne 24.11.2015 navýšení neinvestičního příspěvku.</t>
  </si>
  <si>
    <t xml:space="preserve">RMP dne 20.10.2015 usnesením č. 5928 vydala souhlas s přijetím finančního daru. </t>
  </si>
  <si>
    <t>Úprava finančního plánu schválená řídícím odborem, přesun z položky 502 - Spotřeba energií na položku 501 – nákup výtvarných potřeb pro MŠ.</t>
  </si>
  <si>
    <t>Úprava finančního plánu schválená řídícím odborem. Úspora odběru tepla a TUV od Domovní správy - přesun z položky 502 na položku 558.</t>
  </si>
  <si>
    <t>Úspora spotřeby pohonných hmot z důvodu nižších cen pohonných hmot .Využtí volných finančních prostředků  na nákup prostředků pro myčky nádobí, odborných publikací pro potřeby MŠ.</t>
  </si>
  <si>
    <t>Navýšení položky spotřeba potravin, která je plně kryta výnosy za stravné.</t>
  </si>
  <si>
    <t>Přesun mezi analytickými účty. Nákup tonerů pro výchovně vzdělávací  proces v MŠ – kopírování metodických materiálů a šablon.</t>
  </si>
  <si>
    <t xml:space="preserve">Překročení plánovaných tržeb - režijní náklady za obědy pro CMG, využití na nákup tonerů do kopírky. </t>
  </si>
  <si>
    <t>Úspora na položce materiál na vnější opravy, přesun na čerpání pro nábytkové vybavení MŠ.</t>
  </si>
  <si>
    <t>Překročení plánovaných tržeb 602/390 za režijní náklady - obědy CMG a překročení tržeb za ŠD 602/320 a posílení nákl.účtu 518/460 a posílení náklad. účtu 518/443 deratizace. Zvýšený výskyt vos a hlodavců v letním období.</t>
  </si>
  <si>
    <t>Úspora finančních prostředků za pronájem nem. majetku, přesun na ostatní služby – sečení travnatých ploch.</t>
  </si>
  <si>
    <t>Přesun mezi analytickými účty. Úspora za konzultační a poradenské služby, úhrada softwaru - KOF.</t>
  </si>
  <si>
    <t>Úspora a přesun mezi analytickými účty - použití finančních prostředků na zajištění služeb ve schváleném rozpočtu neuvedených (údržba web. stránek)</t>
  </si>
  <si>
    <t>Z důvodu maximální naplněnosti kapacity ŠD – zvýšené tržby. Využití finanč. prostředků na zajištění služeb nezohledněných rozpočtem (tvorba web. stránek).</t>
  </si>
  <si>
    <t>Úspora fin.prostředků za telef. poplatky pevné linky, úhradu poplatků za připojení k internetu.</t>
  </si>
  <si>
    <t>Rozúčtování dodávky tepla na dodávku tepla a TUV.</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</si>
  <si>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197.707,44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indexed="8"/>
        <rFont val="Times New Roman"/>
        <family val="1"/>
        <charset val="238"/>
      </rPr>
      <t>187.707,44 Kč,</t>
    </r>
    <r>
      <rPr>
        <sz val="8"/>
        <color indexed="8"/>
        <rFont val="Times New Roman"/>
        <family val="1"/>
        <charset val="238"/>
      </rPr>
      <t xml:space="preserve"> s tím, že bude účelově vázána na opravu internetových rozvodů v pavilonech ZŠ a MŠ. </t>
    </r>
    <r>
      <rPr>
        <b/>
        <sz val="8"/>
        <color indexed="8"/>
        <rFont val="Times New Roman"/>
        <family val="1"/>
        <charset val="238"/>
      </rPr>
      <t xml:space="preserve">Kontrola užití účelově vázaných prostředků bude provedena  na kontrolním dnu k výsledkům hospodaření organizace za I. pololetí roku 2016. </t>
    </r>
    <r>
      <rPr>
        <sz val="8"/>
        <color indexed="8"/>
        <rFont val="Times New Roman"/>
        <family val="1"/>
        <charset val="238"/>
      </rPr>
      <t xml:space="preserve">Do fondu odměn je navrženo převést částku </t>
    </r>
    <r>
      <rPr>
        <b/>
        <sz val="8"/>
        <color indexed="8"/>
        <rFont val="Times New Roman"/>
        <family val="1"/>
        <charset val="238"/>
      </rPr>
      <t>10.000 Kč.</t>
    </r>
  </si>
  <si>
    <r>
      <t xml:space="preserve">3. Na kontrolním dnu k výsledkům hospodaření organizacre za I. pololetí roku 2016 bude provedena kontrola likvidace pohledávek po lhůtě splatnosti ve výši </t>
    </r>
    <r>
      <rPr>
        <b/>
        <sz val="8"/>
        <color theme="1"/>
        <rFont val="Times New Roman"/>
        <family val="1"/>
        <charset val="238"/>
      </rPr>
      <t>4.701 Kč.</t>
    </r>
  </si>
  <si>
    <t>4. Organizace předá náměstkyni primátorky Mgr. Ivaně Hemerkové a vedoucímu řídícího odboru Mgr. Petru Ivánkovi finanční částky pro zajištění oprav internetových sítí v pavilonech ZŠ a MŠ. Rovněž budou předány finanční částky k vyčíslení oprav hlavních rozvodů vody a opravy ručních výtahů v MŠ.</t>
  </si>
  <si>
    <r>
      <t xml:space="preserve">Částka </t>
    </r>
    <r>
      <rPr>
        <b/>
        <sz val="8"/>
        <color theme="1"/>
        <rFont val="Calibri"/>
        <family val="2"/>
        <charset val="238"/>
      </rPr>
      <t>± úpravy výnosů v Kč</t>
    </r>
  </si>
  <si>
    <r>
      <t xml:space="preserve">Částka </t>
    </r>
    <r>
      <rPr>
        <b/>
        <sz val="8"/>
        <color theme="1"/>
        <rFont val="Calibri"/>
        <family val="2"/>
        <charset val="238"/>
      </rPr>
      <t>±</t>
    </r>
    <r>
      <rPr>
        <b/>
        <sz val="8"/>
        <color theme="1"/>
        <rFont val="Times New Roman"/>
        <family val="1"/>
        <charset val="238"/>
      </rPr>
      <t xml:space="preserve"> úpravy nákladů v Kč</t>
    </r>
  </si>
  <si>
    <t>55/10300</t>
  </si>
  <si>
    <t>648/0600</t>
  </si>
  <si>
    <t>521/0300</t>
  </si>
  <si>
    <t>524/0300, 524/0310, 527/0300</t>
  </si>
  <si>
    <t>609/0320</t>
  </si>
  <si>
    <t>521/0330</t>
  </si>
  <si>
    <t>524/0300     524/0310</t>
  </si>
  <si>
    <t>527/0320</t>
  </si>
  <si>
    <t>3 530,00</t>
  </si>
  <si>
    <t>- 3 530,00</t>
  </si>
  <si>
    <t>603/001</t>
  </si>
  <si>
    <t>603/002</t>
  </si>
  <si>
    <t>502/0010</t>
  </si>
  <si>
    <t>502/0020</t>
  </si>
  <si>
    <t>502/0000</t>
  </si>
  <si>
    <t>501/0090</t>
  </si>
  <si>
    <t>3. Příděl fondům a odvod na účet zřizovatele provede organizace na základě písemného vyrozumění Odboru školství, kultury a sportu MMPv.</t>
  </si>
  <si>
    <t>V roce 2014 za období leden - září 2014 utržila organizace za pronájem školního bytu 25.398 Kč (energie si nájemci hradili sami). 3.9.2014 se vystěhovali a v bytě nikdo nebydlí. Bez těchto tržeb má nejvyšší podíl na dosaženém výsledku hospodaření v doplňkové činnosti výnos za pronájem tělocvičny (celkem 159.125 Kč) a neplánované tržby za pronájem učeben (14.450 Kč).</t>
  </si>
  <si>
    <t>Část rezervního fondu plánuje organizace použít na dofinancování myčky nádobí do výdejny stravy.</t>
  </si>
  <si>
    <t>Organizace plánuje využít fond se souhlasem zřizovatele na pořízení nové myčky nádobí do výdejny stravy (stávající je z roku 1999). Tato částka ve fondu ale nebude stačit. Organizace využije i část rezervního fondu (myčka by stála kolem 100.000 Kč bez DPH).</t>
  </si>
  <si>
    <t>Fond by byl využit na případné překročení plánovaného objemu prostředků na mzdy.</t>
  </si>
  <si>
    <t>Fond bude využíván stejně jako v roce 2015. O 0,5 % vzroste příděl z hrubých mezd; čerpání se předpokládá na stejné úrovni roku 2015.</t>
  </si>
  <si>
    <t>Věcný dar - klavír (dar KPŠ).</t>
  </si>
  <si>
    <t>Věcný dar - interaktivní učebnice "Prevence rizikového chování dětí a mládeže" (dar nadace GCP).</t>
  </si>
  <si>
    <t>Přijetí věcného daru - klavír.</t>
  </si>
  <si>
    <t>Zúčtování věcného daru.</t>
  </si>
  <si>
    <t>Schváleno RMP dne 31.3.2015 usnesením č. 5290.</t>
  </si>
  <si>
    <t>Navýšení neinvest. příspěvku.</t>
  </si>
  <si>
    <t>Odpisy.</t>
  </si>
  <si>
    <t>Schváleno RMP dne 28.4.2015 usnesením č. 5359.</t>
  </si>
  <si>
    <t xml:space="preserve">Přijetí věcného daru - interaktivní učebnice "Prevence rizikového chování dětí a mládeže". </t>
  </si>
  <si>
    <t>Zaúčtování věcného daru.</t>
  </si>
  <si>
    <t>Schváleno RMP dne 30.6.2015 usnesením č. 5606.</t>
  </si>
  <si>
    <t>Schváleno RM/P dne 30.6.2015 usnesením č. 5601.</t>
  </si>
  <si>
    <t>Schváleno RMP dne 6.1.02015 usnesením č. 5869.</t>
  </si>
  <si>
    <t>Schváleno RMP dne 2.12.2014 usnesením č. 04034.</t>
  </si>
  <si>
    <t>Schváleno RMP dne 20.10.2015 usnesením č. 5922.</t>
  </si>
  <si>
    <t>Přiznaná odměna pro řed. školy za podíl na zlepšeném VH v DČ - použití fondu odměn.</t>
  </si>
  <si>
    <t>Vyplacená odměna z fondu odměn pro ředitelku školy.</t>
  </si>
  <si>
    <t>Navýšení neinv. příspěvku na společné akce dětí a seniorů.</t>
  </si>
  <si>
    <t>Kancelářské a výtvarné potřeby, hry - materiál do ŠD.</t>
  </si>
  <si>
    <t>Účelově určený peněžitý dar - Dětský čin roku 2014 - použití RF.</t>
  </si>
  <si>
    <t>Nákup školních pomůcek.</t>
  </si>
  <si>
    <t>Za 1. místo ve sběru papíru od Statutárního města Prostějova.</t>
  </si>
  <si>
    <t>Zakoupení termoportů na zachování teploty obědů.</t>
  </si>
  <si>
    <t>Statutární město Prostějov zaslalo na účet organizace 15.000,- Kč. Tyto prostředky byly využity po kontrole hygieny na zakoupení termoportů.</t>
  </si>
  <si>
    <t>Žádost o čerpání rezervního fondu na pořízení učebny v přírodě.</t>
  </si>
  <si>
    <t>Pořízení učebny v přírodě na školním pozemku.</t>
  </si>
  <si>
    <t>Čerpání fondu odměn.</t>
  </si>
  <si>
    <t>Čerpání rezervního fondu na zákonné odvody - správce hřiště.</t>
  </si>
  <si>
    <t>Nutnost zvýšit minimální hodinovou mzdu správci hřiště, který pracoval na dohodu od 1.4. do 31.12.2015. Přidělené fin. prostředky stačily do půlky listopadu, ale i s použitím fondu odměn byla dohoda ukončena již 18.12. Práce správce hřiště je velmi kvalitní.</t>
  </si>
  <si>
    <t>Cestovné.</t>
  </si>
  <si>
    <t>Úměrně vyšším výnosům za pronájmy jsme spotřebovali více energií: plyn.</t>
  </si>
  <si>
    <t>Elektrická energie.</t>
  </si>
  <si>
    <t>Vodné, stočné, srážky.</t>
  </si>
  <si>
    <t>Spotřeba materiálu - čistící prostředky.</t>
  </si>
  <si>
    <r>
      <t>Výnosy za pronájem</t>
    </r>
    <r>
      <rPr>
        <u/>
        <sz val="8"/>
        <rFont val="Times New Roman"/>
        <family val="1"/>
        <charset val="238"/>
      </rPr>
      <t xml:space="preserve"> školní tělocvičny</t>
    </r>
    <r>
      <rPr>
        <sz val="8"/>
        <color rgb="FFFF0000"/>
        <rFont val="Times New Roman"/>
        <family val="1"/>
        <charset val="238"/>
      </rPr>
      <t xml:space="preserve">  </t>
    </r>
    <r>
      <rPr>
        <sz val="8"/>
        <color theme="1"/>
        <rFont val="Times New Roman"/>
        <family val="1"/>
        <charset val="238"/>
      </rPr>
      <t>byly naplánované ve výši 117.800 Kč. Protože se v závěru roku přihlásily další 2 organizace a oproti obvyklému stavu se organizace méně odhlašovaly, byly tržby vyšší o 41.325 Kč.</t>
    </r>
  </si>
  <si>
    <r>
      <t>Neplánovaně byly pronajímány</t>
    </r>
    <r>
      <rPr>
        <sz val="8"/>
        <rFont val="Times New Roman"/>
        <family val="1"/>
        <charset val="238"/>
      </rPr>
      <t xml:space="preserve"> </t>
    </r>
    <r>
      <rPr>
        <u/>
        <sz val="8"/>
        <rFont val="Times New Roman"/>
        <family val="1"/>
        <charset val="238"/>
      </rPr>
      <t>učebny</t>
    </r>
    <r>
      <rPr>
        <sz val="8"/>
        <color theme="1"/>
        <rFont val="Times New Roman"/>
        <family val="1"/>
        <charset val="238"/>
      </rPr>
      <t xml:space="preserve"> na konání seminářů NIDV, kroužku Veselá věda a konání ZeO.</t>
    </r>
  </si>
  <si>
    <t>Na kontrolním dnu k výsledkům hospodaření za I. pololetí 2015 nevyplynula pro organizaci žádná opatření.</t>
  </si>
  <si>
    <r>
      <t xml:space="preserve">1. Účastníci kontrolního dne, vzhledem k provedené analýze výsledku hospodaření, doporučují ponechat organizaci celý výsledek hospodaření v doplňkové činnosti ve výši </t>
    </r>
    <r>
      <rPr>
        <b/>
        <sz val="8"/>
        <color theme="1"/>
        <rFont val="Times New Roman"/>
        <family val="1"/>
        <charset val="238"/>
      </rPr>
      <t>20.070 Kč</t>
    </r>
    <r>
      <rPr>
        <sz val="8"/>
        <color theme="1"/>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celou částku </t>
    </r>
    <r>
      <rPr>
        <b/>
        <sz val="8"/>
        <color theme="1"/>
        <rFont val="Times New Roman"/>
        <family val="1"/>
        <charset val="238"/>
      </rPr>
      <t>20.070 Kč</t>
    </r>
    <r>
      <rPr>
        <sz val="8"/>
        <color theme="1"/>
        <rFont val="Times New Roman"/>
        <family val="1"/>
        <charset val="238"/>
      </rPr>
      <t>.</t>
    </r>
  </si>
  <si>
    <r>
      <t xml:space="preserve">2. Účastníci kontrolního dne, vzhledem k provedené analýze výsledku hospodaření, doporučují odvést celý výsledek hospodaření v hlavní činnosti ve výši </t>
    </r>
    <r>
      <rPr>
        <b/>
        <sz val="8"/>
        <color theme="1"/>
        <rFont val="Times New Roman"/>
        <family val="1"/>
        <charset val="238"/>
      </rPr>
      <t>147.159,14 Kč</t>
    </r>
    <r>
      <rPr>
        <sz val="8"/>
        <color theme="1"/>
        <rFont val="Times New Roman"/>
        <family val="1"/>
        <charset val="238"/>
      </rPr>
      <t xml:space="preserve"> na účet zřizovatele v rámci finančního vypořádání roku 2015.</t>
    </r>
  </si>
  <si>
    <t>Výsledek hospodaření v doplňkové činnosti je vytvořen rozdílem mezi skutečnými výnosy za vlastní činnost v celkové výši 879.741 Kč, z toho pronájmy 861.505 Kč. Celkové náklady na doplňkovou činnost ve výši 846.045 Kč jsou vztaženy zejména k jednotlivým druhům pronájmů a částečně jde o náklady hlavní činnosti financované z činnosti doplňkové v průběhu roku (celkem ve výši 150.337 Kč). Náklady na doplňkovou činnost jsou tvořeny kombinací buď přímých nákladů, připadajících na konkrétní pronájem nebo činnost a z větší části, zejména vzhledem k pronájmům, jsou vyčísleny z nerozdělených souvisejících nákladů z hlavní činnosti za pomoci koeficientů podle celkové pronajímané plochy a její vytíženosti vzhledem ke konkrétnímu nájmu a potřebám školy.</t>
  </si>
  <si>
    <t xml:space="preserve">Na rezervním fondu tvořeném ze zlepšeného výsledku hospodaření je na konci roku zůstatek ve výši 90.304,49 Kč a na rezervním fondu tvořeném z ostatních titulů (dary) je zůstatek ve výši 248.518,74 Kč. V tom jsou zahrnuty zbývající prostředky daru na obědy pro děti 2015/2016 od nadace Women for women  ve výši 36.769 Kč. V příštím roce a následujících letech bude potřeba čerpat prostředky na běžnou obměnu počítačů a notebooků, minimálně ve výši 100.000 Kč ročně, dále plánujeme pořídit uzamykatelné skříňky, police a učitelské stoly do sboroven a tříd 1. stupně, stejně jako v kabinetech zeměpisu, výtvarné výchovy a v kabinetu IVT, do respiria lavice, a pro školní družinu prolézačky na školní dvůr a hřiště. 
</t>
  </si>
  <si>
    <t xml:space="preserve">V následujícím období bude z fondu čerpáno zejména na obnovu vybavení do školní jídelny (myčka na nádobí 750 tis. Kč; plynová pečicí pánev 180 tis. Kč, příp. myčka na sklo 70 tis. Kč a další zařízení ŠJ). </t>
  </si>
  <si>
    <t xml:space="preserve">Prostředky fondu jsou určeny na odměňování zaměstnanců nad rámec náplní práce a na případné překročení mzdových prostředků. </t>
  </si>
  <si>
    <t xml:space="preserve">Fond sociální v příštím období škola i nadále použije zejména na čerpání příspěvku na stravování (necelá polovina zdrojů), na konání vlastních společných kulturních a společenských akcí, zájezdů a na vstupenky a návštěvy kulturních představení, příp. na sportovní, relaxační a jiné preventivní aktivity a programy. </t>
  </si>
  <si>
    <t>521/0306</t>
  </si>
  <si>
    <t>602/0300</t>
  </si>
  <si>
    <t>649/0320</t>
  </si>
  <si>
    <t>513/0300</t>
  </si>
  <si>
    <t>513/0320</t>
  </si>
  <si>
    <t>563/0300</t>
  </si>
  <si>
    <t>591/0300</t>
  </si>
  <si>
    <t>649/0331</t>
  </si>
  <si>
    <t>648/0500</t>
  </si>
  <si>
    <t>511/0311</t>
  </si>
  <si>
    <t>501/03xxx</t>
  </si>
  <si>
    <t>502/xxxx</t>
  </si>
  <si>
    <t>644/0300</t>
  </si>
  <si>
    <t>544/0300</t>
  </si>
  <si>
    <t>662/0300</t>
  </si>
  <si>
    <t xml:space="preserve">518/0470 </t>
  </si>
  <si>
    <t xml:space="preserve">501/0370-39x </t>
  </si>
  <si>
    <t>602/0035</t>
  </si>
  <si>
    <t>603/0001</t>
  </si>
  <si>
    <t xml:space="preserve">Spotřeba materiálu - náklady k pronájmům - materiál na opravy, kancelářské a čisticí potřeby apod. </t>
  </si>
  <si>
    <t>501/00xx</t>
  </si>
  <si>
    <t xml:space="preserve">Ostatní služby - náklady k pronájmům - servis zařízení, poplatky, kopírování, konzultace, poradenství a vzdělávání, sw práce atd. </t>
  </si>
  <si>
    <t>518/00xx</t>
  </si>
  <si>
    <t>524/0002, 12</t>
  </si>
  <si>
    <t>527/0032</t>
  </si>
  <si>
    <t>551/0010</t>
  </si>
  <si>
    <t xml:space="preserve">Přímý vliv na tvorbu výsledku hospodaření mají jednoznačně ziskové činnosti v celkové výši 49.252,02 Kč jako jsou např. sběr, náhrada od pojišťovny a ostatní výnosy ve výši 35.252,02 Kč nebo prodej nepotřebného majetku ve výši 14.000 Kč. Proti nim stojí úspory nákladů v závazných ukazatelích plánu nákladů v celkové výši  147.049 Kč, tzv. nepřímý vliv organizace a z toho např. materiál - 16.582,97 Kč, energie - 4.629,08 Kč, odpisy –  69.436 Kč – úspora z důvodu přeúčtování odpisů do doplňkové činnosti a pořízení nového majetku až v prosinci; mzdové a ostatní osobní náklady – 40.688 Kč, tj. úspory za osobní asistentku a také za odvody změnou pracovních smluv (např. na dohody), cestovné -  11.268 Kč nečerpáním rezervního fondu na zahraniční exkurze atd. </t>
  </si>
  <si>
    <t>Dar finanční - účelový - na obědy pro soc. znevýhodněných 15 žáků školy od října 2015 - června 2016; schváleno RMP 28.7.2015, usnesením č. 5705.</t>
  </si>
  <si>
    <t>Dar věcný - dataprojektor Epson EB - W28; přijetí daru bylo schváleno RMP dne 10.11.2015 usnesením č. 5976; dárce KPŠ při RG a ZŠ města Prostějova.</t>
  </si>
  <si>
    <t>Dar věcný - učební pomůcky a jiné vybavení do výuky; přijetí daru bylo schváleno RMP dne 3.3.2015 usnesením č. 5165; dárce KPŠ při RG a ZŠ města Prostějova.</t>
  </si>
  <si>
    <t>Navýšení odpisů dlouhodobého majetku - usnesení Rady města Prostějova č. 5237 ze dne 17.3.2015 - v souvislosti s bezúplatně převedeným movitým majetkem.</t>
  </si>
  <si>
    <t>Navýšení neinvestičního příspěvku zřizovatele  - usnesení Rady města Prostějova č. 5237 ze dne 17.3.2015 - v souvislosti s bezúplatně převedeným movitým majetkem.</t>
  </si>
  <si>
    <t>Navýšení neinvestičního příspěvku zřizovatele  - usnesení Zastupitelstva města Prostějova č. 15102 ze dne 13.4.2015 - v souvislosti s bezúplatně převedeným movitým majetkem.</t>
  </si>
  <si>
    <t>Navýšení odpisů dlouhodobého majetku - usnesení Rady města Prostějova č. 5359 ze dne 28.4.2015 - v souvislosti s převedeným nemovitým majetkem svěřeným organizaci k hospodaření.</t>
  </si>
  <si>
    <t>Čerpání FO - zřizovatelem přiznaná odměna,  schváleno usnesením Rady města Prostějova č. 5601 ze dne 30.6.2015.</t>
  </si>
  <si>
    <t>Čerpání FO - zřizovatelem přiznaná odměna,  schváleno usnesením Rady města Prostějova č. 5601 ze dne 30.6.2016.</t>
  </si>
  <si>
    <t>Drobné opravy a údržba dlouhodobého majetku - zvýšená potřeba z důvodu velké opravy prasklého pláště kotle ve ŠJ.</t>
  </si>
  <si>
    <t>Reprezentace - posílení položky na pohoštění návštěv.</t>
  </si>
  <si>
    <t>Reprezentace - hrazená ze sběru - pro žáky.</t>
  </si>
  <si>
    <t>Kurzová ztráta - posílení z důvodu vyrovnání kurzů poskytnutých prostředků na služební cesty do zahraničí.</t>
  </si>
  <si>
    <t>Srážková daň z úroku - daň z úroků na bankovních účtech.</t>
  </si>
  <si>
    <t>Dar věcný z KPŠ, schváleno usnesením Rady města Prostějova č. 5165 ze dne 3.3.2015 - učební pomůcky do fyziky a ICT.</t>
  </si>
  <si>
    <t>Čerpání fondu investic na opravu systému jednotného času - schváleno usnesením Rady města Prostějova č. 5704 ze dne 28.7.2015.</t>
  </si>
  <si>
    <t>Účet 511 - opravy dlouhodobého majetku - zvýšená potřeba z důvodu velké opravy prasklého pláště kotle ve ŠJ.</t>
  </si>
  <si>
    <t>Účet 511 - drobné opravy a údržba dlouhodobého majetku - zvýšená potřeba z důvodu velké opravy prasklého pláště kotle ve ŠJ.</t>
  </si>
  <si>
    <t>Účet 501 - spotřeba materiálu - ostatní - snížení nákladové položky ve prospěch zvýšené potřeby oprav hmotného majetku (jen prasklý plášť kotle - oprava celkem 71 tis. Kč).</t>
  </si>
  <si>
    <t>Dar věcný z KPŠ, schváleno usnesením Rady města Prostějova č. 5165 ze dne 3.3.2015 - dataprojektor Epson.</t>
  </si>
  <si>
    <t>Účet 502 - spotřeba energie - snížení z důvodu předpokládané úspory energie za 2. pololetí 2015 -  schváleno  19.11.2015 vedoucím odboru školství, kultury a sportu ( v tom: elektřina -155.000 Kč,  plyn -13.000 Kč, teplo -87.000 Kč, vodné a stočné +55.000 Kč).</t>
  </si>
  <si>
    <t>Účet 558 - náklady z dlouhodobého majetku - navýšení z důvodu pořízení 16 ks monitorů do učebny IVT2 a 1 ks notebook nebo tablet pro vedení školy  -  schváleno 19.11.2015 vedoucím odboru školství, kultury a sportu.</t>
  </si>
  <si>
    <t>Účet 551 - odpisy dlouhodobého majetku (budov)  - snížení z důvodu přeúčtováním části odpisů do doplňkové činnosti za rok  2015 -  schváleno usnesením Rady města Prostějova č. 51111 ze dne 8. 12. 2015.</t>
  </si>
  <si>
    <t>Účet 558 - náklady z dlouhodobého majetku - navýšení z důvodu pořízení 1 ks tiskárna pro vedení školy  -  schváleno usnesením Rady města Prostějova č. 51111 ze dne 8.12.2015.</t>
  </si>
  <si>
    <t>Výnosy stravné - snížení tržeb za stravné - méně uvařených obědů proti plánovaným počtům o cca 1300 obědů.</t>
  </si>
  <si>
    <t>Náklady na potraviny - snížení tržeb za stravné - méně uvařených obědů proti plánovaným počtům o cca 1300 obědů.</t>
  </si>
  <si>
    <t>Výnosy z prodeje materiálu - čipy - prodáno méně čipů.</t>
  </si>
  <si>
    <t>Prodaný materiál - čipy - prodáno méně čipů.</t>
  </si>
  <si>
    <t>Účet 662  - úroky - snížení z důvodu nízké kapitalizace peněžních prostředků v bance.</t>
  </si>
  <si>
    <t>Účet 649 - ostatní výnosy z činnosti - navýšení o úsporu z úroků (výnosy ze sběru, náhrady od fyz. osob, od pojišťovny).</t>
  </si>
  <si>
    <t>Účet 558 - náklady z dlouhodobého majetku - navýšení z důvodu pořízení tří kamer z důvodu zabezpečení školy.</t>
  </si>
  <si>
    <t>Účet 518 - služby - nižší nákupy nových licencí OS (OEM již v pořízených počítačích) proti plánovaným.</t>
  </si>
  <si>
    <t>Účet 501 - spotřeba materiálu  - pořízení JDDM (OEM)  - navýšení z důvodu pořízení 13 ks učitelských židlí  a drobné ICT techniky (UPS, switche, AP apod.) - viz soupis pořízeného majetku.</t>
  </si>
  <si>
    <t>Účet 501 - spotřeba materiálu  - snížení položky ve prospěch pořízení OEM z důvodu nedočerpaného ostatního drobného materiálu.</t>
  </si>
  <si>
    <t>Vlastní činnost - příjmy za keramický kurz.</t>
  </si>
  <si>
    <t>Vlastní činnost - příjmy za pronájmy.</t>
  </si>
  <si>
    <t>Zákonné sociální pojištění - odvody za odměny za obědy.</t>
  </si>
  <si>
    <t>Zákonné sociální náklady - odvody za odměny za obědy.</t>
  </si>
  <si>
    <t>Odpisy  - odpisy z budov.</t>
  </si>
  <si>
    <r>
      <t xml:space="preserve">1. Účastníci kontrolního dne, vzhledem k provedené analýze dosaženého výsledku hospodaření, doporučují ponechat organizaci část výsledku hospodaření ve výši </t>
    </r>
    <r>
      <rPr>
        <b/>
        <sz val="8"/>
        <rFont val="Times New Roman"/>
        <family val="1"/>
        <charset val="238"/>
      </rPr>
      <t>50.472,59 Kč</t>
    </r>
    <r>
      <rPr>
        <sz val="8"/>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t>
    </r>
    <r>
      <rPr>
        <b/>
        <sz val="8"/>
        <rFont val="Times New Roman"/>
        <family val="1"/>
        <charset val="238"/>
      </rPr>
      <t xml:space="preserve">30.472,59 Kč </t>
    </r>
    <r>
      <rPr>
        <sz val="8"/>
        <rFont val="Times New Roman"/>
        <family val="1"/>
        <charset val="238"/>
      </rPr>
      <t xml:space="preserve">a do fondu odměn částku ve výši </t>
    </r>
    <r>
      <rPr>
        <b/>
        <sz val="8"/>
        <rFont val="Times New Roman"/>
        <family val="1"/>
        <charset val="238"/>
      </rPr>
      <t>20.000,00 Kč.</t>
    </r>
    <r>
      <rPr>
        <sz val="8"/>
        <rFont val="Times New Roman"/>
        <family val="1"/>
        <charset val="238"/>
      </rPr>
      <t xml:space="preserve">
</t>
    </r>
  </si>
  <si>
    <r>
      <t xml:space="preserve">2. Účastníci KD, vzhledem k provedené analýze dosaženého výsledku hospodaření, doporučují odvést část výsledku hospodaření ve výši </t>
    </r>
    <r>
      <rPr>
        <b/>
        <sz val="8"/>
        <rFont val="Times New Roman"/>
        <family val="1"/>
        <charset val="238"/>
      </rPr>
      <t>147.049,- Kč</t>
    </r>
    <r>
      <rPr>
        <sz val="8"/>
        <rFont val="Times New Roman"/>
        <family val="1"/>
        <charset val="238"/>
      </rPr>
      <t xml:space="preserve">  na účet zřizovatele v rámci finančního vypořádání roku 2015. 
</t>
    </r>
  </si>
  <si>
    <t xml:space="preserve">3. Příděl  fondům a případný odvod části výsledku hospodaření na účet zřizovatele provede organizace na základě písemného vyrozumění odborem Odboru školství, kultury a sportu MMPv.
</t>
  </si>
  <si>
    <t xml:space="preserve">4. Na kontrolním dnu ředitel školy informoval v souvislosti s výše uvedenou opravou přípojky vody i o dalším řešení situace a problémech s pitnou vodou.V dalším období ještě bude nutné opravit hlavní rozvaděč vody umístěný v dílně školníka a následně hlavní páteřní potrubí do jednotlivých pavilonů. Vzhledem k tomu, že tento požadavek nebyl zařazen do akcí ORI na rok 2016 a řešení kvality vody nesnese odkladu, pokusí se škola toto provést na vlastní náklady. Situace byla konzultována s panem Svobodou z ORI.
</t>
  </si>
  <si>
    <t xml:space="preserve">5. V dalším období bude nezbytné provést rekonstrukci podlahy ve sportovní hale, protože z provozních důvodů je dýha podlahy již vybroušená na minimální sílu. Odborná firma již další broušení a nátěr vylučuje.
</t>
  </si>
  <si>
    <t xml:space="preserve">6. V roce 2013 byla ORI provedena v rámci projektu ROP Střední Morava rekonstrukce tří odborných učeben, ale dosud nebyla vyřešena evidence majetku pořízeného městem Prostějovem v těchto zrekonstruovaných učebnách, protože na základě sdělení z nadřízeného odboru ze dne 13.11.2014, opírajícího se o "Příkaz D 74/2013 k zajištění plnění a kontroly podmínek čerpání dotace", musí zůstat tento majetek majetkem zřizovatele, protože je financován z dotací z evropských fondů. Vzhledem k převodu budov do správy školy ke dni 1.1.2015 se mohla situace změnit, ale otázka je, zda byl majetek z projektu ROP převeden spolu s budovami nebo zůstal v rámci udržitelnosti majetkem zřizovatele. Bude prověřeno a konzultováno na KD k výsledkům hospodaření organizace za I. pololetí roku 2016.  
</t>
  </si>
  <si>
    <t>Ostatní výnosy z činnosti - sběr papíru - navýšení výnosů.</t>
  </si>
  <si>
    <t>V roce 2016 není plánováno použití fondu odměn.</t>
  </si>
  <si>
    <t>672/0031</t>
  </si>
  <si>
    <t>551/0331</t>
  </si>
  <si>
    <t>Navýšení finančního plánu organizace na cestovní náhrady. Tato položka byla pokryta úsporou v položce opravy a udržování.</t>
  </si>
  <si>
    <t>512/0310</t>
  </si>
  <si>
    <t>511/0301</t>
  </si>
  <si>
    <t>Navýšení položky finančního plánu na pořízení drobného dlouhodobého majetku (nákup tiskárny pro zástupce ředitele 1. st.). Tato položka byla pokryta úsporou v položce opravy a udržování.</t>
  </si>
  <si>
    <t>558/0301</t>
  </si>
  <si>
    <t>542/0301</t>
  </si>
  <si>
    <t>Snížení položky spotřeba materiálu z důvodu úspory v této položce.</t>
  </si>
  <si>
    <t>501/0500</t>
  </si>
  <si>
    <t>Navýšení finančního plánu organizace - příspěvek zřizovatele na odpisy bezúplaně předaného majetku, schváleno RMP usnesení č. 5237.</t>
  </si>
  <si>
    <t>Navýšení finančního plánu organizace -  na odpisy bezúplatně předaného majetku, schváleno RMP usnesení č. 5237.</t>
  </si>
  <si>
    <t>648/0801</t>
  </si>
  <si>
    <t>Navýšení finančního plánu - čerpání fondu investic na opravy podhledu ve školní jídelně. Schváleno RMP 16.6.2015 usnesení č. 5551.</t>
  </si>
  <si>
    <t>Navýšení finančního plánu - čerpání fondu odměn - odměny. Navýšeny byly položky mzdové náklady a zákonné a jiné pojištění.</t>
  </si>
  <si>
    <t>648/0411</t>
  </si>
  <si>
    <t>Navýšení finančního plánu - čerpání fondu odměn - odměny. Navýšeny byly položky zákonné a jiné pojištění.</t>
  </si>
  <si>
    <t>524/0300</t>
  </si>
  <si>
    <t>Snížení neinvestičního příspěvku zřizovatele  -  závazný ukazatel odpisy schváleno RMP 24.11.2015 usnesení č. 51047.</t>
  </si>
  <si>
    <t>Snížení závazného ukazatele odpisy - schváleno RMP dne 24.11.2015 u.č. 51047.</t>
  </si>
  <si>
    <t>551/0301</t>
  </si>
  <si>
    <t>551/0431</t>
  </si>
  <si>
    <t>Navýšení položky 501 - spotřeba materiálu z důvodu nákupu židliček do učebny angličtiny. Pokryto úsporou v položce 551.</t>
  </si>
  <si>
    <t>Navýšení položky 558 - drobný dlouhodobý majetek z důvodu nákupu šatních skříněk pro 30 žáků. Pokryto úsporou v položce 551.</t>
  </si>
  <si>
    <t>558/0331</t>
  </si>
  <si>
    <t>Snížení položky 549 - ostatní náklady z důvodu úspory na tomto účtu - nižší převody neuplatněného DHP za rok 2015. Navýšena byla položka ostatní služby - 518 - z důvodu vyšších nákladů na upgrade SW a služby s tím související.</t>
  </si>
  <si>
    <t>549/0700</t>
  </si>
  <si>
    <t>Navýšení položky 518 - ostatní služby z důvodu vyšších nákladů na upgrade SW a služby s tím související (SW ve školní jídelně, evidence majetku).</t>
  </si>
  <si>
    <t>518/0371</t>
  </si>
  <si>
    <t>Snížení položky spotřeba materiálu z důvodu úspory v této položce. Z této položky byla navýšená položka 558.</t>
  </si>
  <si>
    <t>501/0301</t>
  </si>
  <si>
    <t>Navýšení položky 558 - drobný dlouhodobý majetek z důvodu nákupu tiskárny na sekretariát školy. Původní tiskárna byla reklamována a v reklamačním řízení byly vráceny peníze. Pokryto úsporou v položce 501.</t>
  </si>
  <si>
    <t>Snížení položky 511 - oprava a údržování z důvodu nižších nákladů na opravu podhledu ve školní jídelně.</t>
  </si>
  <si>
    <t>Snížení položky 501 - spotřeba materiálu z důvodu úspory na této položce. Posílena byla položka 556 - tvorba a zaúčtování opravných položek.</t>
  </si>
  <si>
    <t>Navýšení položky 556 - tvorba opravných položek - sběrové akce předchozích let a dárkové šeky z předchozích let.</t>
  </si>
  <si>
    <t>556/0301</t>
  </si>
  <si>
    <t>648/0413</t>
  </si>
  <si>
    <t>Úprava fin. plánu navýšením položky ostatní náklady z činnosti. Jednalo se o náklady na pojištění majetku. Tato položka byla pokryta úsporou v položce ostatní služby.</t>
  </si>
  <si>
    <t>549/0001</t>
  </si>
  <si>
    <t>518/0160</t>
  </si>
  <si>
    <t>551/0131</t>
  </si>
  <si>
    <t>28.12.205</t>
  </si>
  <si>
    <t>501/0001</t>
  </si>
  <si>
    <t>Výsledek hospodaření je tvořen ziskem z pronájmu sportovišť a poskytování stravovacích služeb pro jiné subjekty i jednotlivce.</t>
  </si>
  <si>
    <t xml:space="preserve">Výsledek hospodaření v hlavní činnosti je nejvíce ovlivněn velkou úsporou spotřeby veškerých energií, hlavně tepelné energie. Další významnou položkou která ovlivnila výsledek hospodaření bylo čerpání rezervního fondu ve výši 448.239 Kč (sankce - odvod zřizovateli). Na částku 9.347,54 Kč za projekt přírodovědných učeben (zlepšený výsledek hospodaření za rok 2015 - ostatní) byla v roce 2014 k 31.1.2014 vytvořena dohadná položka. Projekt byl vyhodnocen a uzavřen až k 1.7.2015 byl - předfinancován z provozních prostředků. Částka 9.347,54 byla vyhodnocena jako neuznatelný náklad, a proto musí být uhrazena z prostředků zřizovatele. </t>
  </si>
  <si>
    <t>Viz komentář "Hlavní činnost (zřizovatel)".</t>
  </si>
  <si>
    <t>V roce 2016 je plánováno čerpání fondu na opravu podlahy ve školní jídelně - předpokládáná cena 400.000 Kč, dále na nákup konvektomatu do školní jídelny ve výši 550.000 Kč a nákup varného kotle ve výši 280.000 Kč.</t>
  </si>
  <si>
    <r>
      <rPr>
        <b/>
        <u/>
        <sz val="8"/>
        <rFont val="Times New Roman"/>
        <family val="1"/>
        <charset val="238"/>
      </rPr>
      <t>Na základě předložené žádosti bude převedený výsledek hospodaření za rok 2015 ve výši 2.150.100,97 Kč použit na úhradu ztráty minulých let na účtu 432 (prostředky budou účelově vázány),</t>
    </r>
    <r>
      <rPr>
        <u/>
        <sz val="8"/>
        <rFont val="Times New Roman"/>
        <family val="1"/>
        <charset val="238"/>
      </rPr>
      <t xml:space="preserve"> </t>
    </r>
    <r>
      <rPr>
        <sz val="8"/>
        <rFont val="Times New Roman"/>
        <family val="1"/>
        <charset val="238"/>
      </rPr>
      <t>zbývající část ve výši 285.940,40 Kč bude čerpána na pořízení školního nábytku z důvodu navýšení počtu žáků na 1. stupni ZŠ. Část rezervního fondu evidovaná na účtu 414 - dary bude použita na úhradu obědů pro děti (dle smlouvy Women for women), zbývající část na nákup radiomagnetofonu ve výši 3.000 Kč.</t>
    </r>
  </si>
  <si>
    <t>Věcný dar - nábytek pro učebnu anglického jazyka - katedra 1 ks, skříň 1ks a stoly 5 ks (SRPŠ).</t>
  </si>
  <si>
    <t>Věcný dar - pružinové houpačky školní hřiště 2 ks (Grewis-Springs s.r.o.).</t>
  </si>
  <si>
    <t>Finanční dar účelový - obědy pro děti (WOMEN FOR WOMEN).</t>
  </si>
  <si>
    <t>Finanční dar - neúčelový - bude čerpáno v roce 2016.</t>
  </si>
  <si>
    <t>Navýšení finančního plánu organizace - příspěvek zřizovatele na odpisy svěřeného majetku, schváleno RMP usnesení č. 5359.</t>
  </si>
  <si>
    <t>Snížení položky finančního plánu organizace v položce opravy a udržování z důvodu úspory na této položce ve prospěch položky cestovné.</t>
  </si>
  <si>
    <t>Navýšení položky pokuty a penále z důvodu udělení pokuty zdravotnickým ústavem za výskyt legienelly v teplé užitkové vodě. Tato položka byla pokryta úsporou v účtu 501 - spotřeba materiálu.</t>
  </si>
  <si>
    <t>Navýšení položky 648 - čerpání rezervního fodnu - splátkový kalendář porušení rozpočtové kázně ve výši 448.239 Kč.</t>
  </si>
  <si>
    <t>Úprava fin. plánu snížení položky ostatní služby - úspora v přerozdělení nákladů HČ a DČ.</t>
  </si>
  <si>
    <t>Navýšení položky odpisy - odpisy budov a DHM používané pro DČ - pokryto úsporou v položce spotřeba materiálu.</t>
  </si>
  <si>
    <t>Snížení položky spotřeba materiálu - úspora.</t>
  </si>
  <si>
    <t>Není nákladový protiúčet - úhrada za porušení rozpočtové kázně z výnosů.</t>
  </si>
  <si>
    <t xml:space="preserve">Na kontrolním dnu ředitel školy informoval o řešení situace po opakovaných haváriích vody začátkem roku 2015 a o opakovaných problémech s pitnou vodou po zahájení školního roku. Ve spolupráci s ORI byla v srpnu provedena nová přípojka vody. Tím došlo k výraznému zlepšení kvality vody.
</t>
  </si>
  <si>
    <t>Úprava finančního plánu v položce energií nebyla ve II. pololetí 2015 provedena. Ze strany organizace nebyla dána žádost.</t>
  </si>
  <si>
    <r>
      <t xml:space="preserve">1. Účástnící kontrolního dne, vzhledem k provedené analýze výsledků hospodaření, doporučují ponechat organizaci celý výsledek hospodaření ve výši </t>
    </r>
    <r>
      <rPr>
        <b/>
        <sz val="8"/>
        <color indexed="8"/>
        <rFont val="Times New Roman"/>
        <family val="1"/>
        <charset val="238"/>
      </rPr>
      <t>2.436.041,37 Kč</t>
    </r>
    <r>
      <rPr>
        <sz val="8"/>
        <color indexed="8"/>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celou částku ve výši </t>
    </r>
    <r>
      <rPr>
        <b/>
        <sz val="8"/>
        <color indexed="8"/>
        <rFont val="Times New Roman"/>
        <family val="1"/>
        <charset val="238"/>
      </rPr>
      <t>2.436.041,37 Kč,</t>
    </r>
    <r>
      <rPr>
        <sz val="8"/>
        <color indexed="8"/>
        <rFont val="Times New Roman"/>
        <family val="1"/>
        <charset val="238"/>
      </rPr>
      <t xml:space="preserve"> s tím, že </t>
    </r>
    <r>
      <rPr>
        <b/>
        <sz val="8"/>
        <color indexed="8"/>
        <rFont val="Times New Roman"/>
        <family val="1"/>
        <charset val="238"/>
      </rPr>
      <t>2.150.100,97 Kč</t>
    </r>
    <r>
      <rPr>
        <sz val="8"/>
        <color indexed="8"/>
        <rFont val="Times New Roman"/>
        <family val="1"/>
        <charset val="238"/>
      </rPr>
      <t xml:space="preserve"> bude účelově vázáno na pokrytí ztráty minulých let, převodem na účet 432. </t>
    </r>
    <r>
      <rPr>
        <b/>
        <sz val="8"/>
        <color indexed="8"/>
        <rFont val="Times New Roman"/>
        <family val="1"/>
        <charset val="238"/>
      </rPr>
      <t>Kontrola převodu účelově vázaných prostředků bude provedena na KD k výsledkům hospodaření oprganizace za 1. pololetí roku 2016. Organizace bude pokračovat v umoření sankcí za porušení rozpočtové kázně dle splátkového kalendáře.</t>
    </r>
  </si>
  <si>
    <t>Navýšení finančního plánu - čerpání fondu odměn - odměny. Navýšeny byly položky mzdové náklady  - vyplacení odměn.</t>
  </si>
  <si>
    <t>V roce 2016 bude čerpáno na stravování, na rekreaci, sportovní a kulturní akce, peněžité a nepeněžité dary v souladu s plánem čerpání fondu na rok 2016.</t>
  </si>
  <si>
    <t xml:space="preserve">Použití daru bylo na nákup drobného vybavení pro základní školu a mateřskou školu dle smluvního ujednání v darovací smlouvě. </t>
  </si>
  <si>
    <t>524/03XX</t>
  </si>
  <si>
    <t>527/0300</t>
  </si>
  <si>
    <t>501/03XX</t>
  </si>
  <si>
    <t>502/03XX</t>
  </si>
  <si>
    <t xml:space="preserve">1. Organizaci bylo doporučeno maximálně využít prostředky fondů k financování rozvoje činnosti. Doporučený nákup konvektomatu do školní jídelny z prostředků fondu investic nebyl realizován s ohledem na vznik nutnosti provést opravu podlahy tělocvičny, jenž byla předběžně kalkulována na 1 mil. Kč. Realizace II. etapy nákupu šatních skříněk byla provedena. </t>
  </si>
  <si>
    <t xml:space="preserve">2. Organizace ověřila kalkulaci tepla u dodavatele a na základě zjištění byly ke konci roku zrušeny platby záloh na teplo. </t>
  </si>
  <si>
    <t>3. Organizace s ohledem na čerpání prostředů z ÚP požádala zřizovatele o navýšení závazného ukazatele - mzdové náklady, závazného ukazatele zák. a jiné soc. pojištění. Zřizovatelem bylo vyhověno. Závazné ukazatele nebyly překročeny. Mzdové náklady včetně odvodů na zdravotní a sociální pojištění byly refundovány z prostředků ÚP. Náklady na příděl do FKSP byly hrazeny z vlastních zdrojů organizace.</t>
  </si>
  <si>
    <t xml:space="preserve">Dosažený hospodářský výsledek je v zásadě v souladu se schváleným finančním plánem. </t>
  </si>
  <si>
    <t>Fond odměn slouží jako rezerva při event. překročení prostředků na platy.</t>
  </si>
  <si>
    <t>648/320</t>
  </si>
  <si>
    <t>521/300</t>
  </si>
  <si>
    <t>524/300</t>
  </si>
  <si>
    <t>524/310</t>
  </si>
  <si>
    <t>527/300</t>
  </si>
  <si>
    <t>501/380</t>
  </si>
  <si>
    <t>501/460</t>
  </si>
  <si>
    <t>502/300</t>
  </si>
  <si>
    <t>501/372</t>
  </si>
  <si>
    <t>511/330</t>
  </si>
  <si>
    <t>644/330</t>
  </si>
  <si>
    <t xml:space="preserve">501/010 </t>
  </si>
  <si>
    <t xml:space="preserve">501/020 </t>
  </si>
  <si>
    <t xml:space="preserve">501/070 </t>
  </si>
  <si>
    <t>501/072</t>
  </si>
  <si>
    <t xml:space="preserve">501/090 </t>
  </si>
  <si>
    <t>501/120</t>
  </si>
  <si>
    <t xml:space="preserve">501/130 </t>
  </si>
  <si>
    <t xml:space="preserve">501/161 </t>
  </si>
  <si>
    <t xml:space="preserve">502/001 </t>
  </si>
  <si>
    <t xml:space="preserve">502/010 </t>
  </si>
  <si>
    <t xml:space="preserve">502/020 </t>
  </si>
  <si>
    <t xml:space="preserve">502/030 </t>
  </si>
  <si>
    <t xml:space="preserve">511/001  </t>
  </si>
  <si>
    <t xml:space="preserve">511/010  </t>
  </si>
  <si>
    <t xml:space="preserve">511/020  </t>
  </si>
  <si>
    <t xml:space="preserve">511/030  </t>
  </si>
  <si>
    <t xml:space="preserve">518/001 </t>
  </si>
  <si>
    <t xml:space="preserve">518/070 </t>
  </si>
  <si>
    <t xml:space="preserve">518/080 </t>
  </si>
  <si>
    <t>518/140</t>
  </si>
  <si>
    <t>518/142</t>
  </si>
  <si>
    <t xml:space="preserve">518/160 </t>
  </si>
  <si>
    <t xml:space="preserve">518/180 </t>
  </si>
  <si>
    <t xml:space="preserve">518/190 </t>
  </si>
  <si>
    <t xml:space="preserve">602/001 </t>
  </si>
  <si>
    <t xml:space="preserve">602/080 </t>
  </si>
  <si>
    <t xml:space="preserve">603/003 </t>
  </si>
  <si>
    <t xml:space="preserve">603/020 </t>
  </si>
  <si>
    <t xml:space="preserve">603/240 </t>
  </si>
  <si>
    <t xml:space="preserve">Po převodu výsledku hospodaření roku 2015 budou prostředky fondu sloužit pro umoření výsledku hospodaření předcházejících účetních období (účet 432) ve výši -1.512.238,27 Kč (údaje dle rozvahy). Zbývající prostředky budou převedeny do investičního fondu s plánovaným využitím na pořízení kotle na vaření. </t>
  </si>
  <si>
    <t>Nákup kotle na vaření po převodu z rezervního fondu.</t>
  </si>
  <si>
    <t>Účelový dar - schváleno RMP - na nákup sporáku do školní kuchyňky.</t>
  </si>
  <si>
    <t>Převod majetku - zařízení školní kuchyně - od zřizovatele.</t>
  </si>
  <si>
    <t>Účelový dar KPŠ při ZŠ Valenty PV - schváleno RMP - kamerový systém.</t>
  </si>
  <si>
    <t>Účelově neurčeno - KPŠ při ZŠ Valenty PV - nákup sporáku do školní kuchyňky.</t>
  </si>
  <si>
    <t>Usnesením RMP č. 5237 - zvýšení závaz. ukazatele - odpisů.</t>
  </si>
  <si>
    <t>Usnesením RMP č. 5237 - zvýšení příspěvku zřizovatele.</t>
  </si>
  <si>
    <t>Usnesením RMP č. 15102 - zvýšení závaz. ukazatele - odpisů.</t>
  </si>
  <si>
    <t>Usnesením RMP č. 15102 - zvýšení příspěvku zřizovatele.</t>
  </si>
  <si>
    <t>Na doporučení auditorky: Spotřeba materiálu - karty a čipy.</t>
  </si>
  <si>
    <t>Na doporučení auditorky: Prodaný materiál - karty a čipy.</t>
  </si>
  <si>
    <t>Předepsané penále od ZP - jiné pokuty a penále.</t>
  </si>
  <si>
    <t>Předpis úhrady penále zaměstnanci: ostatní výnosy z činnosti.</t>
  </si>
  <si>
    <t>Nákup tiskárny - snížení spotřeby materiálu.</t>
  </si>
  <si>
    <t>Nákup tiskárny - navýšení nákladů z DDHM.</t>
  </si>
  <si>
    <t>Navýšení finančního plánu - spotřeba materiálu.</t>
  </si>
  <si>
    <t>Navýšení finančního plánu - výnosy z prodeje služeb.</t>
  </si>
  <si>
    <t>Navýšení finančního plánu - ostatní výnosy z činnosti.</t>
  </si>
  <si>
    <t>Mzdové náklady - FO.</t>
  </si>
  <si>
    <t>Navýšení finančního plánu - zák. sociál. poj. - odměna z FO.</t>
  </si>
  <si>
    <t>Snížení finančního plánu - zákon. sociál. náklady.</t>
  </si>
  <si>
    <t>Snížení finančního plánu - ostatní náklady z činnosti.</t>
  </si>
  <si>
    <t>Schvál. vedoucím OŠKS - úpr. fin. plánu - energie: teplo.</t>
  </si>
  <si>
    <t>Schvál. vedoucím OŠKS - úpr. fin. plánu - náklady z DDHM.</t>
  </si>
  <si>
    <t>Snížení finančního plánu - spotř. materiálu - komise hřiště.</t>
  </si>
  <si>
    <t>Navýšení finančního plánu - náklady z DDHM.</t>
  </si>
  <si>
    <t>Schvál. vedoucím OŠKS - spotř. materiálu na opravy.</t>
  </si>
  <si>
    <t>Schvál. vedoucím OŠKS - spotřeba materiálu - ostatní.</t>
  </si>
  <si>
    <t>Schvál. vedoucím OŠKS - OEHM 500 - 2.999 Kč.</t>
  </si>
  <si>
    <t>Schvál. vedoucím OŠKS - spotř. materiálu do ŠJ.</t>
  </si>
  <si>
    <t>Schvál. vedoucím OŠKS - energie: elektřina.</t>
  </si>
  <si>
    <t>Schvál. vedoucím OŠKS - energie: plyn.</t>
  </si>
  <si>
    <t>Schvál. vedoucím OŠKS - energie: vodné + stočné.</t>
  </si>
  <si>
    <t>Schvál. vedoucím OŠKS - spotřeba materiálu.</t>
  </si>
  <si>
    <t>Spotřeba materiálu - potravin.</t>
  </si>
  <si>
    <t>Tržby za stravování.</t>
  </si>
  <si>
    <t>Spotřeba materiálu - ostatní.</t>
  </si>
  <si>
    <t>Opravy a udržování.</t>
  </si>
  <si>
    <t>Prodaný materiál - karty a čipy.</t>
  </si>
  <si>
    <t>Tržby za karty a čipy.</t>
  </si>
  <si>
    <t>Čerpání fondů - RF.</t>
  </si>
  <si>
    <t>Náklady z DDM.</t>
  </si>
  <si>
    <t>Spotřeba materiálu - tonery.</t>
  </si>
  <si>
    <t>Náklady z DDM - bezúplatné předání majetku.</t>
  </si>
  <si>
    <t>Ostatní výnosy z činnosti - bezúplatné předání majetku.</t>
  </si>
  <si>
    <t>Sociální pojištění - fin. odměny z FKSP.</t>
  </si>
  <si>
    <t>Zdravotní pojištění - fin. odměny z FKSP.</t>
  </si>
  <si>
    <t>501/020 - Tonery.</t>
  </si>
  <si>
    <t>501/070 - Spotřební materiál pro ŠJ.</t>
  </si>
  <si>
    <t>501/072 - Potraviny.</t>
  </si>
  <si>
    <t>501/090 - Čistící prostředky.</t>
  </si>
  <si>
    <t>501/120 - Knihy, časopisy, tiskopisy.</t>
  </si>
  <si>
    <t>501/130 - OEMM - 500 - 2.999 Kč.</t>
  </si>
  <si>
    <t>501/161 - Spotřeba materiálu ostatní.</t>
  </si>
  <si>
    <t>502/001 - Vodné a stočné.</t>
  </si>
  <si>
    <t>502/010 - Plyn.</t>
  </si>
  <si>
    <t>502/020 - Elektřina.</t>
  </si>
  <si>
    <t>502/030 - Teplo.</t>
  </si>
  <si>
    <t>511/001 - Nemov. majetek do 100 tis. Kč.</t>
  </si>
  <si>
    <t>511/010 - Nemov. majetek nad 100 tis. Kč.</t>
  </si>
  <si>
    <t>511/020 - Movit. majetku do 20 tis. Kč.</t>
  </si>
  <si>
    <t>511/030 - Movit. majetku nad 20 tis. Kč.</t>
  </si>
  <si>
    <t>518/001 - Poštovné.</t>
  </si>
  <si>
    <t>518/070 - Mzdy, účetní a daň. poradenství.</t>
  </si>
  <si>
    <t>518/080 - Konzultace, poradenství.</t>
  </si>
  <si>
    <t>518/130 - Servisní prohlídky.</t>
  </si>
  <si>
    <t>518/140 - Údržba dodavatelsky.</t>
  </si>
  <si>
    <t>518/142 - Ostatní služby.</t>
  </si>
  <si>
    <t>518/160 - Odvoz a likvidace odpadu.</t>
  </si>
  <si>
    <t>518/180 - Údržba software a licence.</t>
  </si>
  <si>
    <t>518/190 - Servis PC.</t>
  </si>
  <si>
    <t>551/210 - Odpisy DHM.</t>
  </si>
  <si>
    <t>558/001 - Náklady z DDHM.</t>
  </si>
  <si>
    <t>602/001 - Stravování.</t>
  </si>
  <si>
    <t>602/080 - Výnosy za služby.</t>
  </si>
  <si>
    <t>603/003 - Pronájem třídy.</t>
  </si>
  <si>
    <t>603/020 - Pronájem služebního bytu.</t>
  </si>
  <si>
    <t>603/240 - Pronájem kantýny.</t>
  </si>
  <si>
    <t>FÚ pro Olomoucký kraj vyměřil organizaci v září 2014 na základě kontroly "Ověření souladu postupů příjemce dotace pravidly OPVK" odvod a penále. V roce 2014 organizace požádala o posečkání a prominutí úhrady uloženého odvodu a penále. V roce 2015 byl uložený odvod a penále prominut.</t>
  </si>
  <si>
    <t>Výsledek hospodaření organizace je ovlivněn rozdělením nákladů v hlavní a doplňkové činnosti. Bývalá ekonomka organizace neměla v roce 2014 nastaveno třídění nákladů pro hlavní a doplňkovou činnost. Dle konzultací s firmou Daňové poradenství Paclík bylo nastaveno nové účtování nákladů v doplňkové činnosti (stanovené procentní rozdělení dle výnosů z roku 2014). Následně bylo po celý rok 2015 toto rozdělení sledováno tak, aby odpovídalo skutečné situaci v organizaci, a věrně, poctivě a průkazně zobrazilo účetnictví organizace. Dále došlo k navýšení nákladů na pronájmy cizích tělocvičen pro činnost zájmových útvarů. Výsledek hospodaření byl ovlivněn i maximální snahou o propojení pedagogické a ekonomické agendy, což si vyžádalo výraznou obnovu technického vybavení.</t>
  </si>
  <si>
    <t>Hlavní vliv na výsledek hospodaření má stanovené procentní rozdělení nákladů v doplňkové činnosti.</t>
  </si>
  <si>
    <t>Prostředky z tohoto fondu budou použity na odměny pro pracovníky organizace a pracovníky zaměstnávané z projektů ÚP Prostějov (DDC) za plnění mimořádných a zvlášť významných pracovních úkolů.</t>
  </si>
  <si>
    <t xml:space="preserve">Prostředky z tohoto fondu budou čerpány dle vnitřního předpisu organizace, především na příspěvek na stravování pro pracovníky, nákup vitamínových balíčků (prevence) a odměny jubilantům. </t>
  </si>
  <si>
    <t>100/2012</t>
  </si>
  <si>
    <t>123/2012</t>
  </si>
  <si>
    <t>125/2015</t>
  </si>
  <si>
    <t>21/2013</t>
  </si>
  <si>
    <t>67/2013</t>
  </si>
  <si>
    <t>549/0350</t>
  </si>
  <si>
    <t>525/0300</t>
  </si>
  <si>
    <t>602/0336</t>
  </si>
  <si>
    <t>602/0337</t>
  </si>
  <si>
    <t>602/0338</t>
  </si>
  <si>
    <t>602/0341</t>
  </si>
  <si>
    <t>602/0342</t>
  </si>
  <si>
    <t>603/0300</t>
  </si>
  <si>
    <t>649/0410</t>
  </si>
  <si>
    <t>669/0300</t>
  </si>
  <si>
    <t>501/0300 - potraviny</t>
  </si>
  <si>
    <t>501/0310 - kanc.potř.</t>
  </si>
  <si>
    <t>501/0320 - tonery</t>
  </si>
  <si>
    <t>501/0340 - pomůcky žáci</t>
  </si>
  <si>
    <t>501/0380 - spotř.mat</t>
  </si>
  <si>
    <t>501/0390 - čistící p.</t>
  </si>
  <si>
    <t>501/0400 - ochranné p</t>
  </si>
  <si>
    <t>501/0410 - léky</t>
  </si>
  <si>
    <t>501/0420 - knihy provoz</t>
  </si>
  <si>
    <t>501/0430 - OEM</t>
  </si>
  <si>
    <t>501/0440 - PHM</t>
  </si>
  <si>
    <t>501/0450 - ost. paliva</t>
  </si>
  <si>
    <t>501/0460 - opr.vnitřek</t>
  </si>
  <si>
    <t>501/0470 - opr.venek</t>
  </si>
  <si>
    <t>501/0480 - propagace</t>
  </si>
  <si>
    <t>501/0500 - ost.drobný</t>
  </si>
  <si>
    <t>501/0510 - věcné ceny</t>
  </si>
  <si>
    <t>501/0560 - akvárium</t>
  </si>
  <si>
    <t>502/0300 - voda</t>
  </si>
  <si>
    <t>502/0310 - plyn</t>
  </si>
  <si>
    <t>502/0320 - elektřina</t>
  </si>
  <si>
    <t>511/0300 - nem.do 100</t>
  </si>
  <si>
    <t>511/0320 - mov do 20</t>
  </si>
  <si>
    <t>511/0330 - mov nad 20</t>
  </si>
  <si>
    <t>511/0340 - dopr.prostr.</t>
  </si>
  <si>
    <t>512/0300 - školení</t>
  </si>
  <si>
    <t>512/0310 - tuz.ostatní</t>
  </si>
  <si>
    <t>513/0300 - reprezentace</t>
  </si>
  <si>
    <t>518/0300 - poštovné</t>
  </si>
  <si>
    <t>518/0310 - internet</t>
  </si>
  <si>
    <t>518/0320 - bank.popl.</t>
  </si>
  <si>
    <t>518/0330 - ost.poplatky</t>
  </si>
  <si>
    <t>518/0340 - pronájmy  N</t>
  </si>
  <si>
    <t>518/0350 - pronájmy M</t>
  </si>
  <si>
    <t>518/0360 - stravování</t>
  </si>
  <si>
    <t>518/0370 - zpr.poradenství</t>
  </si>
  <si>
    <t>518/0380 - konzul.práv</t>
  </si>
  <si>
    <t>518/0390 - školení</t>
  </si>
  <si>
    <t>518/0400 - OEMNehm</t>
  </si>
  <si>
    <t>518/0410 - telefony</t>
  </si>
  <si>
    <t>518/0430 - servisní prohl.</t>
  </si>
  <si>
    <t>518/0440 - úklid a udržba</t>
  </si>
  <si>
    <t>518/0441 - ostatní</t>
  </si>
  <si>
    <t>518/0442 - rozbor vody</t>
  </si>
  <si>
    <t>518/0460 - odvoz odpadu</t>
  </si>
  <si>
    <t>518/0480 - licence, software</t>
  </si>
  <si>
    <t>518/0490 - servis PC</t>
  </si>
  <si>
    <t>518/0500 - doprava</t>
  </si>
  <si>
    <t>518/0600 - k taborum, akcim</t>
  </si>
  <si>
    <t>521/0300 - HM FO</t>
  </si>
  <si>
    <t>521/0300 - HM</t>
  </si>
  <si>
    <t>521/0330 - OON ostatní</t>
  </si>
  <si>
    <t>521/0350 - náhrady nemoc</t>
  </si>
  <si>
    <t>521/0410 - nález kontroly</t>
  </si>
  <si>
    <t>524/0900 - doplatek SP</t>
  </si>
  <si>
    <t>527/0300 -FKSP</t>
  </si>
  <si>
    <t>527/0310 - ochranné p</t>
  </si>
  <si>
    <t>527/0320 - stravování</t>
  </si>
  <si>
    <t>527/0330 - prevent.pro</t>
  </si>
  <si>
    <t>528/0300 - jiné soc. nákl</t>
  </si>
  <si>
    <t>531/0300 - silniční d</t>
  </si>
  <si>
    <t>538/0300 - dalniční zn</t>
  </si>
  <si>
    <t>542/0900 - pokuta OSSZ</t>
  </si>
  <si>
    <t>549/0300 - pojištění</t>
  </si>
  <si>
    <t>549/0350 - čl.přísp</t>
  </si>
  <si>
    <t>556/0300 - k pohledávkám</t>
  </si>
  <si>
    <t>558/0300 - DDHM</t>
  </si>
  <si>
    <t>551/0000</t>
  </si>
  <si>
    <t>602/0080</t>
  </si>
  <si>
    <t>603/0010</t>
  </si>
  <si>
    <t>603/0040</t>
  </si>
  <si>
    <t>501/0010 - kanc.potř.</t>
  </si>
  <si>
    <t>501/0020 - tonery</t>
  </si>
  <si>
    <t>501/0080 - spotř.mat</t>
  </si>
  <si>
    <t>501/0090 - čistící p.</t>
  </si>
  <si>
    <t>501/0100 - ochranné p</t>
  </si>
  <si>
    <t>501/0110 - léky</t>
  </si>
  <si>
    <t>501/0130 - OEM</t>
  </si>
  <si>
    <t>501/0150 - ost. paliva</t>
  </si>
  <si>
    <t>501/0160 - opr.vnitřek</t>
  </si>
  <si>
    <t>501/0170 - opr.venek</t>
  </si>
  <si>
    <t>501/0200 - ost.drobný</t>
  </si>
  <si>
    <t>502/0000 - voda</t>
  </si>
  <si>
    <t>502/0010 - plyn</t>
  </si>
  <si>
    <t>502/0020 - elektřina</t>
  </si>
  <si>
    <t>511/0000 - nem.do 100</t>
  </si>
  <si>
    <t>511/0030 - mov nad 20</t>
  </si>
  <si>
    <t>518/0000 - poštovné</t>
  </si>
  <si>
    <t>518/0070 - zpr.poradenství</t>
  </si>
  <si>
    <t>518/0080 - konzul.práv</t>
  </si>
  <si>
    <t>518/0130 - servisní prohl.</t>
  </si>
  <si>
    <t>518/0140 - úklid a udržba</t>
  </si>
  <si>
    <t>518/0141 - ostatní</t>
  </si>
  <si>
    <t>518/0160 - odvoz odpadu</t>
  </si>
  <si>
    <t>518/0190 - servis PC</t>
  </si>
  <si>
    <t>518/0200 - doprava</t>
  </si>
  <si>
    <t>521/0000 - HM</t>
  </si>
  <si>
    <t>521/0050 - náhrady nemoc</t>
  </si>
  <si>
    <t xml:space="preserve">524/0000 - SP </t>
  </si>
  <si>
    <t>525/0000 - zákonné poj.</t>
  </si>
  <si>
    <t>527/0000 - FKSP</t>
  </si>
  <si>
    <t>549/0000- pojištění</t>
  </si>
  <si>
    <t>551/0000 - odpisy</t>
  </si>
  <si>
    <t>558/0000 - DDHM</t>
  </si>
  <si>
    <t>Využití finančních prostředků z rezervního fondu je plánováno na pořízení aktuálně potřebného materiálu pro činnost organizace, (cca 60.000 Kč), dofinancování nosné propagační a náborové akce "Burza volného času" (cca 20.000 Kč - nákup propagačních materiálů, nákup služeb pro účastníky atd.) a další operativní potřeby pro činnost organizace. Organizace předpokládá převod cca 150.000 Kč do investičního fondu na nákup automobilu (bude řešeno při KD za I. pololetí 2016).</t>
  </si>
  <si>
    <t>V průběhu prvního čtvrtletí roku 2016 bude organizaci dodán nový devítimístný automobil v hodnotě 699.971 Kč (výběrové řízení proběhlo v roce 2015).</t>
  </si>
  <si>
    <t xml:space="preserve">Veškeré pohledávky po lhůtě splatnosti náleží jednomu dlužníkovi, a to firmě Prostějovský basketbal v likvidaci, s.r.o. Dlužník - Likvidátor společnosti stále odmítá komunikovat - nereaguje na zasílané podněty. Organizace řeší tuto situací žádostí o změnu osoby likvidátora. </t>
  </si>
  <si>
    <t>Organizace v roce 2015 přijala nepeněžní dar - keramickou pec v hodnotě 36.312 Kč.</t>
  </si>
  <si>
    <t>Navýšení nákladového účtu 549 - pojištění majetku; členské příspěvky; snížení nákladové položky 518 - ostatní služby.</t>
  </si>
  <si>
    <t>Čerpání rezervního fondu - materiál a vybavení na burzu; počítačové vybavení.</t>
  </si>
  <si>
    <t>Převod dlouhodobého majetku od zřizovatele - navýšení příspěvku zřizovatele na odpisy majetku. Čerpání příspěvku zřizovatele na odpisy majetku.</t>
  </si>
  <si>
    <t>Odpisy v DČ.</t>
  </si>
  <si>
    <t>Původní rozpočet byl vytvořen v září 2014. Bývalou ekonomkou nebylo stanoveno rozdělení nákladů v hlavní a doplňkové činnosti; zároveň plnění výnosů neodpovídalo původnímu rozpočtu.</t>
  </si>
  <si>
    <t>2. Pohledávka po lhůtě splatnosti ve výši 137.201 Kč zůstává neuhrazena (viz komentář "Pohledávky roku 2015 po lhůtě splatnosti".</t>
  </si>
  <si>
    <r>
      <t xml:space="preserve">1. Účastníci kontrolního dne, vzhledem k provedené analýze výsledku hospodaření, doporučují ponechat organizaci celý výsledek hospodaření ve výši </t>
    </r>
    <r>
      <rPr>
        <b/>
        <sz val="8"/>
        <color indexed="8"/>
        <rFont val="Times New Roman"/>
        <family val="1"/>
        <charset val="238"/>
      </rPr>
      <t>277.220,13 Kč</t>
    </r>
    <r>
      <rPr>
        <sz val="8"/>
        <color indexed="8"/>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indexed="8"/>
        <rFont val="Times New Roman"/>
        <family val="1"/>
        <charset val="238"/>
      </rPr>
      <t xml:space="preserve">177.220,13 Kč. </t>
    </r>
    <r>
      <rPr>
        <sz val="8"/>
        <color indexed="8"/>
        <rFont val="Times New Roman"/>
        <family val="1"/>
        <charset val="238"/>
      </rPr>
      <t xml:space="preserve">Do fondu odměn je navrženo převést částku </t>
    </r>
    <r>
      <rPr>
        <b/>
        <sz val="8"/>
        <color indexed="8"/>
        <rFont val="Times New Roman"/>
        <family val="1"/>
        <charset val="238"/>
      </rPr>
      <t>100.000 Kč.</t>
    </r>
  </si>
  <si>
    <r>
      <t xml:space="preserve">3. Na kontrolním dnu k výsledkům hospodaření organizace za I. pololetí 2016 bude provedena kontrola likvidace pohledávek po lhůtě splatnosti ve výši </t>
    </r>
    <r>
      <rPr>
        <b/>
        <sz val="8"/>
        <color theme="1"/>
        <rFont val="Times New Roman"/>
        <family val="1"/>
        <charset val="238"/>
      </rPr>
      <t>137.201 Kč</t>
    </r>
    <r>
      <rPr>
        <sz val="8"/>
        <color theme="1"/>
        <rFont val="Times New Roman"/>
        <family val="1"/>
        <charset val="238"/>
      </rPr>
      <t>.</t>
    </r>
  </si>
  <si>
    <t xml:space="preserve">4. Na kontrolním dnu k výsledkům hospodaření organizace za I. pololetí 2016 bude provedena kontrola plnění rozpočtu organizace. Po konzultacích bude případně se jevící nedočerpání příspěvku zřizovatele převedeno do rezervního fondu, jako účelově vázané prostředky na nákup automobilu. </t>
  </si>
  <si>
    <t xml:space="preserve">5. Z jednání kontrolního dne byl vznesen požadavek na ověření nákladů na telefonní hovory. Analýzou účtu 518/0410 bylo ověřeno, že z celkové hodnoty tohoto účtu 58.988,48 Kč činnily náklady na pevné linky 33.498,00 Kč (dodavatelem je firma Ha-vel internet, s.r.o.) a platby za služby mobilního operátora 25.490,48 Kč. Náklady jsou přiměřené, přesto bude provedeno opatření, a to snížení počtu pevných linek (i v závislosti na realizaci digitálního EZS) a úpravy (snížení) některých tarifů u služebních mobilních telefonů. </t>
  </si>
  <si>
    <t>Snížení plánu na odpisy - stanovení procentního rozdělení v DČ - převod na mzdy.</t>
  </si>
  <si>
    <t>Užití fondu podle schválené směrnice o FKSP.</t>
  </si>
  <si>
    <t>V roce 2015 dosáhla organizace výsledku hospodaření dosaženého přímým vlivem organizace ve výši 41.168,49 Kč. Organizace důsledně dbá na výběr dodavatelů, kteří se podílejí na akcích školy. Srovnává jejich cenové nabídky, a to nejen u větších finančních objemů, ale i u drobných nákupů. Část výsledku hodpodaření ve výši 110.835,33 Kč byl dosažen nepřímým vlivem organizace, a to úsporou v čerpání energií a v nákladové položce odpisů.</t>
  </si>
  <si>
    <t>Posílení fondu investic na nákup klavíru.</t>
  </si>
  <si>
    <t>Nákup klavíru v hodnotě 500 000 až 600 000 Kč.</t>
  </si>
  <si>
    <t>Na případné odměny za plnění mimořádných úkolů.</t>
  </si>
  <si>
    <t>Oprava součtové chyby.</t>
  </si>
  <si>
    <t>Finanční výnosy -  nižší úroková sazba.</t>
  </si>
  <si>
    <t>Spotřeba materiálu.</t>
  </si>
  <si>
    <t>Výnosy z činnosti.</t>
  </si>
  <si>
    <t>DDHM.</t>
  </si>
  <si>
    <t>Náklady na reprezentaci.</t>
  </si>
  <si>
    <t>Ostatní služby.</t>
  </si>
  <si>
    <t>Ostatní náklady z činosti.</t>
  </si>
  <si>
    <t>Navýšení tržeb - divadlo.</t>
  </si>
  <si>
    <t>Odvody z vyplacených odměn FO.</t>
  </si>
  <si>
    <t>Nákup materiálu školní byt.</t>
  </si>
  <si>
    <t>Spotřeba energie.</t>
  </si>
  <si>
    <t>Na základě opatření z kontrolního dne k výsledkům hospodaření za I. pololetí roku 2015 byla provedena oprava koupelny školního bytu ve výši 150 tis. Kč v rámci hlavní činnosti.</t>
  </si>
  <si>
    <t>Usnesení č.5553 - Rada města Prostějova dne 16.6.2015 usnesením č. 5553 souhlasila s převodem z rezervního fondu a schválila čerpání fondu investic ve výš 75.859,74 Kč na opravu a výmalbu ve sklepních prostorách.</t>
  </si>
  <si>
    <t>Usnesení č. 15102 - Zastupitelstvo města Prostějova schválilo usnesením č. 15102 navýšení neinevestičního příspěvku ve výši 594.302 Kč v souvislosti s nemovitým majetkem svěřeným do péče.</t>
  </si>
  <si>
    <t>Usnesení č. 5987 - Rada města Prostějova dne 10.11.2015 usnesením č. 5987 schválila snížení neinvestičního příspěvku organizaci ve výši 200.000 Kč.</t>
  </si>
  <si>
    <t>Usnesení č. 51111 - Usnesením č. 51111 schválila úpravu finančního plánu - navýšení závazného ukazatele účet 551 - odpisy dlouhodobého majetku ve výši 7.000 Kč 8.12.2015.</t>
  </si>
  <si>
    <t>Výsledek hospodaření se odvíjí od počtu komerčních pronájmů v daném období.</t>
  </si>
  <si>
    <t>Fond odměn bude použit na případné překročení mzdových prostředků.</t>
  </si>
  <si>
    <t>518 0600</t>
  </si>
  <si>
    <t>558 0300</t>
  </si>
  <si>
    <t>648 0800</t>
  </si>
  <si>
    <t>511 0330</t>
  </si>
  <si>
    <t>602 0600</t>
  </si>
  <si>
    <t>538 0310</t>
  </si>
  <si>
    <t>511  0330</t>
  </si>
  <si>
    <t>672 0500</t>
  </si>
  <si>
    <t>551 0310</t>
  </si>
  <si>
    <t>648 0600</t>
  </si>
  <si>
    <t>521 0300</t>
  </si>
  <si>
    <t>501 0430</t>
  </si>
  <si>
    <t>501 0501</t>
  </si>
  <si>
    <t>558 0310</t>
  </si>
  <si>
    <t>501 0500</t>
  </si>
  <si>
    <t>511 0310</t>
  </si>
  <si>
    <t>603 0001</t>
  </si>
  <si>
    <t>511 0030</t>
  </si>
  <si>
    <t>518 0022</t>
  </si>
  <si>
    <t>521 0009</t>
  </si>
  <si>
    <t>524 0009</t>
  </si>
  <si>
    <t>527 0010</t>
  </si>
  <si>
    <t>551 0010</t>
  </si>
  <si>
    <t>558 0009</t>
  </si>
  <si>
    <t>501 0190</t>
  </si>
  <si>
    <t>Organizace nevytváří výsledek hospodaření, tzn., že náklady jsou financovány z vlastních tržeb a pravidelně každý měsíc dorovnány z příspěvku od zřizovatele. Tento způsob je vhodné zvolit proto, že se u organizace vytvářejí tržby zejména ve IV. čtvrtletí, nelze je přesně odhadovat ani zastavit. Dorovnaný výsledek na nulu minimalizuje daňovou povinnost organizace.</t>
  </si>
  <si>
    <t>Vzhledem k navýšeným tržbám nebyl fond v roce 2015 zapojen do hospodaření organizace. Pro rok 2016 je plánované zapojení ve výši 260 tis. Kč. Rezervní fond bude také použit na pořízení jednotného firemního oblečení biletářů/šatnářů.</t>
  </si>
  <si>
    <t xml:space="preserve">Fond investic bude ve spolupráci s DSP, s.r.o. použit na financování oprav - kamenná podlaha ve spolková části a nátěry oken. </t>
  </si>
  <si>
    <t>Fond bude použit na příspěvek stravného pro zaměstnance MD v rámci statutu fondu.</t>
  </si>
  <si>
    <t xml:space="preserve"> 3.3.2015 RMP </t>
  </si>
  <si>
    <t>Pořízení DDHM.</t>
  </si>
  <si>
    <t>Čerpání fondu investic.</t>
  </si>
  <si>
    <t>Opravy jevištních technologií.</t>
  </si>
  <si>
    <t>Navýšené tržby.</t>
  </si>
  <si>
    <t>Pořízení DDHM (soupis DDHM).</t>
  </si>
  <si>
    <t>Jiné daně a poplatky - dálniční známka.</t>
  </si>
  <si>
    <t>Navýšení příspěvku na provoz.</t>
  </si>
  <si>
    <t>Odpisy DHM - budova.</t>
  </si>
  <si>
    <t>Oprava hledeišního osvětlení a nátěry dveří.</t>
  </si>
  <si>
    <t>Odměny.</t>
  </si>
  <si>
    <t>POE - záclony.</t>
  </si>
  <si>
    <t>Spotřeba materiálu - ostatní drobná vydání.</t>
  </si>
  <si>
    <t>Spotřeba materiálu - baterie, žárovky, kabeláž.</t>
  </si>
  <si>
    <t>Služby - nákup představení.</t>
  </si>
  <si>
    <t>Drobná údržba - oprava mosaz. obložení,výtahu, montáž lešení PS, oprava auta.</t>
  </si>
  <si>
    <t>Navýšení tržeb z komerčních pronájmů.</t>
  </si>
  <si>
    <t>Opravy  - parket v saloncích Národního domu.</t>
  </si>
  <si>
    <t>Služby - praní stolního prádla.</t>
  </si>
  <si>
    <t>Služby - divadelní představení z přijaté reklamy.</t>
  </si>
  <si>
    <t>Zákonné sociální pojištění.</t>
  </si>
  <si>
    <t>Zákonné sociální náklady.</t>
  </si>
  <si>
    <t>Mzdy.</t>
  </si>
  <si>
    <t>Odpisy - navýšené odpisy v HČ (převod budovy).</t>
  </si>
  <si>
    <t>Pořízení DDHM - aktivní box JBL 2 ks, mobilní telefon, stůl k PS.</t>
  </si>
  <si>
    <t>Stolní vybavení - spolkové prostory ND.</t>
  </si>
  <si>
    <t>1. O zůstatek nevyčerpaného příspěvku na provoz z roku 2014 ve výši 342.341 Kč byl snížen příspěvek zřizovatele pro rok 2016.</t>
  </si>
  <si>
    <t>3. Dle konzultace s auditorem je pokračováno v metodice dorovnání nákladů příspěvkem na provoz. O zůstatek nevyčerpaného příspěvku na provoz ve výši  339.195,35 Kč bude snížen příspěvek od zřizovatele pro rok 2017. Tato částka zůstává uložena na účtu 384 - časové rozlišení.</t>
  </si>
  <si>
    <t>3. Organizace projedná se stávající bankou možnost snížení poplatku za přijaté platby kartou. Platby kartou narůstají; v roce 2015 byly přijaty platby kartou v pokladně divadla ve výši 1.727.155 Kč.</t>
  </si>
  <si>
    <t>Plánované obnovení zastaralé výpočetní techniky.</t>
  </si>
  <si>
    <t>311/0200 - odběratelé, 4. upomínky</t>
  </si>
  <si>
    <t>Úč. 558 (DDHM) - na nákup IC techniky - Husovo nám.</t>
  </si>
  <si>
    <t>518/330,480,490,510</t>
  </si>
  <si>
    <t>511/320,330</t>
  </si>
  <si>
    <t>501/540</t>
  </si>
  <si>
    <t>557/0300</t>
  </si>
  <si>
    <t>538/0300</t>
  </si>
  <si>
    <t>549/300</t>
  </si>
  <si>
    <t>Po dohodě s ORI dovybavení klimatizací a vzduchotechnikou.</t>
  </si>
  <si>
    <t>V případě potřeby posílení položky mzdových nákladů.</t>
  </si>
  <si>
    <t>Použití fondu na příspěvek na stravné zaměstnancům dle statutu fondu.</t>
  </si>
  <si>
    <t>Pohledávky od čtenářů jsou vymáhány všemi dostupnými prostředky (písemně, telefonicky, elektronickou cestou apod.). Některé byly během roku uhrazeny; během roku však byly zaúčtovány další. I v roce 2016 bude organizace vymáhat tyto pohledávky všemi možnými dostupnými prostředky.</t>
  </si>
  <si>
    <t>Úč. 551 (odpisy) - na odpisy svěřeného nemovitého majetku.</t>
  </si>
  <si>
    <t>Úč. 558 (DDHM) - na vybavení dětského oddělení.</t>
  </si>
  <si>
    <t>Úč. 501 (spotřeba materiálu) - na nákup knihovního fondu.</t>
  </si>
  <si>
    <t>Úč. 558 (DDHM) - sníž. dle výše uvedeného protokolu.</t>
  </si>
  <si>
    <t>Úč. 648 (čerpání fondů) - usnesení RMP č. 51105.</t>
  </si>
  <si>
    <t>Úč. 558 (DDHM) - na nákup výpočetní techniky.</t>
  </si>
  <si>
    <t>Úč. 502 (energie) - snížení dle schválené žádosti OŠKS MMP.</t>
  </si>
  <si>
    <t>Úč. 501 (spotřeba materiálu) - nákup knihovnického materiálu.</t>
  </si>
  <si>
    <t>Úč. 538 (srážková daň) - na tento účet se daň neúčtuje.</t>
  </si>
  <si>
    <t>Úč. 549 (ost.náklady z činnosti) - navýšení z účtu 538.</t>
  </si>
  <si>
    <t>Účet 662 (finanční výnosy) - neúčtování úroků z běž.účtu.</t>
  </si>
  <si>
    <t>Účet 602 (výnosy z činnosti) - vyšší výnosy za služby mvs.</t>
  </si>
  <si>
    <t>Úč. 672 (výnosy z transferů) - usn. ZMP č.15102 a RMP č. 5359.</t>
  </si>
  <si>
    <t>Úč. 648 (čerpání fondů) - usn. RMP č. 5352 a ZMP č. 15148.</t>
  </si>
  <si>
    <t>Úč. 672 (výnosy z transferů) - usnesení RMP č. 5681.</t>
  </si>
  <si>
    <t>Úč. 672 (výnosy z transferů) - usnesení RMP č. 5987.</t>
  </si>
  <si>
    <t>Úč. 648 (čerpání fondů) - snížení  dle protok. z kontroly MMP.</t>
  </si>
  <si>
    <t>Úč. 518 (služby ostatní) - snížení z důvodu úspory fin. prostř.</t>
  </si>
  <si>
    <t>Úč. 511 (opravy a údržba) - přeúčtování koberců na dět. odd.</t>
  </si>
  <si>
    <t>Úč. 512 (cestovné) - snížení z důvodu úspory cestov. nákladů.</t>
  </si>
  <si>
    <t>Úč. 557 (nákl.z vyř.pohledávek) - zaúčt.dle českých úč. standard.</t>
  </si>
  <si>
    <t>Při kontrolním dnu za I. pololetí 2015 byla provedena kontrola likvidace pohledávek po lhůtě splatnosti v celkové hodnotě 26.000 Kč. Lze konstatovat, že hodnota pohledávek se snížila na částu 21.400 Kč (pohledávky za čtenáři se 4. upomínkou).</t>
  </si>
  <si>
    <r>
      <t xml:space="preserve">2. Účastníci kontrolního dne, vzhledem k provedené analýze výsledku hospodaření, doporučují odvést část výsledku hospodaření ve výši </t>
    </r>
    <r>
      <rPr>
        <b/>
        <sz val="8"/>
        <color theme="1"/>
        <rFont val="Times New Roman"/>
        <family val="1"/>
        <charset val="238"/>
      </rPr>
      <t xml:space="preserve">29.841 Kč </t>
    </r>
    <r>
      <rPr>
        <sz val="8"/>
        <color theme="1"/>
        <rFont val="Times New Roman"/>
        <family val="1"/>
        <charset val="238"/>
      </rPr>
      <t>na účet zřizovatele v rámci finančního vypořádání roku 2015.</t>
    </r>
  </si>
  <si>
    <t>3. Příděl fondům a případný odvod na účet zřizovatele provede organizace na základě písemného vyrozumění Odboru školství, kultury a sportu MMPv.</t>
  </si>
  <si>
    <r>
      <t xml:space="preserve">4. Na kontrolním dnu k výsledkům hospodaření organizace za I. pololetí 2016 bude provedena kontrola likvidace pohledávek po lhůtě splatnosti ve výši </t>
    </r>
    <r>
      <rPr>
        <b/>
        <sz val="8"/>
        <color theme="1"/>
        <rFont val="Times New Roman"/>
        <family val="1"/>
        <charset val="238"/>
      </rPr>
      <t>21.400 Kč</t>
    </r>
    <r>
      <rPr>
        <sz val="8"/>
        <color theme="1"/>
        <rFont val="Times New Roman"/>
        <family val="1"/>
        <charset val="238"/>
      </rPr>
      <t>.</t>
    </r>
  </si>
  <si>
    <t xml:space="preserve">Vykazovaný výsledek hospodaření byl dosažen na základě prominutí uloženého odvodu a penále a rovněž zvýšenými výnosy na účtech účtové skupiny 60X - 64X. Jedná se o stravné a poplatky za ŠD. </t>
  </si>
  <si>
    <t>Navýšení závazného ukazatele - odpisy.</t>
  </si>
  <si>
    <t>Navýšení finančního plánu - příspěvek na odpisy.</t>
  </si>
  <si>
    <t>Navýšení neinvestičního příspěvku  - odpisy.</t>
  </si>
  <si>
    <t>Navýšení závazného ukazatele - mzdové náklady.</t>
  </si>
  <si>
    <t>Navýšení závazného ukazatele - zák.pojištění a jiné sociální náklady.</t>
  </si>
  <si>
    <t>Navýšení závazného ukaztele - zák. a soc. náklady.</t>
  </si>
  <si>
    <t>Navýšení výnosů - dotace od jiných zprostředkovatelů - ÚP.</t>
  </si>
  <si>
    <t>Snížení závazného ukazatele - odpisy.</t>
  </si>
  <si>
    <t>Úprava finančního plánu o snížení závazného ukazatele - odpisy.</t>
  </si>
  <si>
    <t>Žádost o úpravu finančního plánu - úspora energie.</t>
  </si>
  <si>
    <t>Žádost o úpravu finančího plánu - navýšení v položce materiál o úsporu energie.</t>
  </si>
  <si>
    <t>Žádost o úpravu finančního plánu - navýšení v položce DDHM o úsporu energie.</t>
  </si>
  <si>
    <t>501/010 - Kancelářské potřeby.</t>
  </si>
  <si>
    <t>Kladný hospodářský výsledek je tvořen zejména z výnosů z pronájmu a využití možnosti refundace osobních nákladů (využití dotací z ÚP).</t>
  </si>
  <si>
    <t xml:space="preserve">V roce 2015 bylo upuštěno od pořízení konvektomatu do školní jídelny s ohledem na potřebu opravy podlahy v tělocvičně. V průběhu jednání byla předběžně projednána možnost pořízení konvektomatu z prostředků fondu investic a současně ve výši cca 200 tis. spolufinancování opravy tělocvičny. Odhadovaná výše opravy tělocvičny je cca 1.000 tis. Kč. </t>
  </si>
  <si>
    <t xml:space="preserve">Nebyly provedeny úpravy finančního plánu, jenž by podléhaly schválení zřizovatelem. V rámci kompetencí organizace byly s ohledem na vývoj doplňkové činnosti upraveny předpokládané roční výnosy a k tomu kalkulované náklady. </t>
  </si>
  <si>
    <r>
      <t xml:space="preserve">1. Účastníci kontrolního dne, vzhledem k provedené analýze výsledku hospodaření, doporučují ponechat organizaci celý výsledek hospodaření ve výši </t>
    </r>
    <r>
      <rPr>
        <b/>
        <sz val="8"/>
        <color theme="1"/>
        <rFont val="Times New Roman"/>
        <family val="1"/>
        <charset val="238"/>
      </rPr>
      <t>204.316,50 Kč</t>
    </r>
    <r>
      <rPr>
        <sz val="8"/>
        <color theme="1"/>
        <rFont val="Times New Roman"/>
        <family val="1"/>
        <charset val="238"/>
      </rPr>
      <t xml:space="preserve"> pro příděl do peněžních fondů organizace dle zákona č.250/2000 Sb., o rozpočtových pravidlech územních rozpočtů, ve znění pozdějších předpisů a na základě předložených požadavků a potřeb organizace. Do rezervního fondu je navrženo převést částku </t>
    </r>
    <r>
      <rPr>
        <b/>
        <sz val="8"/>
        <color theme="1"/>
        <rFont val="Times New Roman"/>
        <family val="1"/>
        <charset val="238"/>
      </rPr>
      <t xml:space="preserve">184.316,50 Kč </t>
    </r>
    <r>
      <rPr>
        <sz val="8"/>
        <color theme="1"/>
        <rFont val="Times New Roman"/>
        <family val="1"/>
        <charset val="238"/>
      </rPr>
      <t>(bylo doporučeno použít finanční prostředky na opravu tělocvičny, nákup konvektomatu a úpravu venkovních prostor školy, zahrady a plotů)</t>
    </r>
    <r>
      <rPr>
        <b/>
        <sz val="8"/>
        <color theme="1"/>
        <rFont val="Times New Roman"/>
        <family val="1"/>
        <charset val="238"/>
      </rPr>
      <t>.</t>
    </r>
    <r>
      <rPr>
        <sz val="8"/>
        <color theme="1"/>
        <rFont val="Times New Roman"/>
        <family val="1"/>
        <charset val="238"/>
      </rPr>
      <t xml:space="preserve"> Do fondu odměn je navrženo převést částku </t>
    </r>
    <r>
      <rPr>
        <b/>
        <sz val="8"/>
        <color theme="1"/>
        <rFont val="Times New Roman"/>
        <family val="1"/>
        <charset val="238"/>
      </rPr>
      <t>20.000 Kč.</t>
    </r>
  </si>
  <si>
    <t xml:space="preserve">3. Zřizovatelem bylo doporučeno provést kontrolu kalkulace nákladů v mateřské škole a z toho vyplývající přepočet školného. </t>
  </si>
  <si>
    <t>Použití fondu se předpokládá pro rozvoj činnosti ve spolupráci se zřizovatelem. Bylo doporučeno posílit investiční fond na níže uvedené akce.</t>
  </si>
  <si>
    <t xml:space="preserve">Výsledek hospodaření organizace z hlavní činnost v celkové výši 110.020,66 Kč je tvořen:
a) úsporami energií - částka 78.012,94 Kč (kvalifikováno jako nepřímý vliv organizace);
b) účet 527 zákonné soc. náklady  + 2.932,00 Kč (částečné hrazení OOPP ze státního rozpočtu; kvalifikováno jako nepřímý vliv organizace);
c) účet 551 odpisy dlouhodob. majetku + 3 676,00 Kč (kvalifikováno jako nepřímý vliv organizace);
d) účet 501 materiál + 345,41 Kč (kvalifikováno jako přímý vliv organizace);
e) účet 511 opravy kap.60 + 799,83 Kč (pomoc rodičů při drobných opravách; kvalifikováno jako přímý vliv organizace);
f) účet 511 opravy kap.20 + 735,49 Kč (výpomoc rodičů a rod. příslušníků při drobných opravách; kvalifikováno jako přímý vliv organizace);
g) účet 518 ostatní služby + 10.016,11 Kč (výpomoc rodičů a zaměstnanců školy při údržbě zahrady a odvozu zahrad.odpadu; kvalifikováno jako přímý vliv organizace);
h) účet 549 ostatní náklady z činnosti + 334,88 Kč (kvalifikováno jako přímý vliv organizace);
i) účet 558 náklady dlouhodob.majetku + 1.185,00 Kč(zaokrouhlení plánovaných nákupů; kvalifikováno jako přímý vliv organizace);
j) účet 602 výnosy z činnosti + 12.283,00 Kč (vyšší školné; kvalifikováno jako přímý vliv organizace);
k) účet 660 finanční výnosy - 300,00 Kč (nulová částka na úrocích; kvalifikováno jako přímý vliv organizace).
 </t>
  </si>
  <si>
    <t>Obnova nábytku ve třídě, obnova herních prvků na školní zahradě.</t>
  </si>
  <si>
    <t>Celkem bylo organizaci na drobných finančních darech poskytnuto v roce 2015 15.500 Kč. Tato částka je na rezervním fondu organizace. Bude využita v roce 2016 při obnově herního prvku na školní zahradě.</t>
  </si>
  <si>
    <t>Bezúplatně převedený majetek, navýšení příspěvku odpisy.</t>
  </si>
  <si>
    <t>Úspora energií, ponížení položky.</t>
  </si>
  <si>
    <t>Oprava PC ve ŠJ, sekačky a pračky.</t>
  </si>
  <si>
    <t>Úspora v pol. ostatní služby - využití pomoci rodičů.</t>
  </si>
  <si>
    <t>Úložné prostory, stůl pod.PC, dřev. stavebnice.</t>
  </si>
  <si>
    <t>Úspora cestovné, školení a akce v PV.</t>
  </si>
  <si>
    <t>Úspora pol. Reprezentace.</t>
  </si>
  <si>
    <t>Nákup ledničky - obnova.</t>
  </si>
  <si>
    <t>Využití rezervního fondu.</t>
  </si>
  <si>
    <t>Nákup kancel. židlí do kanceláře řed.</t>
  </si>
  <si>
    <t xml:space="preserve">2 herní prvky - školní zahrada.
</t>
  </si>
  <si>
    <t>Výnosy z prodeje služeb - stravné.</t>
  </si>
  <si>
    <t>Nákup potravin.</t>
  </si>
  <si>
    <t>Výnosy z prodeje služeb - školné.</t>
  </si>
  <si>
    <t>Posílení položky materiál, nákup dětských matrací a prádla.</t>
  </si>
  <si>
    <t>Organizaci nebyla uložena  na kontrolním dnu k výsledkům hospodaření za I. pololetí 2015 žádná opatření.</t>
  </si>
  <si>
    <t>Rezervní fond ve výši přídělu z výsledku hospodaření bude použit na nákup elektrického kotle a kondenzačního digestoře páry do ŠJ Libušinka. Zbytek fondu bude sloužit jako rezerva na případné náklady nekryté příspěvkem zřizovatele.</t>
  </si>
  <si>
    <t>Ostatní náklady z činnosti.</t>
  </si>
  <si>
    <t>Navýšení závazného ukazatelu - odpisy.</t>
  </si>
  <si>
    <t>Navýšení dotace od zřizovatele.</t>
  </si>
  <si>
    <t xml:space="preserve">Navýšení dotace od zřizovatele.                    </t>
  </si>
  <si>
    <t xml:space="preserve">Navýšení dotace od zřizovatele - odpisy.                                    </t>
  </si>
  <si>
    <t>Navýšení dotace od zřizovatele - nové oddělení 5. třída.</t>
  </si>
  <si>
    <t>Vybavení, nábytek, lehátka, materiál, nábytek, šatní skříňky,DDHM - nové oddělení 5. třída.</t>
  </si>
  <si>
    <t>Klimatické podmínky, úspora plynu.</t>
  </si>
  <si>
    <t>Nákup povlečení, peřinek, polštářů, ručníků - obměna ložního prádla.</t>
  </si>
  <si>
    <t>Zboží s náhradním plněním pol ONČ - úspora za ZPS.</t>
  </si>
  <si>
    <t>DHM - nákup průlezky, el. pánve - odpisy DHM</t>
  </si>
  <si>
    <t>Navýšení dotace od zřizovatele - vybavení MŠ a ŠJ.</t>
  </si>
  <si>
    <t>Nákup škrabky brambor.</t>
  </si>
  <si>
    <t>Nákup lehátek, skříněk.</t>
  </si>
  <si>
    <t>Klimatické podmínky - úspora elektřiny.</t>
  </si>
  <si>
    <t>Obměna spotřebičů a kuchyňského vybavení.</t>
  </si>
  <si>
    <t>Výsledek hospodaření byl dosažen zejména úsporou v nákladových položkách, hlavně u energií (šetřivý režim, příznivé klimatické podmínky).</t>
  </si>
  <si>
    <t>Výsledek hospodaření byl dosažen pronájmem učeben při vzdělávacím semináři učitelek  MŠ.</t>
  </si>
  <si>
    <t xml:space="preserve">Pořízení dětského zahradního zařízení - tubus.
</t>
  </si>
  <si>
    <t>Ostatní výnosy z činnosti - věcné dary. Převzetí věcných darů - vzděl. projekt Šikulkové
(od Vzdělávacího  institutu Prostějov, DDHM, hračky, učební pomůcky, vv materiál aj.).</t>
  </si>
  <si>
    <t>Pořízení dětských zahradních prvků.</t>
  </si>
  <si>
    <t xml:space="preserve">Úspory na energiích - šetřivý režim, příznivé klimat. podmínky, zateplení budovy - schváleno Mgr. Petr Ivánek.
</t>
  </si>
  <si>
    <t>Úspory na energiích - šetřivý režim, příznivé klimat. podmínky, zateplení budovy - schváleno Mgr. Petr Ivánek.</t>
  </si>
  <si>
    <t>Dokrytí fondu odměn - zákonné sociální pojištění, jiné sociální poj.; úspora: provádění prací svépomocí a brigádnicky.</t>
  </si>
  <si>
    <t>Úspory prováděním prací svépomocí a brigádnicky - nutná obnova nábytku,…viz níže.</t>
  </si>
  <si>
    <t>Výsledek hospodaření v doplňkové činnosti ve výši 224.795 Kč je vytvořen rozdílem mezi skutečnými výnosy za pronájmy tělocvičen, učeben a služebních bytů v částce 500.735 Kč a celkovými náklady na tyto pronájmy ve výši 275.940 Kč, vypočítanými podle klíče hlavní a doplňkové činnosti. Oproti plánu bylo dosaženo vyšších výnosů za pronájmy (především vyšší obsazenost tělocvičen) a z ostatních výnosů (paušály za vodu, elektřinu a plyn).</t>
  </si>
  <si>
    <t>Položka spotřeba energie SU 502 byla navýšena kvůli vyšším výnosům za pronájmy (koeficient poměru plochy a odučených + pronajatých hodin).</t>
  </si>
  <si>
    <r>
      <t xml:space="preserve">1. Účastníci kontrolního dne, vzhledem k provedené analýze výsledku hospodaření, doporučují ponechat organizaci celý výsledek hospodaření ve výši </t>
    </r>
    <r>
      <rPr>
        <b/>
        <sz val="8"/>
        <rFont val="Times New Roman"/>
        <family val="1"/>
        <charset val="238"/>
      </rPr>
      <t>132.099,99 Kč</t>
    </r>
    <r>
      <rPr>
        <sz val="8"/>
        <rFont val="Times New Roman"/>
        <family val="1"/>
        <charset val="238"/>
      </rPr>
      <t xml:space="preserve">  pro příděl do peněžních fondů organizace dle zákona č. 250/200 Sb., o rozpočtových pravidlech územních rozpočtů, ve znění pozdějších předpisů a na základě předložených požadavků a potřeb organizace. Do rezervního fondu je navrženo převést celou částku </t>
    </r>
    <r>
      <rPr>
        <b/>
        <sz val="8"/>
        <rFont val="Times New Roman"/>
        <family val="1"/>
        <charset val="238"/>
      </rPr>
      <t>132.099,99 Kč</t>
    </r>
    <r>
      <rPr>
        <sz val="8"/>
        <rFont val="Times New Roman"/>
        <family val="1"/>
        <charset val="238"/>
      </rPr>
      <t>.</t>
    </r>
  </si>
  <si>
    <t>Částka Kč 189.664,25 je účelově vázána na nezbytné úpravy ZŠ.</t>
  </si>
  <si>
    <t>2. Účastníci kontrolního dne doporučují organizaci navrhnout další využití finančních prostředků z rezervního fondu. Za organizaci byla navržena obnova výškově stavitelného nábytku ve třídách tak, aby odpovídal hygienickým a zdravotním normám (cca 120 tis. Kč), obnova žárovek v dataprojektorech - 13 ks; zatím hrazeno většinou z projektů ESF; výdrž 2 - 3 roky (cca 50 tis. Kč)</t>
  </si>
  <si>
    <t>Výsledek hospodaření je tvořen zejména z pronájmů tělocvičen. Četnost pronájmů je ovlivněna provozními možnostmi organizace.</t>
  </si>
  <si>
    <t>Organizace předpokládá využití finačních prostředků na nákup investičního vybavení do 2 školních jídelen.</t>
  </si>
  <si>
    <t>Organizace přijala dary účelově neurčené v hodnotě, které plně využila na pořízení pomůcek do MŠ a ZŠ. V MŠ byla pořízena keramická pec v hodnotě cca 45 000 Kč, ze sponzorských darů pro ZŠ byla zakoupena audiotechnika pro výchovně vzdělávací proces. Na RF byly účelově vázány prostředky na nákup nábytku pro MŠ. Nábytek byl pořízen v I. pol. roku 2015. Organizace splnila usnesení KD za rok 2014.</t>
  </si>
  <si>
    <t>RMP usnesením č. 5352 schválila rozdělení výsledku hospodaření za rok 2014 použití rezervního fondu - účelově vázané prostředky na nákup nábytkového vybavení pro MŠ. Současně dokrytí tohoto nákupu MŠ z rezerního fondu (8 křesílek částka - 50 680,80 Kč).</t>
  </si>
  <si>
    <t>Úspora nákladového účtu spotřební materiál ve školních jídelnách. Přesun finančních prostředků na nákup ručníků a utěrek pro MŠ a ŠJ.</t>
  </si>
  <si>
    <t>Úspora finančních prostředků za platby telefonů mobilním operátorům - přesun na posílení účtu na údržbu travnatých ploch. Velký rozsah ploch k sečení trávy.</t>
  </si>
  <si>
    <r>
      <t>Projevilo se vyšší plnění u</t>
    </r>
    <r>
      <rPr>
        <u/>
        <sz val="8"/>
        <color theme="1"/>
        <rFont val="Times New Roman"/>
        <family val="1"/>
        <charset val="238"/>
      </rPr>
      <t xml:space="preserve"> výnosů z činnosti (104,94%)</t>
    </r>
    <r>
      <rPr>
        <sz val="8"/>
        <color theme="1"/>
        <rFont val="Times New Roman"/>
        <family val="1"/>
        <charset val="238"/>
      </rPr>
      <t xml:space="preserve">. Je to způsobeno tím, že od září přibylo jedno oddělení školní družiny a vybíraly se poplatky na částečnou úhradu nákladů od 105 žáků (v I. pololetí od 85). Dále byly mimo plán přijaty finanční prostředky od žáků za zničené a ztracené učebnice (2.002 Kč). </t>
    </r>
    <r>
      <rPr>
        <u/>
        <sz val="8"/>
        <color theme="1"/>
        <rFont val="Times New Roman"/>
        <family val="1"/>
        <charset val="238"/>
      </rPr>
      <t>Finanční výnosy</t>
    </r>
    <r>
      <rPr>
        <sz val="8"/>
        <color theme="1"/>
        <rFont val="Times New Roman"/>
        <family val="1"/>
        <charset val="238"/>
      </rPr>
      <t xml:space="preserve"> jsou naopak velmi malé, jde jen o připsané úroky na účtě FKSP (7,40%). Na výsledku hospodaření v hlavní činnosti měly největší podíl 4 nákladové položky: </t>
    </r>
    <r>
      <rPr>
        <u/>
        <sz val="8"/>
        <color theme="1"/>
        <rFont val="Times New Roman"/>
        <family val="1"/>
        <charset val="238"/>
      </rPr>
      <t>Spotřeba materiálu</t>
    </r>
    <r>
      <rPr>
        <sz val="8"/>
        <color theme="1"/>
        <rFont val="Times New Roman"/>
        <family val="1"/>
        <charset val="238"/>
      </rPr>
      <t xml:space="preserve"> (88,75%); předpokládány byly vyšší náklady u materiálu na vnitřní i venkovní údržbu a různé opravy. Nevznikla potřeba něco opravit a udržovat vlastními silami, budovy i majetek se udržují průběžně v dobrém stavu. Nepatrně nižší jsou i náklady na kancelářské potřeby, na nákup novin, brožur, časopisů a na všeobecný materiál. V této položce bylo nedočerpáno 23.966,14 Kč. </t>
    </r>
    <r>
      <rPr>
        <u/>
        <sz val="8"/>
        <color theme="1"/>
        <rFont val="Times New Roman"/>
        <family val="1"/>
        <charset val="238"/>
      </rPr>
      <t>Spotřeba energií</t>
    </r>
    <r>
      <rPr>
        <sz val="8"/>
        <color theme="1"/>
        <rFont val="Times New Roman"/>
        <family val="1"/>
        <charset val="238"/>
      </rPr>
      <t xml:space="preserve"> (93,65%); celkově bylo vydáno za všechny energie víc, než byl plán, ale po rozúčtování na hlavní a doplňkovou činnost vznikla v hlavní činnosti úspora 33.858 Kč. Dále je to položka </t>
    </r>
    <r>
      <rPr>
        <u/>
        <sz val="8"/>
        <color theme="1"/>
        <rFont val="Times New Roman"/>
        <family val="1"/>
        <charset val="238"/>
      </rPr>
      <t>opravy a udržování</t>
    </r>
    <r>
      <rPr>
        <sz val="8"/>
        <color theme="1"/>
        <rFont val="Times New Roman"/>
        <family val="1"/>
        <charset val="238"/>
      </rPr>
      <t xml:space="preserve"> (86,89%); stavební opravy a údržba se prakticky vyčerpaly (nedočerpáno zůstalo jen 756,40 Kč), ale na  strojních opravách organizace šetřila 32.582,86 Kč. Vše, co bylo potřeba se opravilo, byla ponechána malá rezerva na myčku nádobí z roku 1999, ale koncem roku se nic nepokazilo, proto vznikla tato úspora. Největší úspora je v položce </t>
    </r>
    <r>
      <rPr>
        <u/>
        <sz val="8"/>
        <color theme="1"/>
        <rFont val="Times New Roman"/>
        <family val="1"/>
        <charset val="238"/>
      </rPr>
      <t xml:space="preserve">ostatní služby </t>
    </r>
    <r>
      <rPr>
        <sz val="8"/>
        <color theme="1"/>
        <rFont val="Times New Roman"/>
        <family val="1"/>
        <charset val="238"/>
      </rPr>
      <t>(85,04% FP) 41.885,70 Kč. Zde bylo počítáno s nákupem rozšířené verze programu Bakaláři, ale zatím postačila jeho aktualizace (na účtě 518/0470 úspora 10.199 Kč). Komentář k účtu 518/0380 - konzultační, poradenské a právní služby: zpracování přiznání k dani z příjmu za rok 2014 - 9.680 Kč a metodické materiály "Kartotéka" - 1.999 Kč. Komentář k účtu 518/0370 - zpracování ekonomických agend, účetní a daňové poradenství, zpacování mezd - 63.741 Kč, asistence úč. závěrky progr. UCR a EMA - 2.904 Kč a sw práce, aktualizace XML výkazů v účetním programu a propojení s automatem Prostějov - 2.867,70 Kč.  Na všech analytických účtech je nepatrná úspora - servis PC, poštovné, nájemné za bazén, školení jinými organizacemi, vývoz septiku, servisní prohlídky, poplatky FKSP, konzultační, poradenské a právní služby, ale v součtu to dalo tuto uspořenou částku. Nepatrnou částku organizace šetřila na cestovném (391 Kč), na mzdových nákladech pro vedoucí zájmových kroužků (34 Kč), na odvodech (24 Kč), na účtu 527 je to 2.050 Kč, na nákladech na reprezentaci 47 Kč, na ostatních službách 500 Kč a na účtu 558 je to 2.875,10 Kč. V porovnání s rokem 2014 nejsou velké rozdíly v jednotlivých položkách, největší rozdíl je u oprav a údržby (rozdíl 33 tis. Kč), u ostatních služeb (rozdíl asi 17 tis. Kč), u spotřeby materiálu (rozdíl asi 10 tis. Kč) a u spotřeby energií (rozdíl asi 4 tis. Kč). Komentář k porovnání spotřeby plynu v měrných jednotkách v 5ti leté časové řadě: rozdíl ve spotřebě plynu v roce 2014 a 2015 byl organizací podrobně měsíčně porovnán a důkladně analyzován. Tato úspora ve výši 5.397 m3 u všech budov (budova 1. st., budova 2. st., tělocvična a budova ŠD) vznikla díky příznivým klimatickým podmínkám roku 2014.</t>
    </r>
  </si>
  <si>
    <t>Zákonné odvody k vyplacené odměně z rezervního fondu.</t>
  </si>
  <si>
    <t>Zákonné odvody k vyplacené odměně pro ředitelku školy - použití rezervního fondu.</t>
  </si>
  <si>
    <t>Překročení stanoveného objemu prostř. na platy - správce hřiště.</t>
  </si>
  <si>
    <t>Zákonné odvody 34 % z rezervního fondu.</t>
  </si>
  <si>
    <t>Zákonné a jiné sociální náklady.</t>
  </si>
  <si>
    <t>Zaměstnanci školy se konečně mohou stravovat ve školní jídelně a zájem o obědy u nich stoupl. Při sestavování FP bylo těžké odhadnout, kolik lidí na obědy bude chodit. Nakonec chybělo 3.530 Kč, které byly převedeny z cestovného.</t>
  </si>
  <si>
    <t xml:space="preserve">Výnosy - poplatky za ŠD - snížení vlastních tržeb - nižší výběr poplatků v I. pololetí 2015; ve FP bylo původně plánováno zvýšit poplatek za žáka ze 70 Kč na 100 Kč za měsíc od zač. února 2015, ale skutečně se poplatek mohl zvýšit až od nového školního roku, tj. od září 2015. </t>
  </si>
  <si>
    <t>Spotřeba materiálu  - náklady za žáky ŠD - snížené vzhledem k nižšímu výběru poplatků v I. pololetí 2015.</t>
  </si>
  <si>
    <t>Účet 501 - spotřeba materiálu  - pořízení JDDM (OEM)  - navýšení z důvodu pořízení 30 ks žákovských židlí do kmenové třídy a 30 ks žákovských židlí do učebny MMU  -  schváleno 19.11.2015 vedoucím odboru školství, kultury a sportu.</t>
  </si>
  <si>
    <t>Účet 501 - spotřeba materiálku  - pořízení JDDM (OEM)  - navýšení z důvodu pořízení 30 ks žákovských židlí do kmenové třídy -  schváleno usnesením Rady města Prostějova č. 51111 ze dne 8.12.2015.</t>
  </si>
  <si>
    <t>V roce 2016 je plánováno užití fondu dle rozpočtu FKSP na rok 2016. Čerpání fondu je plánováno ve výši 213.500 Kč a to na příspěvek na stravování (40.000 Kč), kulturu, tělovýchovu a sport ve výši 69.500 Kč, peněžní dary za životní a pracovní výročí 30.000 Kč a ostatní užití fondu ve výši 44.000 Kč. V rozpočtu je plánovanáno případné poskytnutí sociální výpomoci ve výši 20.000 Kč.</t>
  </si>
  <si>
    <t>Snížení položky finančního plánu organizace v položce opravy a udržování z důvodu úspory na této položce ve prospěch položky 558.</t>
  </si>
  <si>
    <t>Snížení závazného ukazatele odpisy - schváleno RMP dne 8.12.2015  u.č. 511. Důvod převodu je převod nákladů na odpisy z hlavní činnosti do doplňkové. Navýšení položek 501 a 558.</t>
  </si>
  <si>
    <t>Snížení položky 648 - čerpání  fondu investic. Do fondu investic byly vráceny zpět nevyužité prostředky na opravu podhledu ve školní jídelně.</t>
  </si>
  <si>
    <r>
      <rPr>
        <b/>
        <sz val="8"/>
        <color indexed="8"/>
        <rFont val="Times New Roman"/>
        <family val="1"/>
        <charset val="238"/>
      </rPr>
      <t>3.</t>
    </r>
    <r>
      <rPr>
        <b/>
        <u/>
        <sz val="8"/>
        <color indexed="8"/>
        <rFont val="Times New Roman"/>
        <family val="1"/>
        <charset val="238"/>
      </rPr>
      <t xml:space="preserve"> Na kontrolním dnu za I. pololetí roku 2016 bude projednáno snížení příspěvku zřizovatele ve vztahu k energiím, dle propočtu skutečných nákladů na energie na rok 2016.</t>
    </r>
  </si>
  <si>
    <t>Výsledek hospodaření byl dosažen zvýšenými tržbami za pronájmy tělocvičen a tržbami za stravné pro komerční účely.</t>
  </si>
  <si>
    <r>
      <t xml:space="preserve">1. Účastníci kontrolního dne, vzhledem k provedené analýze výsledku hospodaření, doporučují ponechat organizaci celý výsledek hospodaření ve výší </t>
    </r>
    <r>
      <rPr>
        <b/>
        <sz val="8"/>
        <color theme="1"/>
        <rFont val="Times New Roman"/>
        <family val="1"/>
        <charset val="238"/>
      </rPr>
      <t>1.828.026,10 Kč</t>
    </r>
    <r>
      <rPr>
        <sz val="8"/>
        <color theme="1"/>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částku </t>
    </r>
    <r>
      <rPr>
        <b/>
        <sz val="8"/>
        <color theme="1"/>
        <rFont val="Times New Roman"/>
        <family val="1"/>
        <charset val="238"/>
      </rPr>
      <t>1.818.026,10 Kč</t>
    </r>
    <r>
      <rPr>
        <sz val="8"/>
        <color theme="1"/>
        <rFont val="Times New Roman"/>
        <family val="1"/>
        <charset val="238"/>
      </rPr>
      <t xml:space="preserve">, s tím, že částka </t>
    </r>
    <r>
      <rPr>
        <b/>
        <sz val="8"/>
        <color theme="1"/>
        <rFont val="Times New Roman"/>
        <family val="1"/>
        <charset val="238"/>
      </rPr>
      <t>1.512.238,27 Kč</t>
    </r>
    <r>
      <rPr>
        <sz val="8"/>
        <color theme="1"/>
        <rFont val="Times New Roman"/>
        <family val="1"/>
        <charset val="238"/>
      </rPr>
      <t xml:space="preserve"> bude na základě rozhodnutí orgánů města účelově vázána a použita na úhradu mínusového výsledku hospodaření předcházejících účetních období (rozvaha - účet 432). </t>
    </r>
    <r>
      <rPr>
        <b/>
        <sz val="8"/>
        <color theme="1"/>
        <rFont val="Times New Roman"/>
        <family val="1"/>
        <charset val="238"/>
      </rPr>
      <t>Kontrola užití účelově vázaných prostředků bude provedena na kontrolním dnu k výsledkům hospodaření organizace za I. pololetí roku 2016.</t>
    </r>
    <r>
      <rPr>
        <sz val="8"/>
        <color theme="1"/>
        <rFont val="Times New Roman"/>
        <family val="1"/>
        <charset val="238"/>
      </rPr>
      <t xml:space="preserve"> Do fondu odměn je navrženo převést částku </t>
    </r>
    <r>
      <rPr>
        <b/>
        <sz val="8"/>
        <color theme="1"/>
        <rFont val="Times New Roman"/>
        <family val="1"/>
        <charset val="238"/>
      </rPr>
      <t>10.000 Kč</t>
    </r>
    <r>
      <rPr>
        <sz val="8"/>
        <color theme="1"/>
        <rFont val="Times New Roman"/>
        <family val="1"/>
        <charset val="238"/>
      </rPr>
      <t xml:space="preserve">.                                                                                                                                                                                                                                                                                                                                                                                                                                                                                                                                                                                                                                          </t>
    </r>
  </si>
  <si>
    <t>Původní rozpočet byl vytvořen v září 2014. Bývalou ekonomkou nebylo stanoveno rozdělení nákladů v hlavní a doplňkové činnosti; zároveň plnění výnosů neodpovídalo původnímu rozpočtu; původní rozpočet nebyl téměř vůbec rozepsán dle analytického třídění.</t>
  </si>
  <si>
    <t xml:space="preserve">1. Částka 325.948,88 Kč na rezervním fondu byla účelově vázána na pořízení dopravního prostředku. RMP ve svém usnesení č. 51107 ze dne 8.12.2015 schválila převod 400.000 Kč z rezervního fondu do investičního fondu a schválila čerpání fondu ve výši 700.000 Kč na nákup automobilu. Na základě výběrového řízení z prosince roku 2015 byla uzavřena kupní smlouva s firmou Artcom Group s.r.o., Bystrovany 201, Olomouc na nákup vozu Peugeot Boxer Combi 2.0 BlueHDI 96 kW/130 v celkové ceně 699.971 Kč (včetně DPH). Dodání vozu by mělo být uskutečněno v průběhu I. čtvrtletí roku 2016. </t>
  </si>
  <si>
    <t>Výnosem doplňkové činnosti jsou výnosy z pronájmu školního bytu, pronájmu prostor divadlu Starost, Telefonice a.s.  a přefakurace spotřeby energií v těchto pronajatých prostorách. V nákladech doplňkové činnosti 2015 se promítly pouze náklady za energie, přefakturované výše uvedeným subjektům. V roce 2015 neproběhlo čerpání nákladů v oblasti opravy a údržby školního bytu. S čerpáním nákladů je počítáno v roce 2016.</t>
  </si>
  <si>
    <t>1 % z HM - z vyplaceným odměn FO.</t>
  </si>
  <si>
    <r>
      <t xml:space="preserve">1. Účastníci kontrolního dne, vzhledem k provedené analýze VH, doporučují ponechat organizaci část VH ve výši </t>
    </r>
    <r>
      <rPr>
        <b/>
        <sz val="8"/>
        <color theme="1"/>
        <rFont val="Times New Roman"/>
        <family val="1"/>
        <charset val="238"/>
      </rPr>
      <t>105.442,82 Kč</t>
    </r>
    <r>
      <rPr>
        <sz val="8"/>
        <color theme="1"/>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částku </t>
    </r>
    <r>
      <rPr>
        <b/>
        <sz val="8"/>
        <color theme="1"/>
        <rFont val="Times New Roman"/>
        <family val="1"/>
        <charset val="238"/>
      </rPr>
      <t>90.442,82</t>
    </r>
    <r>
      <rPr>
        <sz val="8"/>
        <color theme="1"/>
        <rFont val="Times New Roman"/>
        <family val="1"/>
        <charset val="238"/>
      </rPr>
      <t xml:space="preserve"> Kč, do fondu odměn částku </t>
    </r>
    <r>
      <rPr>
        <b/>
        <sz val="8"/>
        <color theme="1"/>
        <rFont val="Times New Roman"/>
        <family val="1"/>
        <charset val="238"/>
      </rPr>
      <t>15 000 Kč.</t>
    </r>
  </si>
  <si>
    <r>
      <t xml:space="preserve">2. Účastníci kontrolního dne, vzhledem k provedené analýze VH, doporučují odvést část výsledku hospodaření ve výši </t>
    </r>
    <r>
      <rPr>
        <b/>
        <sz val="8"/>
        <color theme="1"/>
        <rFont val="Times New Roman"/>
        <family val="1"/>
        <charset val="238"/>
      </rPr>
      <t>110 835 Kč</t>
    </r>
    <r>
      <rPr>
        <sz val="8"/>
        <color theme="1"/>
        <rFont val="Times New Roman"/>
        <family val="1"/>
        <charset val="238"/>
      </rPr>
      <t xml:space="preserve"> na účet zřizovatele v rámci finančního vypořádání roku 2015.</t>
    </r>
  </si>
  <si>
    <t>3. Příděl fondům a případný odvod na účet zřizovatele provede organizace na základě písemného vyrozumění Odboru školství, kultury a sportu MMPV.</t>
  </si>
  <si>
    <t>Výsledek hospodaření vznikl v důsledku hospodárného a účelného vynakládání finančních prostředků v nákladových položkách (přímý vliv - spotřeba materiálu, opravy a údržba, cestovné, náklady na reprezebtaci, ostatní služby a náklady z DDHM; ostatní vlivy - spotřeba energií, zákonné sociální pojištění a náklady) a vyššími tržbami ve výnosech organizace (přímý vliv).</t>
  </si>
  <si>
    <r>
      <t xml:space="preserve">1. </t>
    </r>
    <r>
      <rPr>
        <sz val="8"/>
        <rFont val="Times New Roman"/>
        <family val="1"/>
        <charset val="238"/>
      </rPr>
      <t xml:space="preserve">Účastníci kontrolního dne, vzhledem k provedené analýze výsledku hospodaření, doporučují ponechat organizaci část výsledku hospodaření ve výši </t>
    </r>
    <r>
      <rPr>
        <b/>
        <sz val="8"/>
        <rFont val="Times New Roman"/>
        <family val="1"/>
        <charset val="238"/>
      </rPr>
      <t>83.197,28 Kč</t>
    </r>
    <r>
      <rPr>
        <sz val="8"/>
        <rFont val="Times New Roman"/>
        <family val="1"/>
        <charset val="238"/>
      </rPr>
      <t xml:space="preserve"> pro příděl do peněžních fondů</t>
    </r>
    <r>
      <rPr>
        <b/>
        <sz val="8"/>
        <rFont val="Times New Roman"/>
        <family val="1"/>
        <charset val="238"/>
      </rPr>
      <t xml:space="preserve"> </t>
    </r>
    <r>
      <rPr>
        <sz val="8"/>
        <rFont val="Times New Roman"/>
        <family val="1"/>
        <charset val="238"/>
      </rPr>
      <t xml:space="preserve">organizace dle zákona č. 250/2000 Sb., o rozpočtových pravidlech územních rozpočtů, ve znění pozdějších předpisů a na základě předložených požadavků a potřeb organizace. Do rezervního fondu je navrženo převést částku </t>
    </r>
    <r>
      <rPr>
        <b/>
        <sz val="8"/>
        <rFont val="Times New Roman"/>
        <family val="1"/>
        <charset val="238"/>
      </rPr>
      <t>63.197,28 Kč</t>
    </r>
    <r>
      <rPr>
        <sz val="8"/>
        <rFont val="Times New Roman"/>
        <family val="1"/>
        <charset val="238"/>
      </rPr>
      <t xml:space="preserve">. Do fondu odměn je navrženo převést částku </t>
    </r>
    <r>
      <rPr>
        <b/>
        <sz val="8"/>
        <rFont val="Times New Roman"/>
        <family val="1"/>
        <charset val="238"/>
      </rPr>
      <t>20.000 Kč</t>
    </r>
    <r>
      <rPr>
        <sz val="8"/>
        <rFont val="Times New Roman"/>
        <family val="1"/>
        <charset val="238"/>
      </rPr>
      <t>.</t>
    </r>
  </si>
  <si>
    <r>
      <t xml:space="preserve">1. Účastníci kontrolního dne, vzhledem k provedené analýze výsledku hospodaření, doporučují ponechat organizaci celý výsledek hospodaření ve výši </t>
    </r>
    <r>
      <rPr>
        <b/>
        <sz val="8"/>
        <color theme="1"/>
        <rFont val="Times New Roman"/>
        <family val="1"/>
        <charset val="238"/>
      </rPr>
      <t>68 939,39 Kč</t>
    </r>
    <r>
      <rPr>
        <sz val="8"/>
        <color theme="1"/>
        <rFont val="Times New Roman"/>
        <family val="1"/>
        <charset val="238"/>
      </rPr>
      <t xml:space="preserve"> pro příděl do peněžních fondů organizace dle zákona č. 250/2000 Sb., o rozpočtových pravidlech územních rozpočtů, ve znění pozdějších předpisů a na základě předložených požadavků a potřeb organizace. Do rezervního fondu je navrženo převést celou částku </t>
    </r>
    <r>
      <rPr>
        <b/>
        <sz val="8"/>
        <color theme="1"/>
        <rFont val="Times New Roman"/>
        <family val="1"/>
        <charset val="238"/>
      </rPr>
      <t>68 939,39 Kč.</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</si>
</sst>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405]#,##0.00"/>
    <numFmt numFmtId="165" formatCode="#,##0.00_ ;\-#,##0.00\ "/>
    <numFmt numFmtId="166" formatCode="dd/mm/yy;@"/>
  </numFmts>
  <fonts count="50" x14ac:knownFonts="1">
    <font>
      <sz val="6"/>
      <name val="Times New Roman"/>
      <family val="1"/>
      <charset val="238"/>
    </font>
    <font>
      <sz val="10"/>
      <name val="Arial CE"/>
      <charset val="238"/>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6"/>
      <name val="Times New Roman CE"/>
      <charset val="238"/>
    </font>
    <font>
      <b/>
      <sz val="8"/>
      <name val="Times New Roman"/>
      <family val="1"/>
      <charset val="238"/>
    </font>
    <font>
      <sz val="8"/>
      <name val="Times New Roman"/>
      <family val="1"/>
      <charset val="238"/>
    </font>
    <font>
      <b/>
      <u/>
      <sz val="8"/>
      <name val="Times New Roman"/>
      <family val="1"/>
      <charset val="238"/>
    </font>
    <font>
      <b/>
      <sz val="14"/>
      <color indexed="8"/>
      <name val="Times New Roman"/>
      <family val="1"/>
      <charset val="238"/>
    </font>
    <font>
      <sz val="10"/>
      <color indexed="8"/>
      <name val="Times New Roman"/>
      <family val="1"/>
      <charset val="238"/>
    </font>
    <font>
      <b/>
      <sz val="14"/>
      <name val="Times New Roman"/>
      <family val="1"/>
      <charset val="238"/>
    </font>
    <font>
      <u/>
      <sz val="8"/>
      <name val="Times New Roman"/>
      <family val="1"/>
      <charset val="238"/>
    </font>
    <font>
      <sz val="10"/>
      <name val="Times New Roman"/>
      <family val="1"/>
      <charset val="238"/>
    </font>
    <font>
      <b/>
      <sz val="8"/>
      <color indexed="8"/>
      <name val="Times New Roman"/>
      <family val="1"/>
      <charset val="238"/>
    </font>
    <font>
      <i/>
      <sz val="6"/>
      <name val="Times New Roman"/>
      <family val="1"/>
      <charset val="238"/>
    </font>
    <font>
      <b/>
      <u/>
      <sz val="8"/>
      <color indexed="8"/>
      <name val="Times New Roman"/>
      <family val="1"/>
      <charset val="238"/>
    </font>
    <font>
      <sz val="8"/>
      <color indexed="8"/>
      <name val="Times New Roman"/>
      <family val="1"/>
      <charset val="238"/>
    </font>
    <font>
      <sz val="8"/>
      <color indexed="10"/>
      <name val="Times New Roman"/>
      <family val="1"/>
      <charset val="238"/>
    </font>
    <font>
      <b/>
      <sz val="7"/>
      <color indexed="8"/>
      <name val="Times New Roman"/>
      <family val="1"/>
      <charset val="238"/>
    </font>
    <font>
      <sz val="9"/>
      <color indexed="8"/>
      <name val="Times New Roman"/>
      <family val="1"/>
      <charset val="238"/>
    </font>
    <font>
      <b/>
      <sz val="14"/>
      <color theme="1"/>
      <name val="Times New Roman"/>
      <family val="1"/>
      <charset val="238"/>
    </font>
    <font>
      <sz val="10"/>
      <color theme="1"/>
      <name val="Times New Roman"/>
      <family val="1"/>
      <charset val="238"/>
    </font>
    <font>
      <b/>
      <u/>
      <sz val="8"/>
      <color theme="1"/>
      <name val="Times New Roman"/>
      <family val="1"/>
      <charset val="238"/>
    </font>
    <font>
      <sz val="8"/>
      <color theme="1"/>
      <name val="Times New Roman"/>
      <family val="1"/>
      <charset val="238"/>
    </font>
    <font>
      <b/>
      <sz val="8"/>
      <color theme="1"/>
      <name val="Times New Roman"/>
      <family val="1"/>
      <charset val="238"/>
    </font>
    <font>
      <u/>
      <sz val="8"/>
      <color theme="1"/>
      <name val="Times New Roman"/>
      <family val="1"/>
      <charset val="238"/>
    </font>
    <font>
      <sz val="8"/>
      <color rgb="FFFF0000"/>
      <name val="Times New Roman"/>
      <family val="1"/>
      <charset val="238"/>
    </font>
    <font>
      <sz val="9"/>
      <color theme="1"/>
      <name val="Times New Roman"/>
      <family val="1"/>
      <charset val="238"/>
    </font>
    <font>
      <b/>
      <sz val="7"/>
      <color theme="1"/>
      <name val="Times New Roman"/>
      <family val="1"/>
      <charset val="238"/>
    </font>
    <font>
      <b/>
      <sz val="6"/>
      <color rgb="FF000000"/>
      <name val="Times New Roman"/>
      <family val="1"/>
      <charset val="238"/>
    </font>
    <font>
      <sz val="6"/>
      <color rgb="FF000000"/>
      <name val="Times New Roman"/>
      <family val="1"/>
      <charset val="238"/>
    </font>
    <font>
      <sz val="11"/>
      <color indexed="8"/>
      <name val="Times New Roman"/>
      <family val="1"/>
      <charset val="238"/>
    </font>
    <font>
      <sz val="11"/>
      <color theme="1"/>
      <name val="Times New Roman"/>
      <family val="1"/>
      <charset val="238"/>
    </font>
    <font>
      <b/>
      <sz val="6"/>
      <color rgb="FFFF0000"/>
      <name val="Times New Roman"/>
      <family val="1"/>
      <charset val="238"/>
    </font>
    <font>
      <b/>
      <sz val="5.5"/>
      <name val="Times New Roman CE"/>
      <family val="1"/>
      <charset val="238"/>
    </font>
    <font>
      <b/>
      <sz val="10"/>
      <color rgb="FFFF0000"/>
      <name val="Times New Roman"/>
      <family val="1"/>
      <charset val="238"/>
    </font>
    <font>
      <b/>
      <sz val="10"/>
      <name val="Times New Roman"/>
      <family val="1"/>
      <charset val="238"/>
    </font>
    <font>
      <b/>
      <sz val="8"/>
      <color rgb="FFFF0000"/>
      <name val="Times New Roman"/>
      <family val="1"/>
      <charset val="238"/>
    </font>
    <font>
      <sz val="9"/>
      <color indexed="10"/>
      <name val="Times New Roman"/>
      <family val="1"/>
      <charset val="238"/>
    </font>
    <font>
      <sz val="8"/>
      <color indexed="8"/>
      <name val="Calibri"/>
      <family val="2"/>
      <charset val="238"/>
    </font>
    <font>
      <b/>
      <sz val="8"/>
      <color theme="1"/>
      <name val="Calibri"/>
      <family val="2"/>
      <charset val="238"/>
    </font>
    <font>
      <sz val="8"/>
      <color theme="1"/>
      <name val="Calibri"/>
      <family val="2"/>
      <charset val="238"/>
      <scheme val="minor"/>
    </font>
    <font>
      <b/>
      <sz val="9"/>
      <color indexed="8"/>
      <name val="Times New Roman"/>
      <family val="1"/>
      <charset val="238"/>
    </font>
    <font>
      <sz val="7"/>
      <color theme="1"/>
      <name val="Times New Roman"/>
      <family val="1"/>
      <charset val="238"/>
    </font>
    <font>
      <b/>
      <sz val="8"/>
      <name val="Times New Roman CE"/>
      <family val="1"/>
      <charset val="238"/>
    </font>
  </fonts>
  <fills count="14">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C000"/>
        <bgColor indexed="64"/>
      </patternFill>
    </fill>
    <fill>
      <patternFill patternType="solid">
        <fgColor theme="1"/>
        <bgColor indexed="64"/>
      </patternFill>
    </fill>
    <fill>
      <patternFill patternType="solid">
        <fgColor rgb="FF92D050"/>
        <bgColor rgb="FF92D050"/>
      </patternFill>
    </fill>
    <fill>
      <patternFill patternType="solid">
        <fgColor indexed="8"/>
        <bgColor indexed="64"/>
      </patternFill>
    </fill>
    <fill>
      <patternFill patternType="solid">
        <fgColor theme="0"/>
        <bgColor indexed="64"/>
      </patternFill>
    </fill>
    <fill>
      <patternFill patternType="solid">
        <fgColor indexed="23"/>
        <bgColor indexed="64"/>
      </patternFill>
    </fill>
    <fill>
      <patternFill patternType="solid">
        <fgColor theme="9" tint="0.79998168889431442"/>
        <bgColor indexed="64"/>
      </patternFill>
    </fill>
  </fills>
  <borders count="98">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style="thin">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thin">
        <color indexed="64"/>
      </top>
      <bottom/>
      <diagonal/>
    </border>
    <border>
      <left style="hair">
        <color auto="1"/>
      </left>
      <right/>
      <top style="thin">
        <color indexed="64"/>
      </top>
      <bottom style="hair">
        <color auto="1"/>
      </bottom>
      <diagonal/>
    </border>
    <border>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style="hair">
        <color auto="1"/>
      </right>
      <top style="hair">
        <color auto="1"/>
      </top>
      <bottom/>
      <diagonal/>
    </border>
    <border>
      <left/>
      <right style="hair">
        <color auto="1"/>
      </right>
      <top style="hair">
        <color indexed="64"/>
      </top>
      <bottom/>
      <diagonal/>
    </border>
    <border>
      <left style="hair">
        <color auto="1"/>
      </left>
      <right/>
      <top/>
      <bottom style="hair">
        <color auto="1"/>
      </bottom>
      <diagonal/>
    </border>
    <border>
      <left/>
      <right/>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hair">
        <color auto="1"/>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hair">
        <color auto="1"/>
      </left>
      <right style="thin">
        <color indexed="64"/>
      </right>
      <top style="thin">
        <color indexed="64"/>
      </top>
      <bottom style="thin">
        <color indexed="64"/>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style="hair">
        <color auto="1"/>
      </left>
      <right/>
      <top style="hair">
        <color indexed="64"/>
      </top>
      <bottom/>
      <diagonal/>
    </border>
    <border>
      <left/>
      <right/>
      <top style="hair">
        <color indexed="64"/>
      </top>
      <bottom/>
      <diagonal/>
    </border>
    <border>
      <left style="thin">
        <color indexed="64"/>
      </left>
      <right style="hair">
        <color auto="1"/>
      </right>
      <top style="hair">
        <color auto="1"/>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4" fontId="0" fillId="0" borderId="0">
      <alignment vertical="top"/>
    </xf>
    <xf numFmtId="43" fontId="1" fillId="0" borderId="0" applyFont="0" applyFill="0" applyBorder="0" applyAlignment="0" applyProtection="0"/>
    <xf numFmtId="3" fontId="2" fillId="0" borderId="0"/>
    <xf numFmtId="164" fontId="35" fillId="0" borderId="0" applyBorder="0" applyProtection="0">
      <alignment vertical="top"/>
    </xf>
  </cellStyleXfs>
  <cellXfs count="1208">
    <xf numFmtId="4" fontId="0" fillId="0" borderId="0" xfId="0">
      <alignment vertical="top"/>
    </xf>
    <xf numFmtId="3" fontId="3" fillId="0" borderId="0" xfId="2" applyFont="1" applyFill="1" applyBorder="1"/>
    <xf numFmtId="4" fontId="0" fillId="0" borderId="0" xfId="0" applyAlignment="1">
      <alignment horizontal="center" vertical="top"/>
    </xf>
    <xf numFmtId="4" fontId="3" fillId="0" borderId="0" xfId="0" applyFont="1" applyAlignment="1">
      <alignment horizontal="center" vertical="top"/>
    </xf>
    <xf numFmtId="4" fontId="4" fillId="0" borderId="0" xfId="0" applyFont="1">
      <alignment vertical="top"/>
    </xf>
    <xf numFmtId="4" fontId="4" fillId="0" borderId="0" xfId="0" applyFont="1" applyAlignment="1">
      <alignment horizontal="center" vertical="top"/>
    </xf>
    <xf numFmtId="3" fontId="5" fillId="0" borderId="0" xfId="2" applyFont="1" applyFill="1" applyBorder="1"/>
    <xf numFmtId="3" fontId="5" fillId="0" borderId="0" xfId="2" applyFont="1" applyFill="1" applyBorder="1" applyAlignment="1">
      <alignment horizontal="center"/>
    </xf>
    <xf numFmtId="49" fontId="5" fillId="0" borderId="0" xfId="2" applyNumberFormat="1" applyFont="1" applyFill="1" applyBorder="1" applyAlignment="1">
      <alignment horizontal="center"/>
    </xf>
    <xf numFmtId="4" fontId="5" fillId="0" borderId="1" xfId="2" applyNumberFormat="1" applyFont="1" applyFill="1" applyBorder="1"/>
    <xf numFmtId="4" fontId="5" fillId="0" borderId="2" xfId="2" applyNumberFormat="1" applyFont="1" applyFill="1" applyBorder="1"/>
    <xf numFmtId="3" fontId="5" fillId="0" borderId="0" xfId="2" applyFont="1" applyFill="1" applyBorder="1" applyAlignment="1"/>
    <xf numFmtId="4" fontId="8" fillId="0" borderId="1" xfId="2" applyNumberFormat="1" applyFont="1" applyFill="1" applyBorder="1"/>
    <xf numFmtId="3" fontId="8" fillId="0" borderId="0" xfId="2" applyFont="1" applyFill="1" applyBorder="1"/>
    <xf numFmtId="4" fontId="8" fillId="0" borderId="2" xfId="2" applyNumberFormat="1" applyFont="1" applyFill="1" applyBorder="1"/>
    <xf numFmtId="4" fontId="8" fillId="0" borderId="0" xfId="2" applyNumberFormat="1" applyFont="1" applyFill="1" applyBorder="1"/>
    <xf numFmtId="4" fontId="8" fillId="0" borderId="3" xfId="2" applyNumberFormat="1" applyFont="1" applyFill="1" applyBorder="1"/>
    <xf numFmtId="49" fontId="5" fillId="3" borderId="4" xfId="2" applyNumberFormat="1" applyFont="1" applyFill="1" applyBorder="1" applyAlignment="1">
      <alignment horizontal="center"/>
    </xf>
    <xf numFmtId="49" fontId="5" fillId="3" borderId="5" xfId="2" applyNumberFormat="1" applyFont="1" applyFill="1" applyBorder="1" applyAlignment="1">
      <alignment horizontal="center"/>
    </xf>
    <xf numFmtId="4" fontId="5" fillId="4" borderId="6" xfId="2" applyNumberFormat="1" applyFont="1" applyFill="1" applyBorder="1"/>
    <xf numFmtId="49" fontId="6" fillId="4" borderId="7" xfId="2" applyNumberFormat="1" applyFont="1" applyFill="1" applyBorder="1" applyAlignment="1">
      <alignment horizontal="center"/>
    </xf>
    <xf numFmtId="3" fontId="6" fillId="4" borderId="8" xfId="2" applyFont="1" applyFill="1" applyBorder="1" applyAlignment="1">
      <alignment horizontal="left"/>
    </xf>
    <xf numFmtId="3" fontId="6" fillId="4" borderId="9" xfId="2" applyFont="1" applyFill="1" applyBorder="1" applyAlignment="1">
      <alignment horizontal="left"/>
    </xf>
    <xf numFmtId="4" fontId="5" fillId="0" borderId="0" xfId="0" applyFont="1">
      <alignment vertical="top"/>
    </xf>
    <xf numFmtId="4" fontId="5" fillId="4" borderId="4" xfId="2" applyNumberFormat="1" applyFont="1" applyFill="1" applyBorder="1"/>
    <xf numFmtId="4" fontId="8" fillId="4" borderId="6" xfId="2" applyNumberFormat="1" applyFont="1" applyFill="1" applyBorder="1"/>
    <xf numFmtId="4" fontId="5" fillId="0" borderId="3" xfId="2" applyNumberFormat="1" applyFont="1" applyFill="1" applyBorder="1"/>
    <xf numFmtId="4" fontId="25" fillId="0" borderId="0" xfId="0" applyFont="1" applyAlignment="1"/>
    <xf numFmtId="4" fontId="26" fillId="0" borderId="0" xfId="0" applyFont="1" applyAlignment="1"/>
    <xf numFmtId="3" fontId="6" fillId="4" borderId="4" xfId="2" applyNumberFormat="1" applyFont="1" applyFill="1" applyBorder="1"/>
    <xf numFmtId="3" fontId="6" fillId="4" borderId="10" xfId="2" applyNumberFormat="1" applyFont="1" applyFill="1" applyBorder="1"/>
    <xf numFmtId="3" fontId="6" fillId="4" borderId="4" xfId="2" applyNumberFormat="1" applyFont="1" applyFill="1" applyBorder="1" applyAlignment="1">
      <alignment horizontal="right"/>
    </xf>
    <xf numFmtId="3" fontId="5" fillId="0" borderId="11" xfId="2" applyNumberFormat="1" applyFont="1" applyBorder="1" applyAlignment="1">
      <alignment horizontal="right"/>
    </xf>
    <xf numFmtId="3" fontId="5" fillId="0" borderId="1" xfId="2" applyNumberFormat="1" applyFont="1" applyBorder="1" applyAlignment="1">
      <alignment horizontal="right"/>
    </xf>
    <xf numFmtId="3" fontId="5" fillId="0" borderId="12" xfId="2" applyNumberFormat="1" applyFont="1" applyBorder="1" applyAlignment="1">
      <alignment horizontal="right"/>
    </xf>
    <xf numFmtId="3" fontId="5" fillId="0" borderId="1" xfId="2" applyNumberFormat="1" applyFont="1" applyBorder="1"/>
    <xf numFmtId="3" fontId="5" fillId="0" borderId="12" xfId="2" applyNumberFormat="1" applyFont="1" applyBorder="1"/>
    <xf numFmtId="3" fontId="5" fillId="0" borderId="11" xfId="2" applyNumberFormat="1" applyFont="1" applyBorder="1"/>
    <xf numFmtId="3" fontId="5" fillId="0" borderId="13" xfId="2" applyNumberFormat="1" applyFont="1" applyBorder="1" applyAlignment="1">
      <alignment horizontal="right"/>
    </xf>
    <xf numFmtId="3" fontId="5" fillId="0" borderId="2" xfId="2" applyNumberFormat="1" applyFont="1" applyBorder="1" applyAlignment="1">
      <alignment horizontal="right"/>
    </xf>
    <xf numFmtId="3" fontId="5" fillId="0" borderId="14" xfId="2" applyNumberFormat="1" applyFont="1" applyBorder="1" applyAlignment="1">
      <alignment horizontal="right"/>
    </xf>
    <xf numFmtId="3" fontId="5" fillId="0" borderId="15" xfId="2" applyNumberFormat="1" applyFont="1" applyBorder="1" applyAlignment="1">
      <alignment horizontal="right"/>
    </xf>
    <xf numFmtId="3" fontId="5" fillId="0" borderId="16" xfId="2" applyNumberFormat="1" applyFont="1" applyBorder="1" applyAlignment="1">
      <alignment horizontal="right"/>
    </xf>
    <xf numFmtId="3" fontId="5" fillId="0" borderId="3" xfId="2" applyNumberFormat="1" applyFont="1" applyBorder="1" applyAlignment="1">
      <alignment horizontal="right"/>
    </xf>
    <xf numFmtId="3" fontId="5" fillId="0" borderId="17" xfId="2" applyNumberFormat="1" applyFont="1" applyBorder="1" applyAlignment="1">
      <alignment horizontal="right"/>
    </xf>
    <xf numFmtId="3" fontId="5" fillId="4" borderId="4" xfId="2" applyNumberFormat="1" applyFont="1" applyFill="1" applyBorder="1" applyAlignment="1">
      <alignment horizontal="right"/>
    </xf>
    <xf numFmtId="3" fontId="5" fillId="4" borderId="10" xfId="2" applyNumberFormat="1" applyFont="1" applyFill="1" applyBorder="1" applyAlignment="1">
      <alignment horizontal="right"/>
    </xf>
    <xf numFmtId="3" fontId="5" fillId="0" borderId="1" xfId="2" applyNumberFormat="1" applyFont="1" applyFill="1" applyBorder="1"/>
    <xf numFmtId="3" fontId="5" fillId="0" borderId="12" xfId="2" applyNumberFormat="1" applyFont="1" applyFill="1" applyBorder="1" applyAlignment="1">
      <alignment horizontal="right"/>
    </xf>
    <xf numFmtId="3" fontId="5" fillId="0" borderId="11" xfId="2" applyNumberFormat="1" applyFont="1" applyFill="1" applyBorder="1"/>
    <xf numFmtId="3" fontId="5" fillId="0" borderId="12" xfId="2" applyNumberFormat="1" applyFont="1" applyFill="1" applyBorder="1"/>
    <xf numFmtId="3" fontId="5" fillId="0" borderId="19" xfId="2" applyNumberFormat="1" applyFont="1" applyFill="1" applyBorder="1" applyAlignment="1">
      <alignment horizontal="right"/>
    </xf>
    <xf numFmtId="3" fontId="5" fillId="0" borderId="14" xfId="2" applyNumberFormat="1" applyFont="1" applyFill="1" applyBorder="1" applyAlignment="1">
      <alignment horizontal="right"/>
    </xf>
    <xf numFmtId="3" fontId="5" fillId="0" borderId="13" xfId="2" applyNumberFormat="1" applyFont="1" applyFill="1" applyBorder="1" applyAlignment="1">
      <alignment horizontal="right"/>
    </xf>
    <xf numFmtId="3" fontId="5" fillId="0" borderId="2" xfId="2" applyNumberFormat="1" applyFont="1" applyFill="1" applyBorder="1" applyAlignment="1">
      <alignment horizontal="right"/>
    </xf>
    <xf numFmtId="3" fontId="8" fillId="0" borderId="2" xfId="2" applyNumberFormat="1" applyFont="1" applyFill="1" applyBorder="1" applyAlignment="1">
      <alignment horizontal="center"/>
    </xf>
    <xf numFmtId="3" fontId="5" fillId="0" borderId="3" xfId="0" applyNumberFormat="1" applyFont="1" applyBorder="1">
      <alignment vertical="top"/>
    </xf>
    <xf numFmtId="3" fontId="8" fillId="0" borderId="13" xfId="2" applyNumberFormat="1" applyFont="1" applyFill="1" applyBorder="1" applyAlignment="1">
      <alignment horizontal="center"/>
    </xf>
    <xf numFmtId="3" fontId="5" fillId="0" borderId="16" xfId="0" applyNumberFormat="1" applyFont="1" applyBorder="1">
      <alignment vertical="top"/>
    </xf>
    <xf numFmtId="3" fontId="5" fillId="0" borderId="19" xfId="2" applyNumberFormat="1" applyFont="1" applyBorder="1"/>
    <xf numFmtId="4" fontId="13" fillId="0" borderId="0" xfId="0" applyFont="1" applyAlignment="1"/>
    <xf numFmtId="4" fontId="14" fillId="0" borderId="0" xfId="0" applyFont="1" applyAlignment="1"/>
    <xf numFmtId="4" fontId="15" fillId="0" borderId="0" xfId="0" applyFont="1" applyAlignment="1"/>
    <xf numFmtId="4" fontId="15" fillId="0" borderId="0" xfId="0" applyFont="1">
      <alignment vertical="top"/>
    </xf>
    <xf numFmtId="4" fontId="26" fillId="0" borderId="0" xfId="0" applyFont="1" applyBorder="1" applyAlignment="1"/>
    <xf numFmtId="4" fontId="25" fillId="0" borderId="0" xfId="0" applyFont="1" applyBorder="1" applyAlignment="1"/>
    <xf numFmtId="4" fontId="11" fillId="0" borderId="0" xfId="0" applyFont="1" applyAlignment="1"/>
    <xf numFmtId="4" fontId="0" fillId="0" borderId="0" xfId="0" applyFont="1">
      <alignment vertical="top"/>
    </xf>
    <xf numFmtId="4" fontId="0" fillId="0" borderId="0" xfId="0" applyFont="1" applyAlignment="1">
      <alignment horizontal="center" vertical="top"/>
    </xf>
    <xf numFmtId="4" fontId="0" fillId="0" borderId="0" xfId="0" applyFont="1" applyFill="1">
      <alignment vertical="top"/>
    </xf>
    <xf numFmtId="4" fontId="17" fillId="0" borderId="0" xfId="0" applyFont="1" applyAlignment="1"/>
    <xf numFmtId="3" fontId="5" fillId="0" borderId="2" xfId="0" applyNumberFormat="1" applyFont="1" applyBorder="1" applyAlignment="1">
      <alignment horizontal="right" vertical="top"/>
    </xf>
    <xf numFmtId="3" fontId="5" fillId="0" borderId="14" xfId="0" applyNumberFormat="1" applyFont="1" applyBorder="1" applyAlignment="1">
      <alignment horizontal="right" vertical="top"/>
    </xf>
    <xf numFmtId="3" fontId="5" fillId="0" borderId="13" xfId="0" applyNumberFormat="1" applyFont="1" applyBorder="1" applyAlignment="1">
      <alignment horizontal="right" vertical="top"/>
    </xf>
    <xf numFmtId="3" fontId="5" fillId="0" borderId="13" xfId="0" applyNumberFormat="1" applyFont="1" applyBorder="1">
      <alignment vertical="top"/>
    </xf>
    <xf numFmtId="3" fontId="5" fillId="0" borderId="2" xfId="0" applyNumberFormat="1" applyFont="1" applyBorder="1">
      <alignment vertical="top"/>
    </xf>
    <xf numFmtId="3" fontId="5" fillId="0" borderId="17" xfId="0" applyNumberFormat="1" applyFont="1" applyBorder="1">
      <alignment vertical="top"/>
    </xf>
    <xf numFmtId="3" fontId="19" fillId="0" borderId="22" xfId="0" applyNumberFormat="1" applyFont="1" applyBorder="1">
      <alignment vertical="top"/>
    </xf>
    <xf numFmtId="3" fontId="19" fillId="0" borderId="20" xfId="0" applyNumberFormat="1" applyFont="1" applyBorder="1">
      <alignment vertical="top"/>
    </xf>
    <xf numFmtId="3" fontId="19" fillId="0" borderId="23" xfId="0" applyNumberFormat="1" applyFont="1" applyBorder="1">
      <alignment vertical="top"/>
    </xf>
    <xf numFmtId="3" fontId="19" fillId="0" borderId="13" xfId="0" applyNumberFormat="1" applyFont="1" applyBorder="1">
      <alignment vertical="top"/>
    </xf>
    <xf numFmtId="3" fontId="19" fillId="0" borderId="2" xfId="0" applyNumberFormat="1" applyFont="1" applyBorder="1">
      <alignment vertical="top"/>
    </xf>
    <xf numFmtId="3" fontId="19" fillId="0" borderId="15" xfId="0" applyNumberFormat="1" applyFont="1" applyBorder="1">
      <alignment vertical="top"/>
    </xf>
    <xf numFmtId="3" fontId="19" fillId="0" borderId="16" xfId="0" applyNumberFormat="1" applyFont="1" applyBorder="1">
      <alignment vertical="top"/>
    </xf>
    <xf numFmtId="3" fontId="19" fillId="0" borderId="3" xfId="0" applyNumberFormat="1" applyFont="1" applyBorder="1">
      <alignment vertical="top"/>
    </xf>
    <xf numFmtId="3" fontId="19" fillId="0" borderId="18" xfId="0" applyNumberFormat="1" applyFont="1" applyBorder="1">
      <alignment vertical="top"/>
    </xf>
    <xf numFmtId="4" fontId="27" fillId="0" borderId="0" xfId="0" applyFont="1" applyAlignment="1"/>
    <xf numFmtId="4" fontId="28" fillId="0" borderId="0" xfId="0" applyFont="1" applyAlignment="1"/>
    <xf numFmtId="4" fontId="29" fillId="0" borderId="0" xfId="0" applyFont="1" applyAlignment="1"/>
    <xf numFmtId="4" fontId="28" fillId="0" borderId="0" xfId="0" applyNumberFormat="1" applyFont="1" applyAlignment="1"/>
    <xf numFmtId="4" fontId="29" fillId="3" borderId="4" xfId="0" applyNumberFormat="1" applyFont="1" applyFill="1" applyBorder="1" applyAlignment="1">
      <alignment horizontal="right" vertical="center" wrapText="1"/>
    </xf>
    <xf numFmtId="4" fontId="28" fillId="0" borderId="0" xfId="0" applyFont="1" applyFill="1" applyAlignment="1"/>
    <xf numFmtId="4" fontId="28" fillId="0" borderId="0" xfId="0" applyNumberFormat="1" applyFont="1" applyFill="1" applyAlignment="1"/>
    <xf numFmtId="4" fontId="28" fillId="0" borderId="1" xfId="0" applyNumberFormat="1" applyFont="1" applyBorder="1" applyAlignment="1">
      <alignment horizontal="right" vertical="top" wrapText="1"/>
    </xf>
    <xf numFmtId="4" fontId="28" fillId="0" borderId="1" xfId="0" applyNumberFormat="1" applyFont="1" applyBorder="1" applyAlignment="1">
      <alignment vertical="top" wrapText="1"/>
    </xf>
    <xf numFmtId="4" fontId="21" fillId="0" borderId="0" xfId="0" applyFont="1" applyAlignment="1"/>
    <xf numFmtId="4" fontId="18" fillId="0" borderId="0" xfId="0" applyFont="1" applyAlignment="1"/>
    <xf numFmtId="4" fontId="21" fillId="0" borderId="0" xfId="0" applyNumberFormat="1" applyFont="1" applyAlignment="1"/>
    <xf numFmtId="4" fontId="18" fillId="2" borderId="4" xfId="0" applyNumberFormat="1" applyFont="1" applyFill="1" applyBorder="1" applyAlignment="1">
      <alignment horizontal="right" vertical="center" wrapText="1"/>
    </xf>
    <xf numFmtId="4" fontId="21" fillId="0" borderId="0" xfId="0" applyFont="1" applyFill="1" applyAlignment="1"/>
    <xf numFmtId="4" fontId="21" fillId="0" borderId="0" xfId="0" applyNumberFormat="1" applyFont="1" applyFill="1" applyAlignment="1"/>
    <xf numFmtId="4" fontId="21" fillId="0" borderId="1" xfId="0" applyNumberFormat="1" applyFont="1" applyBorder="1" applyAlignment="1">
      <alignment horizontal="right" vertical="top" wrapText="1"/>
    </xf>
    <xf numFmtId="4" fontId="18" fillId="0" borderId="0" xfId="0" applyFont="1" applyAlignment="1">
      <alignment horizontal="center"/>
    </xf>
    <xf numFmtId="4" fontId="21" fillId="0" borderId="0" xfId="0" applyFont="1" applyBorder="1" applyAlignment="1"/>
    <xf numFmtId="4" fontId="18" fillId="0" borderId="0" xfId="0" applyFont="1" applyFill="1" applyAlignment="1">
      <alignment horizontal="center"/>
    </xf>
    <xf numFmtId="4" fontId="32" fillId="0" borderId="0" xfId="0" applyFont="1" applyAlignment="1"/>
    <xf numFmtId="4" fontId="3" fillId="0" borderId="0" xfId="0" applyFont="1" applyAlignment="1">
      <alignment horizontal="center" vertical="top"/>
    </xf>
    <xf numFmtId="3" fontId="6" fillId="0" borderId="11" xfId="2" applyNumberFormat="1" applyFont="1" applyBorder="1"/>
    <xf numFmtId="3" fontId="6" fillId="0" borderId="11" xfId="2" applyNumberFormat="1" applyFont="1" applyBorder="1" applyAlignment="1">
      <alignment horizontal="right"/>
    </xf>
    <xf numFmtId="3" fontId="6" fillId="0" borderId="13" xfId="2" applyNumberFormat="1" applyFont="1" applyBorder="1" applyAlignment="1">
      <alignment horizontal="right"/>
    </xf>
    <xf numFmtId="3" fontId="5" fillId="0" borderId="21" xfId="2" applyNumberFormat="1" applyFont="1" applyBorder="1" applyAlignment="1">
      <alignment horizontal="right"/>
    </xf>
    <xf numFmtId="3" fontId="5" fillId="0" borderId="21" xfId="2" applyNumberFormat="1" applyFont="1" applyFill="1" applyBorder="1" applyAlignment="1">
      <alignment horizontal="right"/>
    </xf>
    <xf numFmtId="3" fontId="6" fillId="4" borderId="7" xfId="2" applyNumberFormat="1" applyFont="1" applyFill="1" applyBorder="1"/>
    <xf numFmtId="3" fontId="5" fillId="0" borderId="15" xfId="2" applyNumberFormat="1" applyFont="1" applyFill="1" applyBorder="1" applyAlignment="1"/>
    <xf numFmtId="3" fontId="5" fillId="0" borderId="15" xfId="0" applyNumberFormat="1" applyFont="1" applyBorder="1" applyAlignment="1">
      <alignment vertical="top"/>
    </xf>
    <xf numFmtId="3" fontId="6" fillId="0" borderId="16" xfId="2" applyNumberFormat="1" applyFont="1" applyFill="1" applyBorder="1"/>
    <xf numFmtId="3" fontId="5" fillId="0" borderId="18" xfId="0" applyNumberFormat="1" applyFont="1" applyBorder="1" applyAlignment="1">
      <alignment vertical="top"/>
    </xf>
    <xf numFmtId="4" fontId="8" fillId="4" borderId="3" xfId="2" applyNumberFormat="1" applyFont="1" applyFill="1" applyBorder="1"/>
    <xf numFmtId="164" fontId="34" fillId="9" borderId="4" xfId="2" applyNumberFormat="1" applyFont="1" applyFill="1" applyBorder="1" applyAlignment="1"/>
    <xf numFmtId="3" fontId="34" fillId="9" borderId="25" xfId="2" applyFont="1" applyFill="1" applyBorder="1" applyAlignment="1"/>
    <xf numFmtId="3" fontId="34" fillId="9" borderId="10" xfId="2" applyFont="1" applyFill="1" applyBorder="1" applyAlignment="1"/>
    <xf numFmtId="4" fontId="36" fillId="0" borderId="0" xfId="0" applyFont="1" applyAlignment="1"/>
    <xf numFmtId="4" fontId="24" fillId="0" borderId="0" xfId="0" applyFont="1" applyAlignment="1"/>
    <xf numFmtId="4" fontId="11" fillId="0" borderId="1" xfId="0" applyFont="1" applyBorder="1" applyAlignment="1">
      <alignment horizontal="center" vertical="top" wrapText="1"/>
    </xf>
    <xf numFmtId="4" fontId="28" fillId="0" borderId="1" xfId="0" applyNumberFormat="1" applyFont="1" applyBorder="1" applyAlignment="1">
      <alignment vertical="top"/>
    </xf>
    <xf numFmtId="4" fontId="28" fillId="0" borderId="52" xfId="0" applyNumberFormat="1" applyFont="1" applyBorder="1" applyAlignment="1">
      <alignment vertical="top"/>
    </xf>
    <xf numFmtId="4" fontId="28" fillId="0" borderId="63" xfId="0" applyNumberFormat="1" applyFont="1" applyBorder="1" applyAlignment="1">
      <alignment vertical="top"/>
    </xf>
    <xf numFmtId="4" fontId="28" fillId="0" borderId="1" xfId="0" applyNumberFormat="1" applyFont="1" applyBorder="1" applyAlignment="1">
      <alignment horizontal="right" vertical="center" wrapText="1"/>
    </xf>
    <xf numFmtId="4" fontId="28" fillId="0" borderId="52" xfId="0" applyNumberFormat="1" applyFont="1" applyBorder="1" applyAlignment="1">
      <alignment horizontal="right" vertical="center" wrapText="1"/>
    </xf>
    <xf numFmtId="4" fontId="29" fillId="3" borderId="4" xfId="0" applyNumberFormat="1" applyFont="1" applyFill="1" applyBorder="1" applyAlignment="1">
      <alignment horizontal="right" vertical="top" wrapText="1"/>
    </xf>
    <xf numFmtId="4" fontId="11" fillId="0" borderId="52" xfId="0" applyNumberFormat="1" applyFont="1" applyBorder="1" applyAlignment="1">
      <alignment horizontal="right" vertical="top" wrapText="1"/>
    </xf>
    <xf numFmtId="4" fontId="28" fillId="0" borderId="59" xfId="0" applyNumberFormat="1" applyFont="1" applyBorder="1" applyAlignment="1">
      <alignment vertical="top"/>
    </xf>
    <xf numFmtId="4" fontId="28" fillId="0" borderId="75" xfId="0" applyNumberFormat="1" applyFont="1" applyBorder="1" applyAlignment="1">
      <alignment vertical="top"/>
    </xf>
    <xf numFmtId="4" fontId="21" fillId="0" borderId="63" xfId="0" applyNumberFormat="1" applyFont="1" applyBorder="1" applyAlignment="1">
      <alignment horizontal="right" vertical="top" wrapText="1"/>
    </xf>
    <xf numFmtId="14" fontId="28" fillId="0" borderId="1" xfId="0" applyNumberFormat="1" applyFont="1" applyBorder="1" applyAlignment="1">
      <alignment horizontal="center" vertical="center" wrapText="1"/>
    </xf>
    <xf numFmtId="14" fontId="28" fillId="0" borderId="52" xfId="0" applyNumberFormat="1" applyFont="1" applyBorder="1" applyAlignment="1">
      <alignment horizontal="center" vertical="center" wrapText="1"/>
    </xf>
    <xf numFmtId="4" fontId="21" fillId="0" borderId="59" xfId="0" applyNumberFormat="1" applyFont="1" applyBorder="1" applyAlignment="1">
      <alignment horizontal="right" vertical="top" wrapText="1"/>
    </xf>
    <xf numFmtId="4" fontId="21" fillId="0" borderId="52" xfId="0" applyNumberFormat="1" applyFont="1" applyBorder="1" applyAlignment="1">
      <alignment vertical="top"/>
    </xf>
    <xf numFmtId="4" fontId="21" fillId="0" borderId="75" xfId="0" applyNumberFormat="1" applyFont="1" applyBorder="1" applyAlignment="1">
      <alignment vertical="top"/>
    </xf>
    <xf numFmtId="0" fontId="11" fillId="0" borderId="52" xfId="0" applyNumberFormat="1" applyFont="1" applyBorder="1" applyAlignment="1">
      <alignment horizontal="center" vertical="top" wrapText="1"/>
    </xf>
    <xf numFmtId="14" fontId="11" fillId="0" borderId="52" xfId="0" applyNumberFormat="1" applyFont="1" applyBorder="1" applyAlignment="1">
      <alignment horizontal="center" vertical="top" wrapText="1"/>
    </xf>
    <xf numFmtId="14" fontId="11" fillId="0" borderId="63" xfId="0" applyNumberFormat="1" applyFont="1" applyBorder="1" applyAlignment="1">
      <alignment horizontal="center" vertical="top" wrapText="1"/>
    </xf>
    <xf numFmtId="3" fontId="19" fillId="0" borderId="73" xfId="0" applyNumberFormat="1" applyFont="1" applyBorder="1">
      <alignment vertical="top"/>
    </xf>
    <xf numFmtId="3" fontId="19" fillId="0" borderId="59" xfId="0" applyNumberFormat="1" applyFont="1" applyBorder="1">
      <alignment vertical="top"/>
    </xf>
    <xf numFmtId="3" fontId="19" fillId="0" borderId="65" xfId="0" applyNumberFormat="1" applyFont="1" applyBorder="1">
      <alignment vertical="top"/>
    </xf>
    <xf numFmtId="3" fontId="19" fillId="0" borderId="52" xfId="0" applyNumberFormat="1" applyFont="1" applyBorder="1">
      <alignment vertical="top"/>
    </xf>
    <xf numFmtId="3" fontId="19" fillId="0" borderId="67" xfId="0" applyNumberFormat="1" applyFont="1" applyBorder="1">
      <alignment vertical="top"/>
    </xf>
    <xf numFmtId="14" fontId="28" fillId="0" borderId="52" xfId="0" applyNumberFormat="1" applyFont="1" applyFill="1" applyBorder="1" applyAlignment="1">
      <alignment horizontal="center" vertical="top" wrapText="1"/>
    </xf>
    <xf numFmtId="4" fontId="28" fillId="0" borderId="52" xfId="0" applyNumberFormat="1" applyFont="1" applyBorder="1" applyAlignment="1">
      <alignment horizontal="right" vertical="top" wrapText="1"/>
    </xf>
    <xf numFmtId="4" fontId="29" fillId="0" borderId="0" xfId="0" applyFont="1" applyAlignment="1">
      <alignment vertical="center"/>
    </xf>
    <xf numFmtId="4" fontId="29" fillId="3" borderId="4" xfId="0" applyFont="1" applyFill="1" applyBorder="1" applyAlignment="1">
      <alignment horizontal="center" vertical="center" wrapText="1"/>
    </xf>
    <xf numFmtId="4" fontId="37" fillId="0" borderId="0" xfId="0" applyFont="1" applyAlignment="1"/>
    <xf numFmtId="4" fontId="29" fillId="8" borderId="4" xfId="0" applyFont="1" applyFill="1" applyBorder="1" applyAlignment="1">
      <alignment vertical="center" wrapText="1"/>
    </xf>
    <xf numFmtId="4" fontId="28" fillId="0" borderId="75" xfId="0" applyFont="1" applyBorder="1" applyAlignment="1">
      <alignment vertical="top"/>
    </xf>
    <xf numFmtId="4" fontId="11" fillId="0" borderId="59" xfId="0" applyNumberFormat="1" applyFont="1" applyBorder="1" applyAlignment="1">
      <alignment horizontal="right" vertical="top" wrapText="1"/>
    </xf>
    <xf numFmtId="14" fontId="11" fillId="0" borderId="59" xfId="0" applyNumberFormat="1" applyFont="1" applyBorder="1" applyAlignment="1">
      <alignment horizontal="center" vertical="top" wrapText="1"/>
    </xf>
    <xf numFmtId="3" fontId="5" fillId="0" borderId="65" xfId="2" applyNumberFormat="1" applyFont="1" applyBorder="1" applyAlignment="1">
      <alignment horizontal="right"/>
    </xf>
    <xf numFmtId="3" fontId="5" fillId="0" borderId="52" xfId="2" applyNumberFormat="1" applyFont="1" applyBorder="1" applyAlignment="1">
      <alignment horizontal="right"/>
    </xf>
    <xf numFmtId="4" fontId="5" fillId="0" borderId="52" xfId="2" applyNumberFormat="1" applyFont="1" applyFill="1" applyBorder="1"/>
    <xf numFmtId="3" fontId="5" fillId="0" borderId="66" xfId="2" applyNumberFormat="1" applyFont="1" applyBorder="1" applyAlignment="1">
      <alignment horizontal="right"/>
    </xf>
    <xf numFmtId="3" fontId="5" fillId="0" borderId="67" xfId="2" applyNumberFormat="1" applyFont="1" applyBorder="1" applyAlignment="1">
      <alignment horizontal="right"/>
    </xf>
    <xf numFmtId="3" fontId="5" fillId="0" borderId="68" xfId="2" applyNumberFormat="1" applyFont="1" applyBorder="1" applyAlignment="1">
      <alignment horizontal="right"/>
    </xf>
    <xf numFmtId="4" fontId="28" fillId="0" borderId="0" xfId="0" applyFont="1" applyBorder="1" applyAlignment="1"/>
    <xf numFmtId="4" fontId="11" fillId="0" borderId="52" xfId="0" applyFont="1" applyBorder="1" applyAlignment="1">
      <alignment horizontal="center" vertical="top" wrapText="1"/>
    </xf>
    <xf numFmtId="4" fontId="28" fillId="0" borderId="63" xfId="0" applyNumberFormat="1" applyFont="1" applyBorder="1" applyAlignment="1">
      <alignment horizontal="right" vertical="top" wrapText="1"/>
    </xf>
    <xf numFmtId="0" fontId="28" fillId="0" borderId="1" xfId="0" applyNumberFormat="1" applyFont="1" applyBorder="1" applyAlignment="1">
      <alignment horizontal="center" vertical="top" wrapText="1"/>
    </xf>
    <xf numFmtId="0" fontId="28" fillId="0" borderId="52" xfId="0" applyNumberFormat="1" applyFont="1" applyBorder="1" applyAlignment="1">
      <alignment horizontal="center" vertical="top" wrapText="1"/>
    </xf>
    <xf numFmtId="0" fontId="28" fillId="0" borderId="63" xfId="0" applyNumberFormat="1" applyFont="1" applyBorder="1" applyAlignment="1">
      <alignment horizontal="center" vertical="top" wrapText="1"/>
    </xf>
    <xf numFmtId="3" fontId="6" fillId="4" borderId="10" xfId="2" applyFont="1" applyFill="1" applyBorder="1" applyAlignment="1">
      <alignment horizontal="center"/>
    </xf>
    <xf numFmtId="3" fontId="6" fillId="0" borderId="69" xfId="2" applyFont="1" applyBorder="1" applyAlignment="1">
      <alignment horizontal="center"/>
    </xf>
    <xf numFmtId="49" fontId="6" fillId="4" borderId="84" xfId="2" applyNumberFormat="1" applyFont="1" applyFill="1" applyBorder="1" applyAlignment="1">
      <alignment horizontal="center"/>
    </xf>
    <xf numFmtId="3" fontId="9" fillId="0" borderId="70" xfId="2" applyFont="1" applyBorder="1" applyAlignment="1">
      <alignment horizontal="center"/>
    </xf>
    <xf numFmtId="49" fontId="6" fillId="4" borderId="35" xfId="2" applyNumberFormat="1" applyFont="1" applyFill="1" applyBorder="1" applyAlignment="1">
      <alignment horizontal="center"/>
    </xf>
    <xf numFmtId="3" fontId="9" fillId="0" borderId="81" xfId="2" applyFont="1" applyBorder="1" applyAlignment="1">
      <alignment horizontal="center"/>
    </xf>
    <xf numFmtId="3" fontId="39" fillId="0" borderId="67" xfId="2" applyFont="1" applyBorder="1" applyAlignment="1">
      <alignment horizontal="left"/>
    </xf>
    <xf numFmtId="3" fontId="9" fillId="0" borderId="68" xfId="2" applyFont="1" applyBorder="1" applyAlignment="1">
      <alignment horizontal="left"/>
    </xf>
    <xf numFmtId="49" fontId="6" fillId="4" borderId="85" xfId="2" applyNumberFormat="1" applyFont="1" applyFill="1" applyBorder="1" applyAlignment="1">
      <alignment horizontal="center"/>
    </xf>
    <xf numFmtId="49" fontId="6" fillId="4" borderId="4" xfId="2" applyNumberFormat="1" applyFont="1" applyFill="1" applyBorder="1" applyAlignment="1">
      <alignment horizontal="center"/>
    </xf>
    <xf numFmtId="3" fontId="6" fillId="0" borderId="69" xfId="2" applyFont="1" applyFill="1" applyBorder="1" applyAlignment="1">
      <alignment horizontal="center"/>
    </xf>
    <xf numFmtId="49" fontId="6" fillId="4" borderId="37" xfId="2" applyNumberFormat="1" applyFont="1" applyFill="1" applyBorder="1" applyAlignment="1">
      <alignment horizontal="center"/>
    </xf>
    <xf numFmtId="3" fontId="6" fillId="0" borderId="70" xfId="2" applyFont="1" applyBorder="1" applyAlignment="1">
      <alignment horizontal="center"/>
    </xf>
    <xf numFmtId="3" fontId="6" fillId="0" borderId="65" xfId="2" applyFont="1" applyBorder="1" applyAlignment="1">
      <alignment horizontal="left"/>
    </xf>
    <xf numFmtId="3" fontId="6" fillId="0" borderId="66" xfId="2" applyFont="1" applyBorder="1" applyAlignment="1">
      <alignment horizontal="left"/>
    </xf>
    <xf numFmtId="3" fontId="6" fillId="0" borderId="81" xfId="2" applyFont="1" applyFill="1" applyBorder="1" applyAlignment="1">
      <alignment horizontal="center"/>
    </xf>
    <xf numFmtId="3" fontId="6" fillId="0" borderId="67" xfId="2" applyFont="1" applyFill="1" applyBorder="1" applyAlignment="1">
      <alignment horizontal="left"/>
    </xf>
    <xf numFmtId="3" fontId="6" fillId="0" borderId="68" xfId="2" applyFont="1" applyFill="1" applyBorder="1" applyAlignment="1">
      <alignment horizontal="left"/>
    </xf>
    <xf numFmtId="49" fontId="6" fillId="4" borderId="36" xfId="2" applyNumberFormat="1" applyFont="1" applyFill="1" applyBorder="1" applyAlignment="1">
      <alignment horizontal="center"/>
    </xf>
    <xf numFmtId="3" fontId="7" fillId="0" borderId="69" xfId="2" applyFont="1" applyBorder="1" applyAlignment="1">
      <alignment horizontal="center"/>
    </xf>
    <xf numFmtId="49" fontId="7" fillId="4" borderId="37" xfId="2" applyNumberFormat="1" applyFont="1" applyFill="1" applyBorder="1" applyAlignment="1">
      <alignment horizontal="center"/>
    </xf>
    <xf numFmtId="4" fontId="7" fillId="0" borderId="70" xfId="2" applyNumberFormat="1" applyFont="1" applyBorder="1" applyAlignment="1">
      <alignment horizontal="center"/>
    </xf>
    <xf numFmtId="4" fontId="7" fillId="4" borderId="35" xfId="2" applyNumberFormat="1" applyFont="1" applyFill="1" applyBorder="1" applyAlignment="1">
      <alignment horizontal="center"/>
    </xf>
    <xf numFmtId="3" fontId="7" fillId="0" borderId="81" xfId="2" applyFont="1" applyBorder="1" applyAlignment="1">
      <alignment horizontal="center"/>
    </xf>
    <xf numFmtId="49" fontId="7" fillId="4" borderId="36" xfId="2" applyNumberFormat="1" applyFont="1" applyFill="1" applyBorder="1" applyAlignment="1">
      <alignment horizontal="center"/>
    </xf>
    <xf numFmtId="3" fontId="6" fillId="0" borderId="64" xfId="2" applyNumberFormat="1" applyFont="1" applyBorder="1"/>
    <xf numFmtId="3" fontId="5" fillId="0" borderId="55" xfId="2" applyNumberFormat="1" applyFont="1" applyBorder="1"/>
    <xf numFmtId="3" fontId="5" fillId="0" borderId="64" xfId="2" applyNumberFormat="1" applyFont="1" applyBorder="1"/>
    <xf numFmtId="3" fontId="9" fillId="0" borderId="65" xfId="2" applyNumberFormat="1" applyFont="1" applyBorder="1" applyAlignment="1">
      <alignment horizontal="right"/>
    </xf>
    <xf numFmtId="3" fontId="5" fillId="0" borderId="52" xfId="2" applyNumberFormat="1" applyFont="1" applyFill="1" applyBorder="1" applyAlignment="1">
      <alignment horizontal="right"/>
    </xf>
    <xf numFmtId="3" fontId="5" fillId="0" borderId="50" xfId="2" applyNumberFormat="1" applyFont="1" applyBorder="1" applyAlignment="1">
      <alignment horizontal="right"/>
    </xf>
    <xf numFmtId="3" fontId="9" fillId="0" borderId="67" xfId="2" applyNumberFormat="1" applyFont="1" applyBorder="1" applyAlignment="1">
      <alignment horizontal="right"/>
    </xf>
    <xf numFmtId="3" fontId="5" fillId="0" borderId="63" xfId="2" applyNumberFormat="1" applyFont="1" applyFill="1" applyBorder="1" applyAlignment="1">
      <alignment horizontal="right"/>
    </xf>
    <xf numFmtId="4" fontId="5" fillId="0" borderId="63" xfId="2" applyNumberFormat="1" applyFont="1" applyFill="1" applyBorder="1"/>
    <xf numFmtId="3" fontId="5" fillId="0" borderId="60" xfId="2" applyNumberFormat="1" applyFont="1" applyBorder="1" applyAlignment="1">
      <alignment horizontal="right"/>
    </xf>
    <xf numFmtId="3" fontId="5" fillId="0" borderId="63" xfId="2" applyNumberFormat="1" applyFont="1" applyBorder="1" applyAlignment="1">
      <alignment horizontal="right"/>
    </xf>
    <xf numFmtId="3" fontId="6" fillId="0" borderId="64" xfId="2" applyNumberFormat="1" applyFont="1" applyBorder="1" applyAlignment="1">
      <alignment horizontal="right"/>
    </xf>
    <xf numFmtId="3" fontId="5" fillId="0" borderId="55" xfId="2" applyNumberFormat="1" applyFont="1" applyFill="1" applyBorder="1" applyAlignment="1">
      <alignment horizontal="right"/>
    </xf>
    <xf numFmtId="3" fontId="5" fillId="0" borderId="64" xfId="2" applyNumberFormat="1" applyFont="1" applyFill="1" applyBorder="1"/>
    <xf numFmtId="3" fontId="5" fillId="0" borderId="55" xfId="2" applyNumberFormat="1" applyFont="1" applyFill="1" applyBorder="1"/>
    <xf numFmtId="3" fontId="6" fillId="0" borderId="65" xfId="2" applyNumberFormat="1" applyFont="1" applyBorder="1" applyAlignment="1">
      <alignment horizontal="right"/>
    </xf>
    <xf numFmtId="3" fontId="6" fillId="0" borderId="65" xfId="2" applyNumberFormat="1" applyFont="1" applyBorder="1" applyAlignment="1"/>
    <xf numFmtId="3" fontId="5" fillId="0" borderId="65" xfId="2" applyNumberFormat="1" applyFont="1" applyBorder="1" applyAlignment="1"/>
    <xf numFmtId="3" fontId="5" fillId="0" borderId="52" xfId="2" applyNumberFormat="1" applyFont="1" applyBorder="1" applyAlignment="1"/>
    <xf numFmtId="3" fontId="5" fillId="0" borderId="66" xfId="2" applyNumberFormat="1" applyFont="1" applyBorder="1" applyAlignment="1"/>
    <xf numFmtId="3" fontId="5" fillId="0" borderId="52" xfId="2" applyNumberFormat="1" applyFont="1" applyFill="1" applyBorder="1"/>
    <xf numFmtId="3" fontId="5" fillId="0" borderId="50" xfId="2" applyNumberFormat="1" applyFont="1" applyFill="1" applyBorder="1" applyAlignment="1">
      <alignment horizontal="right"/>
    </xf>
    <xf numFmtId="3" fontId="5" fillId="0" borderId="65" xfId="2" applyNumberFormat="1" applyFont="1" applyFill="1" applyBorder="1"/>
    <xf numFmtId="3" fontId="5" fillId="0" borderId="50" xfId="2" applyNumberFormat="1" applyFont="1" applyFill="1" applyBorder="1"/>
    <xf numFmtId="3" fontId="5" fillId="0" borderId="66" xfId="2" applyNumberFormat="1" applyFont="1" applyFill="1" applyBorder="1"/>
    <xf numFmtId="3" fontId="5" fillId="0" borderId="65" xfId="2" applyNumberFormat="1" applyFont="1" applyFill="1" applyBorder="1" applyAlignment="1">
      <alignment horizontal="right"/>
    </xf>
    <xf numFmtId="3" fontId="5" fillId="0" borderId="66" xfId="2" applyNumberFormat="1" applyFont="1" applyFill="1" applyBorder="1" applyAlignment="1">
      <alignment horizontal="right"/>
    </xf>
    <xf numFmtId="3" fontId="8" fillId="0" borderId="52" xfId="2" applyNumberFormat="1" applyFont="1" applyFill="1" applyBorder="1" applyAlignment="1">
      <alignment horizontal="center"/>
    </xf>
    <xf numFmtId="3" fontId="5" fillId="0" borderId="67" xfId="0" applyNumberFormat="1" applyFont="1" applyBorder="1">
      <alignment vertical="top"/>
    </xf>
    <xf numFmtId="3" fontId="5" fillId="0" borderId="63" xfId="0" applyNumberFormat="1" applyFont="1" applyBorder="1">
      <alignment vertical="top"/>
    </xf>
    <xf numFmtId="3" fontId="5" fillId="0" borderId="68" xfId="0" applyNumberFormat="1" applyFont="1" applyBorder="1">
      <alignment vertical="top"/>
    </xf>
    <xf numFmtId="3" fontId="5" fillId="0" borderId="52" xfId="0" applyNumberFormat="1" applyFont="1" applyBorder="1" applyAlignment="1">
      <alignment horizontal="right" vertical="top"/>
    </xf>
    <xf numFmtId="3" fontId="5" fillId="0" borderId="50" xfId="0" applyNumberFormat="1" applyFont="1" applyBorder="1" applyAlignment="1">
      <alignment horizontal="right" vertical="top"/>
    </xf>
    <xf numFmtId="3" fontId="5" fillId="0" borderId="65" xfId="0" applyNumberFormat="1" applyFont="1" applyBorder="1" applyAlignment="1">
      <alignment horizontal="right" vertical="top"/>
    </xf>
    <xf numFmtId="3" fontId="5" fillId="0" borderId="65" xfId="0" applyNumberFormat="1" applyFont="1" applyBorder="1">
      <alignment vertical="top"/>
    </xf>
    <xf numFmtId="3" fontId="5" fillId="0" borderId="52" xfId="0" applyNumberFormat="1" applyFont="1" applyBorder="1">
      <alignment vertical="top"/>
    </xf>
    <xf numFmtId="3" fontId="5" fillId="0" borderId="66" xfId="0" applyNumberFormat="1" applyFont="1" applyBorder="1">
      <alignment vertical="top"/>
    </xf>
    <xf numFmtId="3" fontId="6" fillId="0" borderId="67" xfId="2" applyNumberFormat="1" applyFont="1" applyFill="1" applyBorder="1"/>
    <xf numFmtId="3" fontId="5" fillId="0" borderId="60" xfId="0" applyNumberFormat="1" applyFont="1" applyBorder="1">
      <alignment vertical="top"/>
    </xf>
    <xf numFmtId="4" fontId="8" fillId="0" borderId="52" xfId="2" applyNumberFormat="1" applyFont="1" applyFill="1" applyBorder="1"/>
    <xf numFmtId="4" fontId="8" fillId="0" borderId="63" xfId="2" applyNumberFormat="1" applyFont="1" applyFill="1" applyBorder="1"/>
    <xf numFmtId="3" fontId="6" fillId="0" borderId="65" xfId="2" applyFont="1" applyBorder="1" applyAlignment="1">
      <alignment horizontal="left"/>
    </xf>
    <xf numFmtId="3" fontId="6" fillId="0" borderId="66" xfId="2" applyFont="1" applyBorder="1" applyAlignment="1">
      <alignment horizontal="left"/>
    </xf>
    <xf numFmtId="3" fontId="8" fillId="0" borderId="65" xfId="2" applyNumberFormat="1" applyFont="1" applyFill="1" applyBorder="1" applyAlignment="1">
      <alignment horizontal="center"/>
    </xf>
    <xf numFmtId="3" fontId="8" fillId="0" borderId="66" xfId="2" applyNumberFormat="1" applyFont="1" applyFill="1" applyBorder="1" applyAlignment="1">
      <alignment horizontal="center"/>
    </xf>
    <xf numFmtId="49" fontId="6" fillId="4" borderId="34" xfId="2" applyNumberFormat="1" applyFont="1" applyFill="1" applyBorder="1" applyAlignment="1">
      <alignment horizontal="center"/>
    </xf>
    <xf numFmtId="3" fontId="6" fillId="0" borderId="67" xfId="2" applyNumberFormat="1" applyFont="1" applyBorder="1" applyAlignment="1">
      <alignment horizontal="right"/>
    </xf>
    <xf numFmtId="3" fontId="5" fillId="0" borderId="62" xfId="0" applyNumberFormat="1" applyFont="1" applyBorder="1">
      <alignment vertical="top"/>
    </xf>
    <xf numFmtId="3" fontId="5" fillId="0" borderId="62" xfId="2" applyNumberFormat="1" applyFont="1" applyBorder="1" applyAlignment="1">
      <alignment horizontal="right"/>
    </xf>
    <xf numFmtId="3" fontId="6" fillId="0" borderId="65" xfId="2" applyNumberFormat="1" applyFont="1" applyFill="1" applyBorder="1" applyAlignment="1"/>
    <xf numFmtId="3" fontId="5" fillId="0" borderId="52" xfId="2" applyNumberFormat="1" applyFont="1" applyFill="1" applyBorder="1" applyAlignment="1"/>
    <xf numFmtId="3" fontId="5" fillId="0" borderId="66" xfId="2" applyNumberFormat="1" applyFont="1" applyFill="1" applyBorder="1" applyAlignment="1"/>
    <xf numFmtId="3" fontId="6" fillId="0" borderId="65" xfId="2" applyNumberFormat="1" applyFont="1" applyFill="1" applyBorder="1" applyAlignment="1">
      <alignment horizontal="right"/>
    </xf>
    <xf numFmtId="3" fontId="5" fillId="0" borderId="66" xfId="2" applyNumberFormat="1" applyFont="1" applyFill="1" applyBorder="1" applyAlignment="1">
      <alignment horizontal="center"/>
    </xf>
    <xf numFmtId="3" fontId="19" fillId="0" borderId="74" xfId="0" applyNumberFormat="1" applyFont="1" applyBorder="1">
      <alignment vertical="top"/>
    </xf>
    <xf numFmtId="3" fontId="19" fillId="0" borderId="66" xfId="0" applyNumberFormat="1" applyFont="1" applyBorder="1">
      <alignment vertical="top"/>
    </xf>
    <xf numFmtId="3" fontId="19" fillId="0" borderId="63" xfId="0" applyNumberFormat="1" applyFont="1" applyBorder="1">
      <alignment vertical="top"/>
    </xf>
    <xf numFmtId="3" fontId="19" fillId="0" borderId="68" xfId="0" applyNumberFormat="1" applyFont="1" applyBorder="1">
      <alignment vertical="top"/>
    </xf>
    <xf numFmtId="3" fontId="6" fillId="0" borderId="65" xfId="2" applyFont="1" applyBorder="1" applyAlignment="1">
      <alignment horizontal="left"/>
    </xf>
    <xf numFmtId="3" fontId="6" fillId="0" borderId="66" xfId="2" applyFont="1" applyBorder="1" applyAlignment="1">
      <alignment horizontal="left"/>
    </xf>
    <xf numFmtId="3" fontId="6" fillId="0" borderId="65" xfId="2" applyFont="1" applyBorder="1" applyAlignment="1">
      <alignment horizontal="left"/>
    </xf>
    <xf numFmtId="3" fontId="6" fillId="0" borderId="66" xfId="2" applyFont="1" applyBorder="1" applyAlignment="1">
      <alignment horizontal="left"/>
    </xf>
    <xf numFmtId="3" fontId="6" fillId="0" borderId="65" xfId="2" applyFont="1" applyBorder="1" applyAlignment="1">
      <alignment horizontal="left"/>
    </xf>
    <xf numFmtId="3" fontId="6" fillId="0" borderId="66" xfId="2" applyFont="1" applyBorder="1" applyAlignment="1">
      <alignment horizontal="left"/>
    </xf>
    <xf numFmtId="3" fontId="6" fillId="0" borderId="65" xfId="2" applyFont="1" applyBorder="1" applyAlignment="1">
      <alignment horizontal="left"/>
    </xf>
    <xf numFmtId="3" fontId="6" fillId="0" borderId="66" xfId="2" applyFont="1" applyBorder="1" applyAlignment="1">
      <alignment horizontal="left"/>
    </xf>
    <xf numFmtId="3" fontId="5" fillId="0" borderId="63" xfId="0" applyNumberFormat="1" applyFont="1" applyBorder="1" applyAlignment="1">
      <alignment horizontal="right" vertical="top"/>
    </xf>
    <xf numFmtId="3" fontId="5" fillId="0" borderId="67" xfId="0" applyNumberFormat="1" applyFont="1" applyBorder="1" applyAlignment="1">
      <alignment horizontal="right" vertical="top"/>
    </xf>
    <xf numFmtId="4" fontId="5" fillId="0" borderId="52" xfId="2" applyNumberFormat="1" applyFont="1" applyFill="1" applyBorder="1" applyAlignment="1">
      <alignment horizontal="right"/>
    </xf>
    <xf numFmtId="4" fontId="5" fillId="0" borderId="63" xfId="2" applyNumberFormat="1" applyFont="1" applyFill="1" applyBorder="1" applyAlignment="1">
      <alignment horizontal="right"/>
    </xf>
    <xf numFmtId="3" fontId="5" fillId="0" borderId="68" xfId="0" applyNumberFormat="1" applyFont="1" applyBorder="1" applyAlignment="1">
      <alignment horizontal="right" vertical="top"/>
    </xf>
    <xf numFmtId="4" fontId="5" fillId="4" borderId="6" xfId="2" applyNumberFormat="1" applyFont="1" applyFill="1" applyBorder="1" applyAlignment="1">
      <alignment horizontal="right"/>
    </xf>
    <xf numFmtId="3" fontId="5" fillId="0" borderId="66" xfId="0" applyNumberFormat="1" applyFont="1" applyBorder="1" applyAlignment="1">
      <alignment horizontal="right" vertical="top"/>
    </xf>
    <xf numFmtId="4" fontId="5" fillId="0" borderId="52" xfId="2" applyNumberFormat="1" applyFont="1" applyFill="1" applyBorder="1" applyAlignment="1"/>
    <xf numFmtId="3" fontId="38" fillId="0" borderId="52" xfId="2" applyNumberFormat="1" applyFont="1" applyFill="1" applyBorder="1" applyAlignment="1"/>
    <xf numFmtId="4" fontId="5" fillId="0" borderId="51" xfId="2" applyNumberFormat="1" applyFont="1" applyFill="1" applyBorder="1" applyAlignment="1"/>
    <xf numFmtId="3" fontId="5" fillId="0" borderId="52" xfId="0" applyNumberFormat="1" applyFont="1" applyBorder="1" applyAlignment="1">
      <alignment vertical="top"/>
    </xf>
    <xf numFmtId="3" fontId="6" fillId="4" borderId="4" xfId="2" applyNumberFormat="1" applyFont="1" applyFill="1" applyBorder="1" applyAlignment="1"/>
    <xf numFmtId="4" fontId="5" fillId="4" borderId="6" xfId="2" applyNumberFormat="1" applyFont="1" applyFill="1" applyBorder="1" applyAlignment="1"/>
    <xf numFmtId="3" fontId="19" fillId="0" borderId="57" xfId="0" applyNumberFormat="1" applyFont="1" applyBorder="1">
      <alignment vertical="top"/>
    </xf>
    <xf numFmtId="3" fontId="19" fillId="0" borderId="1" xfId="0" applyNumberFormat="1" applyFont="1" applyBorder="1">
      <alignment vertical="top"/>
    </xf>
    <xf numFmtId="3" fontId="5" fillId="0" borderId="64" xfId="2" applyNumberFormat="1" applyFont="1" applyFill="1" applyBorder="1" applyAlignment="1">
      <alignment horizontal="right"/>
    </xf>
    <xf numFmtId="3" fontId="5" fillId="0" borderId="1" xfId="2" applyNumberFormat="1" applyFont="1" applyFill="1" applyBorder="1" applyAlignment="1">
      <alignment horizontal="right"/>
    </xf>
    <xf numFmtId="4" fontId="5" fillId="0" borderId="1" xfId="2" applyNumberFormat="1" applyFont="1" applyFill="1" applyBorder="1" applyAlignment="1">
      <alignment horizontal="right"/>
    </xf>
    <xf numFmtId="3" fontId="6" fillId="0" borderId="65" xfId="2" applyFont="1" applyBorder="1" applyAlignment="1">
      <alignment horizontal="left"/>
    </xf>
    <xf numFmtId="3" fontId="6" fillId="0" borderId="66" xfId="2" applyFont="1" applyBorder="1" applyAlignment="1">
      <alignment horizontal="left"/>
    </xf>
    <xf numFmtId="4" fontId="27" fillId="7" borderId="0" xfId="0" applyFont="1" applyFill="1" applyAlignment="1">
      <alignment horizontal="left"/>
    </xf>
    <xf numFmtId="4" fontId="29" fillId="4" borderId="4" xfId="0" applyFont="1" applyFill="1" applyBorder="1" applyAlignment="1">
      <alignment horizontal="center"/>
    </xf>
    <xf numFmtId="4" fontId="29" fillId="4" borderId="4" xfId="0" applyFont="1" applyFill="1" applyBorder="1" applyAlignment="1">
      <alignment horizontal="center"/>
    </xf>
    <xf numFmtId="4" fontId="29" fillId="0" borderId="0" xfId="0" applyFont="1" applyAlignment="1">
      <alignment horizontal="center"/>
    </xf>
    <xf numFmtId="4" fontId="29" fillId="3" borderId="4" xfId="0" applyNumberFormat="1" applyFont="1" applyFill="1" applyBorder="1" applyAlignment="1">
      <alignment vertical="top"/>
    </xf>
    <xf numFmtId="4" fontId="29" fillId="3" borderId="59" xfId="0" applyNumberFormat="1" applyFont="1" applyFill="1" applyBorder="1" applyAlignment="1">
      <alignment vertical="top"/>
    </xf>
    <xf numFmtId="4" fontId="29" fillId="3" borderId="52" xfId="0" applyNumberFormat="1" applyFont="1" applyFill="1" applyBorder="1" applyAlignment="1">
      <alignment vertical="top"/>
    </xf>
    <xf numFmtId="4" fontId="29" fillId="0" borderId="27" xfId="0" applyFont="1" applyFill="1" applyBorder="1" applyAlignment="1"/>
    <xf numFmtId="4" fontId="29" fillId="0" borderId="0" xfId="0" applyFont="1" applyFill="1" applyBorder="1" applyAlignment="1"/>
    <xf numFmtId="4" fontId="29" fillId="3" borderId="1" xfId="0" applyFont="1" applyFill="1" applyBorder="1" applyAlignment="1">
      <alignment vertical="top"/>
    </xf>
    <xf numFmtId="4" fontId="29" fillId="5" borderId="1" xfId="0" applyFont="1" applyFill="1" applyBorder="1" applyAlignment="1">
      <alignment vertical="center"/>
    </xf>
    <xf numFmtId="4" fontId="29" fillId="0" borderId="1" xfId="0" applyNumberFormat="1" applyFont="1" applyBorder="1" applyAlignment="1">
      <alignment vertical="top"/>
    </xf>
    <xf numFmtId="4" fontId="31" fillId="0" borderId="88" xfId="0" applyFont="1" applyFill="1" applyBorder="1" applyAlignment="1"/>
    <xf numFmtId="4" fontId="31" fillId="0" borderId="0" xfId="0" applyFont="1" applyFill="1" applyBorder="1" applyAlignment="1"/>
    <xf numFmtId="4" fontId="29" fillId="0" borderId="52" xfId="0" applyFont="1" applyBorder="1" applyAlignment="1">
      <alignment vertical="top"/>
    </xf>
    <xf numFmtId="4" fontId="29" fillId="0" borderId="52" xfId="0" applyNumberFormat="1" applyFont="1" applyFill="1" applyBorder="1" applyAlignment="1">
      <alignment horizontal="right" vertical="top"/>
    </xf>
    <xf numFmtId="4" fontId="28" fillId="0" borderId="88" xfId="0" applyNumberFormat="1" applyFont="1" applyFill="1" applyBorder="1" applyAlignment="1">
      <alignment horizontal="left"/>
    </xf>
    <xf numFmtId="4" fontId="28" fillId="0" borderId="0" xfId="0" applyNumberFormat="1" applyFont="1" applyFill="1" applyBorder="1" applyAlignment="1">
      <alignment horizontal="left"/>
    </xf>
    <xf numFmtId="4" fontId="29" fillId="0" borderId="75" xfId="0" applyFont="1" applyBorder="1" applyAlignment="1">
      <alignment vertical="top"/>
    </xf>
    <xf numFmtId="4" fontId="29" fillId="0" borderId="75" xfId="0" applyNumberFormat="1" applyFont="1" applyBorder="1" applyAlignment="1">
      <alignment vertical="top"/>
    </xf>
    <xf numFmtId="4" fontId="31" fillId="0" borderId="88" xfId="0" applyFont="1" applyFill="1" applyBorder="1" applyAlignment="1">
      <alignment vertical="center" wrapText="1"/>
    </xf>
    <xf numFmtId="4" fontId="31" fillId="0" borderId="0" xfId="0" applyFont="1" applyFill="1" applyBorder="1" applyAlignment="1">
      <alignment vertical="center" wrapText="1"/>
    </xf>
    <xf numFmtId="4" fontId="29" fillId="3" borderId="4" xfId="0" applyFont="1" applyFill="1" applyBorder="1" applyAlignment="1">
      <alignment horizontal="left" vertical="top"/>
    </xf>
    <xf numFmtId="4" fontId="29" fillId="5" borderId="4" xfId="0" applyFont="1" applyFill="1" applyBorder="1" applyAlignment="1">
      <alignment vertical="center"/>
    </xf>
    <xf numFmtId="4" fontId="31" fillId="0" borderId="0" xfId="0" applyFont="1" applyFill="1" applyBorder="1" applyAlignment="1">
      <alignment horizontal="left" vertical="center" wrapText="1"/>
    </xf>
    <xf numFmtId="4" fontId="29" fillId="0" borderId="0" xfId="0" applyFont="1" applyFill="1" applyBorder="1" applyAlignment="1">
      <alignment vertical="center"/>
    </xf>
    <xf numFmtId="4" fontId="28" fillId="0" borderId="0" xfId="0" applyFont="1" applyFill="1" applyBorder="1" applyAlignment="1"/>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vertical="center" wrapText="1"/>
    </xf>
    <xf numFmtId="4" fontId="29" fillId="4" borderId="4" xfId="0" applyFont="1" applyFill="1" applyBorder="1" applyAlignment="1">
      <alignment horizontal="center" vertical="center" wrapText="1"/>
    </xf>
    <xf numFmtId="4" fontId="29" fillId="0" borderId="0" xfId="0" applyFont="1" applyFill="1" applyAlignment="1">
      <alignment horizontal="center"/>
    </xf>
    <xf numFmtId="4" fontId="29" fillId="0" borderId="1" xfId="0" applyFont="1" applyBorder="1" applyAlignment="1">
      <alignment vertical="top"/>
    </xf>
    <xf numFmtId="4" fontId="29" fillId="0" borderId="63" xfId="0" applyFont="1" applyBorder="1" applyAlignment="1">
      <alignment vertical="top"/>
    </xf>
    <xf numFmtId="4" fontId="29" fillId="4" borderId="4" xfId="0" applyNumberFormat="1" applyFont="1" applyFill="1" applyBorder="1" applyAlignment="1">
      <alignment horizontal="center"/>
    </xf>
    <xf numFmtId="4" fontId="31" fillId="0" borderId="59" xfId="0" applyFont="1" applyBorder="1" applyAlignment="1">
      <alignment vertical="top"/>
    </xf>
    <xf numFmtId="0" fontId="28" fillId="0" borderId="1" xfId="0" applyNumberFormat="1" applyFont="1" applyBorder="1" applyAlignment="1">
      <alignment vertical="top"/>
    </xf>
    <xf numFmtId="4" fontId="29" fillId="3" borderId="4" xfId="0" applyFont="1" applyFill="1" applyBorder="1" applyAlignment="1">
      <alignment vertical="center"/>
    </xf>
    <xf numFmtId="4" fontId="29" fillId="3" borderId="4" xfId="0" applyNumberFormat="1" applyFont="1" applyFill="1" applyBorder="1" applyAlignment="1">
      <alignment vertical="center"/>
    </xf>
    <xf numFmtId="4" fontId="29" fillId="4" borderId="4" xfId="0" applyNumberFormat="1" applyFont="1" applyFill="1" applyBorder="1" applyAlignment="1">
      <alignment horizontal="center"/>
    </xf>
    <xf numFmtId="4" fontId="28" fillId="0" borderId="1" xfId="0" applyFont="1" applyBorder="1" applyAlignment="1">
      <alignment horizontal="center" vertical="top"/>
    </xf>
    <xf numFmtId="4" fontId="28" fillId="0" borderId="59" xfId="0" applyNumberFormat="1" applyFont="1" applyBorder="1" applyAlignment="1">
      <alignment horizontal="right" vertical="top"/>
    </xf>
    <xf numFmtId="4" fontId="29" fillId="5" borderId="4" xfId="0" applyFont="1" applyFill="1" applyBorder="1" applyAlignment="1">
      <alignment vertical="center" wrapText="1"/>
    </xf>
    <xf numFmtId="4" fontId="31" fillId="0" borderId="59" xfId="0" applyFont="1" applyBorder="1" applyAlignment="1">
      <alignment horizontal="center" vertical="top" wrapText="1"/>
    </xf>
    <xf numFmtId="4" fontId="11" fillId="0" borderId="1" xfId="0" applyFont="1" applyBorder="1" applyAlignment="1">
      <alignment horizontal="center" vertical="top"/>
    </xf>
    <xf numFmtId="4" fontId="11" fillId="0" borderId="1" xfId="0" applyNumberFormat="1" applyFont="1" applyBorder="1" applyAlignment="1">
      <alignment horizontal="right" vertical="top"/>
    </xf>
    <xf numFmtId="14" fontId="11" fillId="0" borderId="1" xfId="0" applyNumberFormat="1" applyFont="1" applyBorder="1" applyAlignment="1">
      <alignment horizontal="center" vertical="top"/>
    </xf>
    <xf numFmtId="4" fontId="11" fillId="0" borderId="52" xfId="0" applyFont="1" applyBorder="1" applyAlignment="1">
      <alignment horizontal="center" vertical="top"/>
    </xf>
    <xf numFmtId="4" fontId="11" fillId="0" borderId="52" xfId="0" applyNumberFormat="1" applyFont="1" applyBorder="1" applyAlignment="1">
      <alignment horizontal="right" vertical="top"/>
    </xf>
    <xf numFmtId="14" fontId="11" fillId="0" borderId="52" xfId="0" applyNumberFormat="1" applyFont="1" applyBorder="1" applyAlignment="1">
      <alignment horizontal="center" vertical="top"/>
    </xf>
    <xf numFmtId="4" fontId="11" fillId="0" borderId="63" xfId="0" applyFont="1" applyBorder="1" applyAlignment="1">
      <alignment horizontal="center" vertical="top"/>
    </xf>
    <xf numFmtId="4" fontId="11" fillId="0" borderId="63" xfId="0" applyNumberFormat="1" applyFont="1" applyBorder="1" applyAlignment="1">
      <alignment horizontal="right" vertical="top"/>
    </xf>
    <xf numFmtId="14" fontId="11" fillId="0" borderId="63" xfId="0" applyNumberFormat="1" applyFont="1" applyBorder="1" applyAlignment="1">
      <alignment horizontal="center" vertical="top"/>
    </xf>
    <xf numFmtId="4" fontId="29" fillId="4" borderId="4" xfId="0" applyFont="1" applyFill="1" applyBorder="1" applyAlignment="1">
      <alignment horizontal="center"/>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3" borderId="4" xfId="0" applyFont="1" applyFill="1" applyBorder="1" applyAlignment="1">
      <alignment horizontal="left" vertical="top"/>
    </xf>
    <xf numFmtId="3" fontId="6" fillId="0" borderId="65" xfId="2" applyFont="1" applyBorder="1" applyAlignment="1">
      <alignment horizontal="left"/>
    </xf>
    <xf numFmtId="3" fontId="6" fillId="0" borderId="66" xfId="2" applyFont="1" applyBorder="1" applyAlignment="1">
      <alignment horizontal="left"/>
    </xf>
    <xf numFmtId="0" fontId="28" fillId="0" borderId="75" xfId="0" applyNumberFormat="1" applyFont="1" applyBorder="1" applyAlignment="1">
      <alignment vertical="top"/>
    </xf>
    <xf numFmtId="4" fontId="28" fillId="0" borderId="58" xfId="0" applyNumberFormat="1" applyFont="1" applyBorder="1" applyAlignment="1">
      <alignment vertical="top"/>
    </xf>
    <xf numFmtId="4" fontId="28" fillId="0" borderId="63" xfId="0" applyFont="1" applyBorder="1" applyAlignment="1">
      <alignment horizontal="center" vertical="top"/>
    </xf>
    <xf numFmtId="4" fontId="28" fillId="0" borderId="63" xfId="0" applyNumberFormat="1" applyFont="1" applyBorder="1" applyAlignment="1">
      <alignment horizontal="right" vertical="top"/>
    </xf>
    <xf numFmtId="4" fontId="31" fillId="0" borderId="63" xfId="0" applyFont="1" applyBorder="1" applyAlignment="1">
      <alignment horizontal="center" vertical="top" wrapText="1"/>
    </xf>
    <xf numFmtId="4" fontId="40" fillId="0" borderId="0" xfId="0" applyFont="1" applyAlignment="1"/>
    <xf numFmtId="4" fontId="11" fillId="0" borderId="75" xfId="0" applyFont="1" applyBorder="1" applyAlignment="1">
      <alignment vertical="top"/>
    </xf>
    <xf numFmtId="4" fontId="29" fillId="4" borderId="4" xfId="0" applyNumberFormat="1" applyFont="1" applyFill="1" applyBorder="1" applyAlignment="1">
      <alignment horizontal="center" vertical="top" wrapText="1"/>
    </xf>
    <xf numFmtId="4" fontId="28" fillId="0" borderId="1" xfId="0" applyFont="1" applyBorder="1" applyAlignment="1">
      <alignment horizontal="center" vertical="center" wrapText="1"/>
    </xf>
    <xf numFmtId="4" fontId="28" fillId="0" borderId="52" xfId="0" applyFont="1" applyBorder="1" applyAlignment="1">
      <alignment horizontal="center" vertical="center"/>
    </xf>
    <xf numFmtId="4" fontId="28" fillId="0" borderId="52" xfId="0" applyNumberFormat="1" applyFont="1" applyBorder="1" applyAlignment="1">
      <alignment horizontal="right" vertical="center"/>
    </xf>
    <xf numFmtId="4" fontId="28" fillId="0" borderId="1" xfId="0" applyFont="1" applyBorder="1" applyAlignment="1">
      <alignment horizontal="center" vertical="top" wrapText="1"/>
    </xf>
    <xf numFmtId="14" fontId="28" fillId="0" borderId="1" xfId="0" applyNumberFormat="1" applyFont="1" applyBorder="1" applyAlignment="1">
      <alignment horizontal="center" vertical="top" wrapText="1"/>
    </xf>
    <xf numFmtId="4" fontId="28" fillId="0" borderId="52" xfId="0" applyFont="1" applyBorder="1" applyAlignment="1">
      <alignment horizontal="center" vertical="top"/>
    </xf>
    <xf numFmtId="4" fontId="28" fillId="0" borderId="52" xfId="0" applyNumberFormat="1" applyFont="1" applyBorder="1" applyAlignment="1">
      <alignment horizontal="right" vertical="top"/>
    </xf>
    <xf numFmtId="14" fontId="28" fillId="0" borderId="52" xfId="0" applyNumberFormat="1" applyFont="1" applyBorder="1" applyAlignment="1">
      <alignment horizontal="center" vertical="top" wrapText="1"/>
    </xf>
    <xf numFmtId="4" fontId="28" fillId="0" borderId="52" xfId="0" applyFont="1" applyBorder="1" applyAlignment="1">
      <alignment horizontal="center" vertical="top" wrapText="1"/>
    </xf>
    <xf numFmtId="14" fontId="28" fillId="0" borderId="63" xfId="0" applyNumberFormat="1" applyFont="1" applyBorder="1" applyAlignment="1">
      <alignment horizontal="center" vertical="top" wrapText="1"/>
    </xf>
    <xf numFmtId="4" fontId="29" fillId="5" borderId="4" xfId="0" applyFont="1" applyFill="1" applyBorder="1" applyAlignment="1">
      <alignment vertical="top" wrapText="1"/>
    </xf>
    <xf numFmtId="3" fontId="41" fillId="0" borderId="52" xfId="2" applyNumberFormat="1" applyFont="1" applyFill="1" applyBorder="1" applyAlignment="1">
      <alignment horizontal="right"/>
    </xf>
    <xf numFmtId="4" fontId="19" fillId="0" borderId="65" xfId="0" applyNumberFormat="1" applyFont="1" applyBorder="1">
      <alignment vertical="top"/>
    </xf>
    <xf numFmtId="4" fontId="19" fillId="0" borderId="52" xfId="0" applyNumberFormat="1" applyFont="1" applyBorder="1">
      <alignment vertical="top"/>
    </xf>
    <xf numFmtId="4" fontId="19" fillId="0" borderId="66" xfId="0" applyNumberFormat="1" applyFont="1" applyBorder="1">
      <alignment vertical="top"/>
    </xf>
    <xf numFmtId="4" fontId="42" fillId="0" borderId="0" xfId="0" applyFont="1" applyAlignment="1"/>
    <xf numFmtId="4" fontId="18" fillId="2" borderId="4" xfId="0" applyFont="1" applyFill="1" applyBorder="1" applyAlignment="1">
      <alignment horizontal="center" vertical="center" wrapText="1"/>
    </xf>
    <xf numFmtId="4" fontId="43" fillId="0" borderId="0" xfId="0" applyFont="1" applyAlignment="1"/>
    <xf numFmtId="4" fontId="29" fillId="0" borderId="0" xfId="0" applyFont="1" applyFill="1" applyBorder="1" applyAlignment="1">
      <alignment horizontal="center"/>
    </xf>
    <xf numFmtId="4" fontId="29" fillId="0" borderId="0" xfId="0" applyNumberFormat="1" applyFont="1" applyFill="1" applyBorder="1" applyAlignment="1">
      <alignment horizontal="center"/>
    </xf>
    <xf numFmtId="4" fontId="18" fillId="10" borderId="4" xfId="0" applyFont="1" applyFill="1" applyBorder="1" applyAlignment="1">
      <alignment vertical="top" wrapText="1"/>
    </xf>
    <xf numFmtId="4" fontId="18" fillId="2" borderId="4" xfId="0" applyNumberFormat="1" applyFont="1" applyFill="1" applyBorder="1" applyAlignment="1">
      <alignment horizontal="right" vertical="top" wrapText="1"/>
    </xf>
    <xf numFmtId="4" fontId="11" fillId="0" borderId="75" xfId="0" applyFont="1" applyBorder="1" applyAlignment="1">
      <alignment horizontal="center" vertical="top" wrapText="1"/>
    </xf>
    <xf numFmtId="14" fontId="11" fillId="0" borderId="75" xfId="0" applyNumberFormat="1" applyFont="1" applyBorder="1" applyAlignment="1">
      <alignment horizontal="center" vertical="top" wrapText="1"/>
    </xf>
    <xf numFmtId="4" fontId="11" fillId="0" borderId="75" xfId="0" applyNumberFormat="1" applyFont="1" applyBorder="1" applyAlignment="1">
      <alignment horizontal="right" vertical="top" wrapText="1"/>
    </xf>
    <xf numFmtId="4" fontId="29" fillId="7" borderId="0" xfId="0" applyFont="1" applyFill="1" applyAlignment="1">
      <alignment horizontal="left"/>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4" borderId="4" xfId="0" applyNumberFormat="1" applyFont="1" applyFill="1" applyBorder="1" applyAlignment="1">
      <alignment horizontal="center"/>
    </xf>
    <xf numFmtId="4" fontId="29" fillId="4" borderId="4" xfId="0" applyFont="1" applyFill="1" applyBorder="1" applyAlignment="1">
      <alignment horizontal="center" vertical="center" wrapText="1"/>
    </xf>
    <xf numFmtId="4" fontId="10" fillId="7" borderId="0" xfId="0" applyFont="1" applyFill="1" applyAlignment="1">
      <alignment horizontal="left"/>
    </xf>
    <xf numFmtId="4" fontId="18" fillId="2" borderId="4" xfId="0" applyNumberFormat="1" applyFont="1" applyFill="1" applyBorder="1" applyAlignment="1">
      <alignment vertical="top"/>
    </xf>
    <xf numFmtId="4" fontId="18" fillId="2" borderId="59" xfId="0" applyNumberFormat="1" applyFont="1" applyFill="1" applyBorder="1" applyAlignment="1">
      <alignment vertical="top"/>
    </xf>
    <xf numFmtId="4" fontId="18" fillId="2" borderId="52" xfId="0" applyNumberFormat="1" applyFont="1" applyFill="1" applyBorder="1" applyAlignment="1">
      <alignment vertical="top"/>
    </xf>
    <xf numFmtId="4" fontId="18" fillId="0" borderId="27" xfId="0" applyFont="1" applyFill="1" applyBorder="1" applyAlignment="1"/>
    <xf numFmtId="4" fontId="18" fillId="0" borderId="0" xfId="0" applyFont="1" applyFill="1" applyBorder="1" applyAlignment="1"/>
    <xf numFmtId="4" fontId="18" fillId="2" borderId="1" xfId="0" applyFont="1" applyFill="1" applyBorder="1" applyAlignment="1">
      <alignment vertical="top"/>
    </xf>
    <xf numFmtId="4" fontId="18" fillId="12" borderId="1" xfId="0" applyFont="1" applyFill="1" applyBorder="1" applyAlignment="1">
      <alignment vertical="center"/>
    </xf>
    <xf numFmtId="4" fontId="18" fillId="0" borderId="1" xfId="0" applyNumberFormat="1" applyFont="1" applyBorder="1" applyAlignment="1">
      <alignment vertical="top"/>
    </xf>
    <xf numFmtId="4" fontId="22" fillId="0" borderId="88" xfId="0" applyFont="1" applyFill="1" applyBorder="1" applyAlignment="1"/>
    <xf numFmtId="4" fontId="22" fillId="0" borderId="0" xfId="0" applyFont="1" applyFill="1" applyBorder="1" applyAlignment="1"/>
    <xf numFmtId="4" fontId="18" fillId="0" borderId="52" xfId="0" applyFont="1" applyBorder="1" applyAlignment="1">
      <alignment vertical="top"/>
    </xf>
    <xf numFmtId="4" fontId="18" fillId="0" borderId="52" xfId="0" applyNumberFormat="1" applyFont="1" applyFill="1" applyBorder="1" applyAlignment="1">
      <alignment horizontal="right" vertical="top"/>
    </xf>
    <xf numFmtId="4" fontId="21" fillId="0" borderId="88" xfId="0" applyNumberFormat="1" applyFont="1" applyFill="1" applyBorder="1" applyAlignment="1">
      <alignment horizontal="left"/>
    </xf>
    <xf numFmtId="4" fontId="21" fillId="0" borderId="0" xfId="0" applyNumberFormat="1" applyFont="1" applyFill="1" applyBorder="1" applyAlignment="1">
      <alignment horizontal="left"/>
    </xf>
    <xf numFmtId="4" fontId="18" fillId="0" borderId="75" xfId="0" applyFont="1" applyBorder="1" applyAlignment="1">
      <alignment vertical="top"/>
    </xf>
    <xf numFmtId="4" fontId="18" fillId="0" borderId="75" xfId="0" applyNumberFormat="1" applyFont="1" applyBorder="1" applyAlignment="1">
      <alignment vertical="top"/>
    </xf>
    <xf numFmtId="4" fontId="22" fillId="0" borderId="88" xfId="0" applyFont="1" applyFill="1" applyBorder="1" applyAlignment="1">
      <alignment vertical="center" wrapText="1"/>
    </xf>
    <xf numFmtId="4" fontId="22" fillId="0" borderId="0" xfId="0" applyFont="1" applyFill="1" applyBorder="1" applyAlignment="1">
      <alignment vertical="center" wrapText="1"/>
    </xf>
    <xf numFmtId="4" fontId="18" fillId="2" borderId="4" xfId="0" applyFont="1" applyFill="1" applyBorder="1" applyAlignment="1">
      <alignment horizontal="left" vertical="top"/>
    </xf>
    <xf numFmtId="4" fontId="18" fillId="12" borderId="4" xfId="0" applyFont="1" applyFill="1" applyBorder="1" applyAlignment="1">
      <alignment vertical="center"/>
    </xf>
    <xf numFmtId="4" fontId="22" fillId="0" borderId="0" xfId="0" applyFont="1" applyFill="1" applyBorder="1" applyAlignment="1">
      <alignment horizontal="left" vertical="center" wrapText="1"/>
    </xf>
    <xf numFmtId="4" fontId="18" fillId="0" borderId="0" xfId="0" applyFont="1" applyFill="1" applyBorder="1" applyAlignment="1">
      <alignment vertical="center"/>
    </xf>
    <xf numFmtId="4" fontId="21" fillId="0" borderId="0" xfId="0" applyFont="1" applyFill="1" applyBorder="1" applyAlignment="1"/>
    <xf numFmtId="4" fontId="18" fillId="0" borderId="1" xfId="0" applyFont="1" applyBorder="1" applyAlignment="1">
      <alignment vertical="center"/>
    </xf>
    <xf numFmtId="4" fontId="21" fillId="0" borderId="1" xfId="0" applyNumberFormat="1" applyFont="1" applyBorder="1" applyAlignment="1">
      <alignment vertical="center"/>
    </xf>
    <xf numFmtId="4" fontId="18" fillId="2" borderId="4" xfId="0" applyFont="1" applyFill="1" applyBorder="1" applyAlignment="1">
      <alignment vertical="top"/>
    </xf>
    <xf numFmtId="4" fontId="21" fillId="0" borderId="75" xfId="0" applyFont="1" applyBorder="1" applyAlignment="1">
      <alignment vertical="top"/>
    </xf>
    <xf numFmtId="0" fontId="21" fillId="0" borderId="75" xfId="0" applyNumberFormat="1" applyFont="1" applyBorder="1" applyAlignment="1">
      <alignment vertical="top"/>
    </xf>
    <xf numFmtId="4" fontId="18" fillId="2" borderId="4" xfId="0" applyFont="1" applyFill="1" applyBorder="1" applyAlignment="1">
      <alignment vertical="center"/>
    </xf>
    <xf numFmtId="4" fontId="18" fillId="2" borderId="4" xfId="0" applyNumberFormat="1" applyFont="1" applyFill="1" applyBorder="1" applyAlignment="1">
      <alignment vertical="center"/>
    </xf>
    <xf numFmtId="4" fontId="21" fillId="0" borderId="1" xfId="0" applyNumberFormat="1" applyFont="1" applyBorder="1" applyAlignment="1">
      <alignment vertical="top"/>
    </xf>
    <xf numFmtId="4" fontId="21" fillId="0" borderId="58" xfId="0" applyNumberFormat="1" applyFont="1" applyBorder="1" applyAlignment="1">
      <alignment vertical="top"/>
    </xf>
    <xf numFmtId="4" fontId="21" fillId="0" borderId="63" xfId="0" applyNumberFormat="1" applyFont="1" applyBorder="1" applyAlignment="1">
      <alignment vertical="top"/>
    </xf>
    <xf numFmtId="4" fontId="21" fillId="0" borderId="60" xfId="0" applyNumberFormat="1" applyFont="1" applyBorder="1" applyAlignment="1">
      <alignment vertical="top"/>
    </xf>
    <xf numFmtId="4" fontId="18" fillId="0" borderId="0" xfId="0" applyNumberFormat="1" applyFont="1" applyFill="1" applyBorder="1" applyAlignment="1">
      <alignment vertical="top"/>
    </xf>
    <xf numFmtId="4" fontId="18" fillId="0" borderId="0" xfId="0" applyNumberFormat="1" applyFont="1" applyFill="1" applyBorder="1" applyAlignment="1">
      <alignment horizontal="center" vertical="top"/>
    </xf>
    <xf numFmtId="4" fontId="18" fillId="4" borderId="4" xfId="0" applyFont="1" applyFill="1" applyBorder="1" applyAlignment="1">
      <alignment horizontal="center"/>
    </xf>
    <xf numFmtId="4" fontId="18" fillId="4" borderId="4" xfId="0" applyFont="1" applyFill="1" applyBorder="1" applyAlignment="1">
      <alignment horizontal="center" vertical="center" wrapText="1"/>
    </xf>
    <xf numFmtId="4" fontId="18" fillId="4" borderId="4" xfId="0" applyNumberFormat="1" applyFont="1" applyFill="1" applyBorder="1" applyAlignment="1">
      <alignment horizontal="center" vertical="center" wrapText="1"/>
    </xf>
    <xf numFmtId="4" fontId="18" fillId="4" borderId="4" xfId="0" applyNumberFormat="1" applyFont="1" applyFill="1" applyBorder="1" applyAlignment="1">
      <alignment horizontal="center"/>
    </xf>
    <xf numFmtId="4" fontId="18" fillId="0" borderId="52" xfId="0" applyFont="1" applyBorder="1" applyAlignment="1">
      <alignment vertical="center"/>
    </xf>
    <xf numFmtId="4" fontId="21" fillId="0" borderId="52" xfId="0" applyNumberFormat="1" applyFont="1" applyBorder="1" applyAlignment="1">
      <alignment vertical="center"/>
    </xf>
    <xf numFmtId="4" fontId="18" fillId="0" borderId="63" xfId="0" applyFont="1" applyBorder="1" applyAlignment="1">
      <alignment vertical="center"/>
    </xf>
    <xf numFmtId="4" fontId="21" fillId="0" borderId="63" xfId="0" applyNumberFormat="1" applyFont="1" applyBorder="1" applyAlignment="1">
      <alignment vertical="center"/>
    </xf>
    <xf numFmtId="4" fontId="21" fillId="0" borderId="59" xfId="0" applyFont="1" applyBorder="1" applyAlignment="1">
      <alignment horizontal="center" vertical="top" wrapText="1"/>
    </xf>
    <xf numFmtId="4" fontId="21" fillId="0" borderId="63" xfId="0" applyFont="1" applyBorder="1" applyAlignment="1">
      <alignment horizontal="center" vertical="top" wrapText="1"/>
    </xf>
    <xf numFmtId="4" fontId="21" fillId="0" borderId="48" xfId="0" applyFont="1" applyBorder="1" applyAlignment="1">
      <alignment horizontal="center" vertical="top" wrapText="1"/>
    </xf>
    <xf numFmtId="4" fontId="21" fillId="0" borderId="77" xfId="0" applyFont="1" applyBorder="1" applyAlignment="1">
      <alignment horizontal="center" vertical="top" wrapText="1"/>
    </xf>
    <xf numFmtId="4" fontId="21" fillId="0" borderId="60" xfId="0" applyFont="1" applyBorder="1" applyAlignment="1">
      <alignment horizontal="center" vertical="top" wrapText="1"/>
    </xf>
    <xf numFmtId="4" fontId="21" fillId="0" borderId="1" xfId="0" applyFont="1" applyBorder="1" applyAlignment="1">
      <alignment horizontal="center" vertical="top" wrapText="1"/>
    </xf>
    <xf numFmtId="4" fontId="21" fillId="0" borderId="58" xfId="0" applyFont="1" applyBorder="1" applyAlignment="1">
      <alignment horizontal="center" vertical="top" wrapText="1"/>
    </xf>
    <xf numFmtId="4" fontId="18" fillId="12" borderId="4" xfId="0" applyFont="1" applyFill="1" applyBorder="1" applyAlignment="1">
      <alignment vertical="top" wrapText="1"/>
    </xf>
    <xf numFmtId="4" fontId="21" fillId="0" borderId="59" xfId="0" applyFont="1" applyBorder="1" applyAlignment="1">
      <alignment horizontal="right" vertical="top" wrapText="1"/>
    </xf>
    <xf numFmtId="4" fontId="21" fillId="0" borderId="48" xfId="0" applyNumberFormat="1" applyFont="1" applyBorder="1" applyAlignment="1">
      <alignment horizontal="right" vertical="top" wrapText="1"/>
    </xf>
    <xf numFmtId="14" fontId="21" fillId="0" borderId="59" xfId="0" applyNumberFormat="1" applyFont="1" applyBorder="1" applyAlignment="1">
      <alignment horizontal="right" vertical="top" wrapText="1"/>
    </xf>
    <xf numFmtId="4" fontId="21" fillId="0" borderId="1" xfId="0" applyFont="1" applyBorder="1" applyAlignment="1">
      <alignment horizontal="right" vertical="top" wrapText="1"/>
    </xf>
    <xf numFmtId="4" fontId="21" fillId="0" borderId="58" xfId="0" applyNumberFormat="1" applyFont="1" applyBorder="1" applyAlignment="1">
      <alignment horizontal="right" vertical="top" wrapText="1"/>
    </xf>
    <xf numFmtId="4" fontId="21" fillId="0" borderId="6" xfId="0" applyNumberFormat="1" applyFont="1" applyBorder="1" applyAlignment="1">
      <alignment horizontal="right" vertical="top" wrapText="1"/>
    </xf>
    <xf numFmtId="3" fontId="19" fillId="0" borderId="64" xfId="0" applyNumberFormat="1" applyFont="1" applyBorder="1">
      <alignment vertical="top"/>
    </xf>
    <xf numFmtId="3" fontId="19" fillId="0" borderId="19" xfId="0" applyNumberFormat="1" applyFont="1" applyBorder="1">
      <alignment vertical="top"/>
    </xf>
    <xf numFmtId="4" fontId="29" fillId="3" borderId="67" xfId="0" applyFont="1" applyFill="1" applyBorder="1" applyAlignment="1">
      <alignment vertical="top"/>
    </xf>
    <xf numFmtId="4" fontId="29" fillId="3" borderId="63" xfId="0" applyNumberFormat="1" applyFont="1" applyFill="1" applyBorder="1" applyAlignment="1">
      <alignment vertical="top"/>
    </xf>
    <xf numFmtId="0" fontId="28" fillId="0" borderId="52" xfId="0" applyNumberFormat="1" applyFont="1" applyBorder="1" applyAlignment="1">
      <alignment horizontal="center" vertical="top"/>
    </xf>
    <xf numFmtId="0" fontId="28" fillId="0" borderId="63" xfId="0" applyNumberFormat="1" applyFont="1" applyBorder="1" applyAlignment="1">
      <alignment horizontal="center" vertical="top"/>
    </xf>
    <xf numFmtId="4" fontId="28" fillId="0" borderId="53" xfId="0" applyFont="1" applyBorder="1" applyAlignment="1">
      <alignment vertical="top" wrapText="1"/>
    </xf>
    <xf numFmtId="4" fontId="28" fillId="0" borderId="0" xfId="0" applyFont="1" applyBorder="1" applyAlignment="1">
      <alignment vertical="top" wrapText="1"/>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4" borderId="4" xfId="0" applyFont="1" applyFill="1" applyBorder="1" applyAlignment="1">
      <alignment horizontal="center"/>
    </xf>
    <xf numFmtId="4" fontId="29" fillId="3" borderId="4" xfId="0" applyFont="1" applyFill="1" applyBorder="1" applyAlignment="1">
      <alignment horizontal="left" vertical="top"/>
    </xf>
    <xf numFmtId="3" fontId="6" fillId="0" borderId="65" xfId="2" applyFont="1" applyBorder="1" applyAlignment="1">
      <alignment horizontal="left"/>
    </xf>
    <xf numFmtId="3" fontId="6" fillId="0" borderId="66" xfId="2" applyFont="1" applyBorder="1" applyAlignment="1">
      <alignment horizontal="left"/>
    </xf>
    <xf numFmtId="4" fontId="11" fillId="0" borderId="59" xfId="0" applyFont="1" applyBorder="1" applyAlignment="1">
      <alignment vertical="top"/>
    </xf>
    <xf numFmtId="3" fontId="6" fillId="0" borderId="67" xfId="2" applyFont="1" applyBorder="1" applyAlignment="1">
      <alignment horizontal="left"/>
    </xf>
    <xf numFmtId="3" fontId="6" fillId="0" borderId="68" xfId="2" applyFont="1" applyBorder="1" applyAlignment="1">
      <alignment horizontal="left"/>
    </xf>
    <xf numFmtId="166" fontId="28" fillId="0" borderId="1" xfId="0" applyNumberFormat="1" applyFont="1" applyBorder="1" applyAlignment="1">
      <alignment horizontal="center" vertical="top" wrapText="1"/>
    </xf>
    <xf numFmtId="166" fontId="28" fillId="0" borderId="52" xfId="0" applyNumberFormat="1" applyFont="1" applyBorder="1" applyAlignment="1">
      <alignment horizontal="center" vertical="top" wrapText="1"/>
    </xf>
    <xf numFmtId="166" fontId="28" fillId="0" borderId="63" xfId="0" applyNumberFormat="1" applyFont="1" applyBorder="1" applyAlignment="1">
      <alignment horizontal="center" vertical="top" wrapText="1"/>
    </xf>
    <xf numFmtId="4" fontId="10" fillId="7" borderId="0" xfId="0" applyFont="1" applyFill="1" applyAlignment="1"/>
    <xf numFmtId="4" fontId="29" fillId="7" borderId="0" xfId="0" applyFont="1" applyFill="1" applyAlignment="1"/>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4" borderId="4" xfId="0" applyNumberFormat="1" applyFont="1" applyFill="1" applyBorder="1" applyAlignment="1">
      <alignment horizontal="center"/>
    </xf>
    <xf numFmtId="4" fontId="29" fillId="4" borderId="4" xfId="0" applyFont="1" applyFill="1" applyBorder="1" applyAlignment="1">
      <alignment horizontal="center" vertical="center" wrapText="1"/>
    </xf>
    <xf numFmtId="3" fontId="6" fillId="0" borderId="65" xfId="2" applyFont="1" applyBorder="1" applyAlignment="1">
      <alignment horizontal="left"/>
    </xf>
    <xf numFmtId="3" fontId="6" fillId="0" borderId="66" xfId="2" applyFont="1" applyBorder="1" applyAlignment="1">
      <alignment horizontal="left"/>
    </xf>
    <xf numFmtId="4" fontId="18" fillId="2" borderId="4" xfId="0" applyFont="1" applyFill="1" applyBorder="1" applyAlignment="1">
      <alignment horizontal="left" vertical="top"/>
    </xf>
    <xf numFmtId="4" fontId="18" fillId="7" borderId="0" xfId="0" applyFont="1" applyFill="1" applyAlignment="1">
      <alignment horizontal="left"/>
    </xf>
    <xf numFmtId="4" fontId="18" fillId="4" borderId="4" xfId="0" applyFont="1" applyFill="1" applyBorder="1" applyAlignment="1">
      <alignment horizontal="center"/>
    </xf>
    <xf numFmtId="4" fontId="18" fillId="4" borderId="4" xfId="0" applyFont="1" applyFill="1" applyBorder="1" applyAlignment="1">
      <alignment horizontal="center" vertical="center" wrapText="1"/>
    </xf>
    <xf numFmtId="4" fontId="18" fillId="4" borderId="4" xfId="0" applyNumberFormat="1" applyFont="1" applyFill="1" applyBorder="1" applyAlignment="1">
      <alignment horizontal="center"/>
    </xf>
    <xf numFmtId="4" fontId="29" fillId="3" borderId="89" xfId="0" applyFont="1" applyFill="1" applyBorder="1" applyAlignment="1">
      <alignment horizontal="left" vertical="top"/>
    </xf>
    <xf numFmtId="4" fontId="29" fillId="3" borderId="49" xfId="0" applyFont="1" applyFill="1" applyBorder="1" applyAlignment="1">
      <alignment horizontal="left" vertical="top"/>
    </xf>
    <xf numFmtId="4" fontId="28" fillId="0" borderId="0" xfId="0" applyFont="1" applyAlignment="1">
      <alignment vertical="top"/>
    </xf>
    <xf numFmtId="4" fontId="29" fillId="0" borderId="0" xfId="0" applyFont="1" applyAlignment="1">
      <alignment vertical="top"/>
    </xf>
    <xf numFmtId="4" fontId="28" fillId="0" borderId="6" xfId="0" applyFont="1" applyBorder="1" applyAlignment="1">
      <alignment vertical="top"/>
    </xf>
    <xf numFmtId="4" fontId="28" fillId="0" borderId="6" xfId="0" applyNumberFormat="1" applyFont="1" applyBorder="1" applyAlignment="1">
      <alignment vertical="top"/>
    </xf>
    <xf numFmtId="0" fontId="28" fillId="0" borderId="6" xfId="0" applyNumberFormat="1" applyFont="1" applyBorder="1" applyAlignment="1">
      <alignment vertical="top"/>
    </xf>
    <xf numFmtId="4" fontId="29" fillId="4" borderId="4" xfId="0" applyFont="1" applyFill="1" applyBorder="1" applyAlignment="1">
      <alignment wrapText="1"/>
    </xf>
    <xf numFmtId="4" fontId="28" fillId="13" borderId="59" xfId="0" applyFont="1" applyFill="1" applyBorder="1" applyAlignment="1">
      <alignment horizontal="center" vertical="top" wrapText="1"/>
    </xf>
    <xf numFmtId="4" fontId="28" fillId="13" borderId="59" xfId="0" applyNumberFormat="1" applyFont="1" applyFill="1" applyBorder="1" applyAlignment="1">
      <alignment horizontal="right" vertical="top" wrapText="1"/>
    </xf>
    <xf numFmtId="14" fontId="28" fillId="13" borderId="59" xfId="0" applyNumberFormat="1" applyFont="1" applyFill="1" applyBorder="1" applyAlignment="1">
      <alignment horizontal="center" vertical="top" wrapText="1"/>
    </xf>
    <xf numFmtId="14" fontId="28" fillId="13" borderId="59" xfId="0" applyNumberFormat="1" applyFont="1" applyFill="1" applyBorder="1" applyAlignment="1">
      <alignment horizontal="center" vertical="top"/>
    </xf>
    <xf numFmtId="4" fontId="28" fillId="13" borderId="52" xfId="0" applyFont="1" applyFill="1" applyBorder="1" applyAlignment="1">
      <alignment horizontal="center" vertical="top" wrapText="1"/>
    </xf>
    <xf numFmtId="4" fontId="28" fillId="13" borderId="52" xfId="0" applyNumberFormat="1" applyFont="1" applyFill="1" applyBorder="1" applyAlignment="1">
      <alignment horizontal="right" vertical="top" wrapText="1"/>
    </xf>
    <xf numFmtId="14" fontId="28" fillId="13" borderId="52" xfId="0" applyNumberFormat="1" applyFont="1" applyFill="1" applyBorder="1" applyAlignment="1">
      <alignment horizontal="center" vertical="top" wrapText="1"/>
    </xf>
    <xf numFmtId="49" fontId="28" fillId="0" borderId="52" xfId="0" applyNumberFormat="1" applyFont="1" applyBorder="1" applyAlignment="1">
      <alignment horizontal="center" vertical="top" wrapText="1"/>
    </xf>
    <xf numFmtId="14" fontId="28" fillId="0" borderId="52" xfId="0" applyNumberFormat="1" applyFont="1" applyBorder="1" applyAlignment="1">
      <alignment horizontal="right" vertical="top"/>
    </xf>
    <xf numFmtId="14" fontId="28" fillId="0" borderId="52" xfId="0" applyNumberFormat="1" applyFont="1" applyBorder="1" applyAlignment="1">
      <alignment horizontal="center" vertical="top"/>
    </xf>
    <xf numFmtId="14" fontId="28" fillId="0" borderId="52" xfId="0" applyNumberFormat="1" applyFont="1" applyBorder="1" applyAlignment="1">
      <alignment vertical="top"/>
    </xf>
    <xf numFmtId="4" fontId="28" fillId="13" borderId="52" xfId="0" applyFont="1" applyFill="1" applyBorder="1" applyAlignment="1">
      <alignment horizontal="center" vertical="top"/>
    </xf>
    <xf numFmtId="4" fontId="28" fillId="13" borderId="52" xfId="0" applyNumberFormat="1" applyFont="1" applyFill="1" applyBorder="1" applyAlignment="1">
      <alignment horizontal="right" vertical="top"/>
    </xf>
    <xf numFmtId="14" fontId="28" fillId="13" borderId="52" xfId="0" applyNumberFormat="1" applyFont="1" applyFill="1" applyBorder="1" applyAlignment="1">
      <alignment horizontal="center" vertical="top"/>
    </xf>
    <xf numFmtId="14" fontId="28" fillId="13" borderId="52" xfId="0" applyNumberFormat="1" applyFont="1" applyFill="1" applyBorder="1" applyAlignment="1">
      <alignment vertical="top"/>
    </xf>
    <xf numFmtId="4" fontId="28" fillId="0" borderId="52" xfId="0" applyFont="1" applyFill="1" applyBorder="1" applyAlignment="1">
      <alignment horizontal="center" vertical="top" wrapText="1"/>
    </xf>
    <xf numFmtId="4" fontId="28" fillId="0" borderId="52" xfId="0" applyNumberFormat="1" applyFont="1" applyFill="1" applyBorder="1" applyAlignment="1">
      <alignment horizontal="right" vertical="top"/>
    </xf>
    <xf numFmtId="4" fontId="28" fillId="0" borderId="52" xfId="0" applyNumberFormat="1" applyFont="1" applyFill="1" applyBorder="1" applyAlignment="1">
      <alignment horizontal="right" vertical="top" wrapText="1"/>
    </xf>
    <xf numFmtId="14" fontId="28" fillId="0" borderId="52" xfId="0" applyNumberFormat="1" applyFont="1" applyFill="1" applyBorder="1" applyAlignment="1">
      <alignment horizontal="center" vertical="top"/>
    </xf>
    <xf numFmtId="14" fontId="28" fillId="0" borderId="52" xfId="0" applyNumberFormat="1" applyFont="1" applyFill="1" applyBorder="1" applyAlignment="1">
      <alignment vertical="top"/>
    </xf>
    <xf numFmtId="4" fontId="28" fillId="0" borderId="52" xfId="0" applyFont="1" applyFill="1" applyBorder="1" applyAlignment="1">
      <alignment horizontal="center" vertical="top"/>
    </xf>
    <xf numFmtId="49" fontId="28" fillId="0" borderId="52" xfId="0" applyNumberFormat="1" applyFont="1" applyFill="1" applyBorder="1" applyAlignment="1">
      <alignment horizontal="right" vertical="top"/>
    </xf>
    <xf numFmtId="4" fontId="28" fillId="8" borderId="4" xfId="0" applyFont="1" applyFill="1" applyBorder="1" applyAlignment="1">
      <alignment horizontal="center" vertical="top"/>
    </xf>
    <xf numFmtId="4" fontId="29" fillId="3" borderId="4" xfId="0" applyNumberFormat="1" applyFont="1" applyFill="1" applyBorder="1" applyAlignment="1">
      <alignment horizontal="right" vertical="top"/>
    </xf>
    <xf numFmtId="14" fontId="28" fillId="8" borderId="4" xfId="0" applyNumberFormat="1" applyFont="1" applyFill="1" applyBorder="1" applyAlignment="1">
      <alignment horizontal="center" vertical="top"/>
    </xf>
    <xf numFmtId="4" fontId="28" fillId="8" borderId="4" xfId="0" applyFont="1" applyFill="1" applyBorder="1" applyAlignment="1">
      <alignment vertical="top"/>
    </xf>
    <xf numFmtId="4" fontId="29" fillId="8" borderId="4" xfId="0" applyFont="1" applyFill="1" applyBorder="1" applyAlignment="1">
      <alignment horizontal="center" vertical="center" wrapText="1"/>
    </xf>
    <xf numFmtId="14" fontId="29" fillId="8" borderId="4" xfId="0" applyNumberFormat="1" applyFont="1" applyFill="1" applyBorder="1" applyAlignment="1">
      <alignment horizontal="center" vertical="center" wrapText="1"/>
    </xf>
    <xf numFmtId="4" fontId="46" fillId="0" borderId="52" xfId="0" applyFont="1" applyBorder="1" applyAlignment="1">
      <alignment vertical="top"/>
    </xf>
    <xf numFmtId="4" fontId="28" fillId="0" borderId="1" xfId="0" applyFont="1" applyFill="1" applyBorder="1" applyAlignment="1">
      <alignment horizontal="center" vertical="top" wrapText="1"/>
    </xf>
    <xf numFmtId="4" fontId="28" fillId="0" borderId="1" xfId="0" applyNumberFormat="1" applyFont="1" applyFill="1" applyBorder="1" applyAlignment="1">
      <alignment horizontal="right" vertical="top" wrapText="1"/>
    </xf>
    <xf numFmtId="14" fontId="28" fillId="0" borderId="1" xfId="0" applyNumberFormat="1" applyFont="1" applyFill="1" applyBorder="1" applyAlignment="1">
      <alignment horizontal="center" vertical="top" wrapText="1"/>
    </xf>
    <xf numFmtId="4" fontId="28" fillId="0" borderId="63" xfId="0" applyFont="1" applyFill="1" applyBorder="1" applyAlignment="1">
      <alignment horizontal="center" vertical="top" wrapText="1"/>
    </xf>
    <xf numFmtId="4" fontId="28" fillId="0" borderId="63" xfId="0" applyNumberFormat="1" applyFont="1" applyFill="1" applyBorder="1" applyAlignment="1">
      <alignment horizontal="right" vertical="top" wrapText="1"/>
    </xf>
    <xf numFmtId="14" fontId="28" fillId="0" borderId="63" xfId="0" applyNumberFormat="1" applyFont="1" applyFill="1" applyBorder="1" applyAlignment="1">
      <alignment horizontal="center" vertical="top" wrapText="1"/>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4" borderId="4" xfId="0" applyNumberFormat="1" applyFont="1" applyFill="1" applyBorder="1" applyAlignment="1">
      <alignment horizontal="left"/>
    </xf>
    <xf numFmtId="4" fontId="32" fillId="0" borderId="0" xfId="0" applyFont="1" applyFill="1" applyAlignment="1"/>
    <xf numFmtId="4" fontId="28" fillId="13" borderId="63" xfId="0" applyFont="1" applyFill="1" applyBorder="1" applyAlignment="1">
      <alignment horizontal="center" vertical="top" wrapText="1"/>
    </xf>
    <xf numFmtId="165" fontId="28" fillId="13" borderId="63" xfId="1" applyNumberFormat="1" applyFont="1" applyFill="1" applyBorder="1" applyAlignment="1">
      <alignment horizontal="right" vertical="top" wrapText="1"/>
    </xf>
    <xf numFmtId="14" fontId="28" fillId="13" borderId="63" xfId="0" applyNumberFormat="1" applyFont="1" applyFill="1" applyBorder="1" applyAlignment="1">
      <alignment horizontal="center" vertical="top" wrapText="1"/>
    </xf>
    <xf numFmtId="43" fontId="28" fillId="0" borderId="63" xfId="1" applyFont="1" applyBorder="1" applyAlignment="1">
      <alignment horizontal="right" vertical="top" wrapText="1"/>
    </xf>
    <xf numFmtId="4" fontId="28" fillId="0" borderId="63" xfId="0" applyFont="1" applyBorder="1" applyAlignment="1">
      <alignment horizontal="center" vertical="top" wrapText="1"/>
    </xf>
    <xf numFmtId="165" fontId="28" fillId="0" borderId="1" xfId="1" applyNumberFormat="1" applyFont="1" applyBorder="1" applyAlignment="1">
      <alignment horizontal="right" vertical="top" wrapText="1"/>
    </xf>
    <xf numFmtId="165" fontId="28" fillId="0" borderId="52" xfId="1" applyNumberFormat="1" applyFont="1" applyBorder="1" applyAlignment="1">
      <alignment horizontal="right" vertical="top" wrapText="1"/>
    </xf>
    <xf numFmtId="165" fontId="28" fillId="13" borderId="52" xfId="1" applyNumberFormat="1" applyFont="1" applyFill="1" applyBorder="1" applyAlignment="1">
      <alignment horizontal="right" vertical="top" wrapText="1"/>
    </xf>
    <xf numFmtId="165" fontId="28" fillId="0" borderId="52" xfId="1" applyNumberFormat="1" applyFont="1" applyFill="1" applyBorder="1" applyAlignment="1">
      <alignment horizontal="right" vertical="top" wrapText="1"/>
    </xf>
    <xf numFmtId="43" fontId="28" fillId="0" borderId="1" xfId="1" applyFont="1" applyBorder="1" applyAlignment="1">
      <alignment horizontal="right" vertical="top" wrapText="1"/>
    </xf>
    <xf numFmtId="43" fontId="28" fillId="0" borderId="52" xfId="1" applyFont="1" applyBorder="1" applyAlignment="1">
      <alignment horizontal="right" vertical="top" wrapText="1"/>
    </xf>
    <xf numFmtId="3" fontId="6" fillId="4" borderId="24" xfId="2" applyNumberFormat="1" applyFont="1" applyFill="1" applyBorder="1"/>
    <xf numFmtId="3" fontId="5" fillId="0" borderId="52" xfId="2" applyNumberFormat="1" applyFont="1" applyBorder="1"/>
    <xf numFmtId="3" fontId="5" fillId="0" borderId="75" xfId="2" applyNumberFormat="1" applyFont="1" applyBorder="1" applyAlignment="1">
      <alignment horizontal="right"/>
    </xf>
    <xf numFmtId="3" fontId="5" fillId="0" borderId="59" xfId="2" applyNumberFormat="1" applyFont="1" applyFill="1" applyBorder="1"/>
    <xf numFmtId="3" fontId="5" fillId="0" borderId="75" xfId="0" applyNumberFormat="1" applyFont="1" applyBorder="1" applyAlignment="1">
      <alignment vertical="top"/>
    </xf>
    <xf numFmtId="4" fontId="18" fillId="0" borderId="1" xfId="0" applyFont="1" applyBorder="1" applyAlignment="1">
      <alignment vertical="top"/>
    </xf>
    <xf numFmtId="4" fontId="18" fillId="0" borderId="63" xfId="0" applyFont="1" applyBorder="1" applyAlignment="1">
      <alignment vertical="top"/>
    </xf>
    <xf numFmtId="4" fontId="18" fillId="10" borderId="4" xfId="0" applyFont="1" applyFill="1" applyBorder="1" applyAlignment="1">
      <alignment vertical="center" wrapText="1"/>
    </xf>
    <xf numFmtId="14" fontId="21" fillId="0" borderId="1" xfId="0" applyNumberFormat="1" applyFont="1" applyBorder="1" applyAlignment="1">
      <alignment horizontal="center" vertical="top" wrapText="1"/>
    </xf>
    <xf numFmtId="14" fontId="21" fillId="0" borderId="52" xfId="0" applyNumberFormat="1" applyFont="1" applyBorder="1" applyAlignment="1">
      <alignment horizontal="center" vertical="top" wrapText="1"/>
    </xf>
    <xf numFmtId="4" fontId="21" fillId="0" borderId="52" xfId="0" applyFont="1" applyBorder="1" applyAlignment="1">
      <alignment horizontal="center" vertical="top" wrapText="1"/>
    </xf>
    <xf numFmtId="4" fontId="21" fillId="0" borderId="52" xfId="0" applyFont="1" applyBorder="1" applyAlignment="1">
      <alignment horizontal="left" vertical="top" wrapText="1"/>
    </xf>
    <xf numFmtId="4" fontId="21" fillId="0" borderId="63" xfId="0" applyFont="1" applyBorder="1" applyAlignment="1">
      <alignment horizontal="left" vertical="top" wrapText="1"/>
    </xf>
    <xf numFmtId="14" fontId="21" fillId="0" borderId="63" xfId="0" applyNumberFormat="1" applyFont="1" applyBorder="1" applyAlignment="1">
      <alignment horizontal="center" vertical="top" wrapText="1"/>
    </xf>
    <xf numFmtId="4" fontId="21" fillId="0" borderId="52" xfId="0" applyNumberFormat="1" applyFont="1" applyBorder="1" applyAlignment="1">
      <alignment horizontal="right" vertical="top" wrapText="1"/>
    </xf>
    <xf numFmtId="4" fontId="21" fillId="0" borderId="1" xfId="0" applyFont="1" applyBorder="1" applyAlignment="1">
      <alignment horizontal="left" vertical="top" wrapText="1"/>
    </xf>
    <xf numFmtId="4" fontId="21" fillId="0" borderId="52" xfId="0" applyFont="1" applyBorder="1" applyAlignment="1">
      <alignment horizontal="right" vertical="top" wrapText="1"/>
    </xf>
    <xf numFmtId="4" fontId="21" fillId="0" borderId="63" xfId="0" applyFont="1" applyBorder="1" applyAlignment="1">
      <alignment horizontal="right" vertical="top" wrapText="1"/>
    </xf>
    <xf numFmtId="4" fontId="47" fillId="10" borderId="4" xfId="0" applyFont="1" applyFill="1" applyBorder="1" applyAlignment="1">
      <alignment vertical="top" wrapText="1"/>
    </xf>
    <xf numFmtId="4" fontId="47" fillId="2" borderId="4" xfId="0" applyNumberFormat="1" applyFont="1" applyFill="1" applyBorder="1" applyAlignment="1">
      <alignment horizontal="right" vertical="top" wrapText="1"/>
    </xf>
    <xf numFmtId="4" fontId="21" fillId="0" borderId="92" xfId="0" applyFont="1" applyBorder="1" applyAlignment="1">
      <alignment horizontal="left" vertical="top" wrapText="1"/>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4" borderId="4" xfId="0" applyNumberFormat="1" applyFont="1" applyFill="1" applyBorder="1" applyAlignment="1">
      <alignment horizontal="center"/>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wrapText="1"/>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3" borderId="64" xfId="0" applyFont="1" applyFill="1" applyBorder="1" applyAlignment="1">
      <alignment vertical="top"/>
    </xf>
    <xf numFmtId="4" fontId="29" fillId="0" borderId="19" xfId="0" applyNumberFormat="1" applyFont="1" applyBorder="1" applyAlignment="1">
      <alignment vertical="top"/>
    </xf>
    <xf numFmtId="4" fontId="29" fillId="0" borderId="66" xfId="0" applyNumberFormat="1" applyFont="1" applyFill="1" applyBorder="1" applyAlignment="1">
      <alignment horizontal="right" vertical="top"/>
    </xf>
    <xf numFmtId="4" fontId="29" fillId="0" borderId="95" xfId="0" applyNumberFormat="1" applyFont="1" applyBorder="1" applyAlignment="1">
      <alignment vertical="top"/>
    </xf>
    <xf numFmtId="4" fontId="29" fillId="0" borderId="65" xfId="0" applyFont="1" applyBorder="1" applyAlignment="1">
      <alignment vertical="top"/>
    </xf>
    <xf numFmtId="4" fontId="29" fillId="0" borderId="67" xfId="0" applyFont="1" applyBorder="1" applyAlignment="1">
      <alignment vertical="top"/>
    </xf>
    <xf numFmtId="4" fontId="31" fillId="0" borderId="73" xfId="0" applyFont="1" applyBorder="1" applyAlignment="1">
      <alignment vertical="top"/>
    </xf>
    <xf numFmtId="4" fontId="29" fillId="4" borderId="4" xfId="0" applyFont="1" applyFill="1" applyBorder="1" applyAlignment="1">
      <alignment horizontal="center" vertical="center"/>
    </xf>
    <xf numFmtId="4" fontId="28" fillId="0" borderId="64" xfId="0" applyNumberFormat="1" applyFont="1" applyBorder="1" applyAlignment="1">
      <alignment horizontal="right" vertical="top"/>
    </xf>
    <xf numFmtId="4" fontId="28" fillId="0" borderId="67" xfId="0" applyNumberFormat="1" applyFont="1" applyBorder="1" applyAlignment="1">
      <alignment horizontal="right" vertical="top"/>
    </xf>
    <xf numFmtId="4" fontId="28" fillId="0" borderId="0" xfId="0" applyFont="1" applyBorder="1" applyAlignment="1">
      <alignment horizontal="center" vertical="top"/>
    </xf>
    <xf numFmtId="4" fontId="28" fillId="0" borderId="0" xfId="0" applyNumberFormat="1" applyFont="1" applyBorder="1" applyAlignment="1">
      <alignment horizontal="right" vertical="top"/>
    </xf>
    <xf numFmtId="4" fontId="31" fillId="0" borderId="0" xfId="0" applyFont="1" applyBorder="1" applyAlignment="1">
      <alignment horizontal="center" vertical="top"/>
    </xf>
    <xf numFmtId="4" fontId="29" fillId="0" borderId="64" xfId="0" applyFont="1" applyBorder="1" applyAlignment="1">
      <alignment vertical="top"/>
    </xf>
    <xf numFmtId="4" fontId="28" fillId="0" borderId="65" xfId="0" applyNumberFormat="1" applyFont="1" applyBorder="1" applyAlignment="1">
      <alignment horizontal="right" vertical="top"/>
    </xf>
    <xf numFmtId="4" fontId="28" fillId="0" borderId="1" xfId="0" applyFont="1" applyFill="1" applyBorder="1" applyAlignment="1">
      <alignment horizontal="center" vertical="center" wrapText="1"/>
    </xf>
    <xf numFmtId="4" fontId="28" fillId="0" borderId="59" xfId="0" applyFont="1" applyFill="1" applyBorder="1" applyAlignment="1">
      <alignment horizontal="center" vertical="center" wrapText="1"/>
    </xf>
    <xf numFmtId="4" fontId="28" fillId="0" borderId="52" xfId="0" applyFont="1" applyFill="1" applyBorder="1" applyAlignment="1">
      <alignment horizontal="center" vertical="center" wrapText="1"/>
    </xf>
    <xf numFmtId="4" fontId="28" fillId="0" borderId="58" xfId="0" applyFont="1" applyFill="1" applyBorder="1" applyAlignment="1">
      <alignment horizontal="center" vertical="center" wrapText="1"/>
    </xf>
    <xf numFmtId="4" fontId="28" fillId="0" borderId="75" xfId="0" applyFont="1" applyFill="1" applyBorder="1" applyAlignment="1">
      <alignment horizontal="center" vertical="center" wrapText="1"/>
    </xf>
    <xf numFmtId="3" fontId="28" fillId="0" borderId="72" xfId="0" applyNumberFormat="1" applyFont="1" applyFill="1" applyBorder="1" applyAlignment="1">
      <alignment horizontal="center" vertical="center" wrapText="1"/>
    </xf>
    <xf numFmtId="4" fontId="28" fillId="0" borderId="76" xfId="0" applyFont="1" applyFill="1" applyBorder="1" applyAlignment="1">
      <alignment horizontal="center" vertical="center" wrapText="1"/>
    </xf>
    <xf numFmtId="4" fontId="28" fillId="0" borderId="51" xfId="0" applyFont="1" applyFill="1" applyBorder="1" applyAlignment="1">
      <alignment horizontal="center" vertical="center" wrapText="1"/>
    </xf>
    <xf numFmtId="4" fontId="28" fillId="0" borderId="47" xfId="0" applyFont="1" applyFill="1" applyBorder="1" applyAlignment="1">
      <alignment horizontal="center" vertical="center" wrapText="1"/>
    </xf>
    <xf numFmtId="4" fontId="42" fillId="8" borderId="10" xfId="0" applyFont="1" applyFill="1" applyBorder="1" applyAlignment="1">
      <alignment vertical="center" wrapText="1"/>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4" borderId="4" xfId="0" applyNumberFormat="1" applyFont="1" applyFill="1" applyBorder="1" applyAlignment="1">
      <alignment horizontal="center"/>
    </xf>
    <xf numFmtId="4" fontId="29" fillId="4" borderId="4" xfId="0" applyFont="1" applyFill="1" applyBorder="1" applyAlignment="1">
      <alignment horizontal="center" vertical="center" wrapText="1"/>
    </xf>
    <xf numFmtId="4" fontId="28" fillId="0" borderId="50" xfId="0" applyFont="1" applyBorder="1" applyAlignment="1">
      <alignment horizontal="left" vertical="top" wrapText="1"/>
    </xf>
    <xf numFmtId="4" fontId="28" fillId="0" borderId="53" xfId="0" applyFont="1" applyBorder="1" applyAlignment="1">
      <alignment horizontal="left" vertical="top" wrapText="1"/>
    </xf>
    <xf numFmtId="4" fontId="28" fillId="0" borderId="51" xfId="0" applyFont="1" applyBorder="1" applyAlignment="1">
      <alignment horizontal="left" vertical="top" wrapText="1"/>
    </xf>
    <xf numFmtId="4" fontId="28" fillId="0" borderId="59" xfId="0" applyNumberFormat="1" applyFont="1" applyBorder="1" applyAlignment="1">
      <alignment horizontal="center" vertical="top"/>
    </xf>
    <xf numFmtId="0" fontId="28" fillId="0" borderId="75" xfId="0" applyNumberFormat="1" applyFont="1" applyBorder="1" applyAlignment="1">
      <alignment horizontal="center" vertical="top"/>
    </xf>
    <xf numFmtId="4" fontId="28" fillId="0" borderId="1" xfId="0" applyNumberFormat="1" applyFont="1" applyBorder="1" applyAlignment="1">
      <alignment horizontal="right" vertical="top"/>
    </xf>
    <xf numFmtId="4" fontId="48" fillId="0" borderId="52" xfId="0" applyFont="1" applyBorder="1" applyAlignment="1">
      <alignment horizontal="center" vertical="top"/>
    </xf>
    <xf numFmtId="4" fontId="48" fillId="0" borderId="63" xfId="0" applyFont="1" applyBorder="1" applyAlignment="1">
      <alignment horizontal="center" vertical="top"/>
    </xf>
    <xf numFmtId="4" fontId="28" fillId="0" borderId="1" xfId="0" applyNumberFormat="1" applyFont="1" applyBorder="1" applyAlignment="1">
      <alignment horizontal="center" vertical="top" wrapText="1"/>
    </xf>
    <xf numFmtId="4" fontId="29" fillId="3" borderId="0" xfId="0" applyFont="1" applyFill="1" applyBorder="1" applyAlignment="1">
      <alignment vertical="top"/>
    </xf>
    <xf numFmtId="4" fontId="29" fillId="3" borderId="0" xfId="0" applyNumberFormat="1" applyFont="1" applyFill="1" applyBorder="1" applyAlignment="1">
      <alignment vertical="top"/>
    </xf>
    <xf numFmtId="4" fontId="29" fillId="6" borderId="0" xfId="0" applyFont="1" applyFill="1" applyBorder="1" applyAlignment="1">
      <alignment horizontal="left"/>
    </xf>
    <xf numFmtId="4" fontId="0" fillId="0" borderId="0" xfId="0" applyAlignment="1"/>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4" borderId="4" xfId="0" applyFont="1" applyFill="1" applyBorder="1" applyAlignment="1">
      <alignment horizontal="center"/>
    </xf>
    <xf numFmtId="4" fontId="29" fillId="3" borderId="4" xfId="0" applyFont="1" applyFill="1" applyBorder="1" applyAlignment="1">
      <alignment horizontal="left" vertical="top"/>
    </xf>
    <xf numFmtId="4" fontId="29" fillId="3" borderId="10" xfId="0" applyFont="1" applyFill="1" applyBorder="1" applyAlignment="1">
      <alignment horizontal="left" vertical="top"/>
    </xf>
    <xf numFmtId="4" fontId="29" fillId="3" borderId="25" xfId="0" applyFont="1" applyFill="1" applyBorder="1" applyAlignment="1">
      <alignment horizontal="left" vertical="top"/>
    </xf>
    <xf numFmtId="4" fontId="29" fillId="8" borderId="4" xfId="0" applyFont="1" applyFill="1" applyBorder="1" applyAlignment="1">
      <alignment vertical="top" wrapText="1"/>
    </xf>
    <xf numFmtId="4" fontId="28" fillId="0" borderId="52" xfId="0" applyFont="1" applyBorder="1" applyAlignment="1">
      <alignment horizontal="right" vertical="top" wrapText="1"/>
    </xf>
    <xf numFmtId="4" fontId="28" fillId="0" borderId="63" xfId="0" applyFont="1" applyBorder="1" applyAlignment="1">
      <alignment horizontal="right" vertical="top" wrapText="1"/>
    </xf>
    <xf numFmtId="14" fontId="28" fillId="0" borderId="60" xfId="0" applyNumberFormat="1" applyFont="1" applyBorder="1" applyAlignment="1">
      <alignment horizontal="center" vertical="top" wrapText="1"/>
    </xf>
    <xf numFmtId="4" fontId="28" fillId="0" borderId="1" xfId="0" applyFont="1" applyBorder="1" applyAlignment="1">
      <alignment horizontal="right" vertical="top" wrapText="1"/>
    </xf>
    <xf numFmtId="4" fontId="29" fillId="0" borderId="0" xfId="0" applyFont="1" applyFill="1" applyAlignment="1">
      <alignment horizontal="left"/>
    </xf>
    <xf numFmtId="4" fontId="29" fillId="0" borderId="0" xfId="0" applyFont="1" applyFill="1" applyAlignment="1"/>
    <xf numFmtId="3" fontId="6" fillId="4" borderId="25" xfId="2" applyNumberFormat="1" applyFont="1" applyFill="1" applyBorder="1"/>
    <xf numFmtId="3" fontId="5" fillId="0" borderId="57" xfId="2" applyNumberFormat="1" applyFont="1" applyBorder="1"/>
    <xf numFmtId="3" fontId="5" fillId="0" borderId="51" xfId="2" applyNumberFormat="1" applyFont="1" applyBorder="1" applyAlignment="1">
      <alignment horizontal="right"/>
    </xf>
    <xf numFmtId="3" fontId="5" fillId="4" borderId="25" xfId="2" applyNumberFormat="1" applyFont="1" applyFill="1" applyBorder="1" applyAlignment="1">
      <alignment horizontal="right"/>
    </xf>
    <xf numFmtId="3" fontId="5" fillId="0" borderId="19" xfId="2" applyNumberFormat="1" applyFont="1" applyFill="1" applyBorder="1"/>
    <xf numFmtId="3" fontId="5" fillId="0" borderId="57" xfId="2" applyNumberFormat="1" applyFont="1" applyFill="1" applyBorder="1"/>
    <xf numFmtId="3" fontId="5" fillId="0" borderId="51" xfId="2" applyNumberFormat="1" applyFont="1" applyBorder="1" applyAlignment="1"/>
    <xf numFmtId="3" fontId="5" fillId="0" borderId="51" xfId="2" applyNumberFormat="1" applyFont="1" applyFill="1" applyBorder="1"/>
    <xf numFmtId="3" fontId="8" fillId="0" borderId="51" xfId="2" applyNumberFormat="1" applyFont="1" applyFill="1" applyBorder="1" applyAlignment="1">
      <alignment horizontal="center"/>
    </xf>
    <xf numFmtId="3" fontId="5" fillId="0" borderId="51" xfId="0" applyNumberFormat="1" applyFont="1" applyBorder="1">
      <alignment vertical="top"/>
    </xf>
    <xf numFmtId="1" fontId="19" fillId="0" borderId="65" xfId="0" applyNumberFormat="1" applyFont="1" applyBorder="1">
      <alignment vertical="top"/>
    </xf>
    <xf numFmtId="1" fontId="19" fillId="0" borderId="52" xfId="0" applyNumberFormat="1" applyFont="1" applyBorder="1" applyAlignment="1">
      <alignment horizontal="right" vertical="top"/>
    </xf>
    <xf numFmtId="1" fontId="19" fillId="0" borderId="66" xfId="0" applyNumberFormat="1" applyFont="1" applyBorder="1" applyAlignment="1">
      <alignment horizontal="right" vertical="top"/>
    </xf>
    <xf numFmtId="4" fontId="28" fillId="0" borderId="0" xfId="0" applyFont="1" applyAlignment="1">
      <alignment vertical="center"/>
    </xf>
    <xf numFmtId="4" fontId="29" fillId="0" borderId="1" xfId="0" applyNumberFormat="1" applyFont="1" applyFill="1" applyBorder="1" applyAlignment="1">
      <alignment vertical="top"/>
    </xf>
    <xf numFmtId="4" fontId="29" fillId="0" borderId="52" xfId="0" applyNumberFormat="1" applyFont="1" applyFill="1" applyBorder="1" applyAlignment="1">
      <alignment vertical="top"/>
    </xf>
    <xf numFmtId="4" fontId="29" fillId="0" borderId="75" xfId="0" applyNumberFormat="1" applyFont="1" applyFill="1" applyBorder="1" applyAlignment="1">
      <alignment vertical="top"/>
    </xf>
    <xf numFmtId="4" fontId="29" fillId="8" borderId="32" xfId="0" applyFont="1" applyFill="1" applyBorder="1" applyAlignment="1">
      <alignment vertical="top"/>
    </xf>
    <xf numFmtId="14" fontId="11" fillId="0" borderId="52" xfId="0" applyNumberFormat="1" applyFont="1" applyFill="1" applyBorder="1" applyAlignment="1">
      <alignment horizontal="center" vertical="top"/>
    </xf>
    <xf numFmtId="4" fontId="11" fillId="0" borderId="52" xfId="0" applyNumberFormat="1" applyFont="1" applyFill="1" applyBorder="1" applyAlignment="1">
      <alignment horizontal="right" vertical="top"/>
    </xf>
    <xf numFmtId="4" fontId="11" fillId="0" borderId="52" xfId="0" applyFont="1" applyFill="1" applyBorder="1" applyAlignment="1">
      <alignment horizontal="left" vertical="top"/>
    </xf>
    <xf numFmtId="49" fontId="11" fillId="0" borderId="1" xfId="0" applyNumberFormat="1" applyFont="1" applyFill="1" applyBorder="1" applyAlignment="1">
      <alignment horizontal="center" vertical="top"/>
    </xf>
    <xf numFmtId="4" fontId="11" fillId="0" borderId="1" xfId="0" applyNumberFormat="1" applyFont="1" applyFill="1" applyBorder="1" applyAlignment="1">
      <alignment horizontal="right" vertical="top"/>
    </xf>
    <xf numFmtId="49" fontId="11" fillId="0" borderId="52" xfId="0" applyNumberFormat="1" applyFont="1" applyFill="1" applyBorder="1" applyAlignment="1">
      <alignment horizontal="center" vertical="top"/>
    </xf>
    <xf numFmtId="4" fontId="28" fillId="0" borderId="52" xfId="0" applyFont="1" applyFill="1" applyBorder="1" applyAlignment="1">
      <alignment vertical="top"/>
    </xf>
    <xf numFmtId="4" fontId="29" fillId="3" borderId="4" xfId="0" applyNumberFormat="1" applyFont="1" applyFill="1" applyBorder="1" applyAlignment="1" applyProtection="1">
      <alignment horizontal="right" vertical="top"/>
      <protection locked="0"/>
    </xf>
    <xf numFmtId="4" fontId="28" fillId="8" borderId="10" xfId="0" applyFont="1" applyFill="1" applyBorder="1" applyAlignment="1">
      <alignment horizontal="left" vertical="top"/>
    </xf>
    <xf numFmtId="4" fontId="28" fillId="8" borderId="25" xfId="0" applyFont="1" applyFill="1" applyBorder="1" applyAlignment="1">
      <alignment horizontal="left" vertical="top"/>
    </xf>
    <xf numFmtId="49" fontId="28" fillId="0" borderId="1" xfId="0" applyNumberFormat="1" applyFont="1" applyFill="1" applyBorder="1" applyAlignment="1">
      <alignment horizontal="center" vertical="top"/>
    </xf>
    <xf numFmtId="4" fontId="28" fillId="0" borderId="1" xfId="0" applyNumberFormat="1" applyFont="1" applyFill="1" applyBorder="1" applyAlignment="1">
      <alignment vertical="top"/>
    </xf>
    <xf numFmtId="4" fontId="28" fillId="0" borderId="1" xfId="0" applyNumberFormat="1" applyFont="1" applyFill="1" applyBorder="1" applyAlignment="1">
      <alignment horizontal="right" vertical="top"/>
    </xf>
    <xf numFmtId="14" fontId="28" fillId="0" borderId="1" xfId="0" applyNumberFormat="1" applyFont="1" applyFill="1" applyBorder="1" applyAlignment="1">
      <alignment horizontal="center" vertical="top"/>
    </xf>
    <xf numFmtId="4" fontId="28" fillId="0" borderId="1" xfId="0" applyFont="1" applyFill="1" applyBorder="1" applyAlignment="1">
      <alignment horizontal="center" vertical="top"/>
    </xf>
    <xf numFmtId="49" fontId="28" fillId="0" borderId="52" xfId="0" applyNumberFormat="1" applyFont="1" applyFill="1" applyBorder="1" applyAlignment="1">
      <alignment horizontal="center" vertical="top"/>
    </xf>
    <xf numFmtId="4" fontId="28" fillId="0" borderId="52" xfId="0" applyNumberFormat="1" applyFont="1" applyFill="1" applyBorder="1" applyAlignment="1">
      <alignment vertical="top"/>
    </xf>
    <xf numFmtId="4" fontId="29" fillId="3" borderId="10" xfId="0" applyFont="1" applyFill="1" applyBorder="1" applyAlignment="1">
      <alignment horizontal="center" vertical="top"/>
    </xf>
    <xf numFmtId="4" fontId="29" fillId="3" borderId="25" xfId="0" applyFont="1" applyFill="1" applyBorder="1" applyAlignment="1">
      <alignment horizontal="center" vertical="top"/>
    </xf>
    <xf numFmtId="4" fontId="29" fillId="8" borderId="4" xfId="0" applyFont="1" applyFill="1" applyBorder="1" applyAlignment="1">
      <alignment vertical="top"/>
    </xf>
    <xf numFmtId="4" fontId="29" fillId="3" borderId="7" xfId="0" applyNumberFormat="1" applyFont="1" applyFill="1" applyBorder="1" applyAlignment="1">
      <alignment horizontal="right" vertical="top"/>
    </xf>
    <xf numFmtId="4" fontId="28" fillId="8" borderId="7" xfId="0" applyFont="1" applyFill="1" applyBorder="1" applyAlignment="1">
      <alignment vertical="top"/>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29" fillId="4" borderId="4" xfId="0" applyFont="1" applyFill="1" applyBorder="1" applyAlignment="1">
      <alignment horizontal="center"/>
    </xf>
    <xf numFmtId="4" fontId="29" fillId="3" borderId="4" xfId="0" applyFont="1" applyFill="1" applyBorder="1" applyAlignment="1">
      <alignment horizontal="left" vertical="top"/>
    </xf>
    <xf numFmtId="3" fontId="6" fillId="0" borderId="65" xfId="2" applyFont="1" applyBorder="1" applyAlignment="1">
      <alignment horizontal="left"/>
    </xf>
    <xf numFmtId="3" fontId="6" fillId="0" borderId="66" xfId="2" applyFont="1" applyBorder="1" applyAlignment="1">
      <alignment horizontal="left"/>
    </xf>
    <xf numFmtId="4" fontId="29" fillId="3" borderId="1" xfId="0" applyNumberFormat="1" applyFont="1" applyFill="1" applyBorder="1" applyAlignment="1">
      <alignment vertical="top"/>
    </xf>
    <xf numFmtId="14" fontId="21" fillId="0" borderId="54" xfId="0" applyNumberFormat="1" applyFont="1" applyBorder="1" applyAlignment="1">
      <alignment horizontal="center" vertical="top" wrapText="1"/>
    </xf>
    <xf numFmtId="3" fontId="6" fillId="0" borderId="65" xfId="2" applyFont="1" applyBorder="1" applyAlignment="1">
      <alignment horizontal="left"/>
    </xf>
    <xf numFmtId="3" fontId="6" fillId="0" borderId="66" xfId="2" applyFont="1" applyBorder="1" applyAlignment="1">
      <alignment horizontal="left"/>
    </xf>
    <xf numFmtId="4" fontId="21" fillId="0" borderId="6" xfId="0" applyFont="1" applyBorder="1" applyAlignment="1">
      <alignment horizontal="center" vertical="top" wrapText="1"/>
    </xf>
    <xf numFmtId="14" fontId="21" fillId="0" borderId="6" xfId="0" applyNumberFormat="1" applyFont="1" applyBorder="1" applyAlignment="1">
      <alignment horizontal="center" vertical="top" wrapText="1"/>
    </xf>
    <xf numFmtId="14" fontId="11" fillId="0" borderId="1" xfId="0" applyNumberFormat="1" applyFont="1" applyBorder="1" applyAlignment="1">
      <alignment horizontal="center" vertical="top" wrapText="1"/>
    </xf>
    <xf numFmtId="4" fontId="28" fillId="0" borderId="6" xfId="0" applyFont="1" applyBorder="1" applyAlignment="1">
      <alignment horizontal="center" vertical="top"/>
    </xf>
    <xf numFmtId="4" fontId="28" fillId="0" borderId="6" xfId="0" applyNumberFormat="1" applyFont="1" applyBorder="1" applyAlignment="1">
      <alignment horizontal="right" vertical="top"/>
    </xf>
    <xf numFmtId="4" fontId="11" fillId="0" borderId="6" xfId="0" applyFont="1" applyBorder="1" applyAlignment="1">
      <alignment horizontal="center" vertical="top" wrapText="1"/>
    </xf>
    <xf numFmtId="4" fontId="28" fillId="0" borderId="62" xfId="0" applyFont="1" applyFill="1" applyBorder="1" applyAlignment="1">
      <alignment horizontal="center" vertical="center" wrapText="1"/>
    </xf>
    <xf numFmtId="4" fontId="29" fillId="4" borderId="4" xfId="0" applyFont="1" applyFill="1" applyBorder="1" applyAlignment="1">
      <alignment horizontal="center" vertical="center" wrapText="1"/>
    </xf>
    <xf numFmtId="4" fontId="29" fillId="3" borderId="4" xfId="0" applyFont="1" applyFill="1" applyBorder="1" applyAlignment="1">
      <alignment vertical="top"/>
    </xf>
    <xf numFmtId="3" fontId="49" fillId="0" borderId="70" xfId="2" applyFont="1" applyBorder="1" applyAlignment="1">
      <alignment horizontal="center"/>
    </xf>
    <xf numFmtId="49" fontId="49" fillId="4" borderId="35" xfId="2" applyNumberFormat="1" applyFont="1" applyFill="1" applyBorder="1" applyAlignment="1">
      <alignment horizontal="center"/>
    </xf>
    <xf numFmtId="3" fontId="10" fillId="0" borderId="13" xfId="2" applyNumberFormat="1" applyFont="1" applyBorder="1" applyAlignment="1">
      <alignment horizontal="right"/>
    </xf>
    <xf numFmtId="3" fontId="10" fillId="0" borderId="2" xfId="2" applyNumberFormat="1" applyFont="1" applyBorder="1" applyAlignment="1">
      <alignment horizontal="right"/>
    </xf>
    <xf numFmtId="4" fontId="10" fillId="0" borderId="2" xfId="2" applyNumberFormat="1" applyFont="1" applyFill="1" applyBorder="1"/>
    <xf numFmtId="3" fontId="10" fillId="0" borderId="14" xfId="2" applyNumberFormat="1" applyFont="1" applyBorder="1" applyAlignment="1">
      <alignment horizontal="right"/>
    </xf>
    <xf numFmtId="3" fontId="49" fillId="0" borderId="65" xfId="2" applyFont="1" applyBorder="1" applyAlignment="1">
      <alignment horizontal="left"/>
    </xf>
    <xf numFmtId="3" fontId="49" fillId="0" borderId="66" xfId="2" applyFont="1" applyBorder="1" applyAlignment="1">
      <alignment horizontal="left"/>
    </xf>
    <xf numFmtId="3" fontId="49" fillId="0" borderId="70" xfId="2" applyFont="1" applyFill="1" applyBorder="1" applyAlignment="1">
      <alignment horizontal="center"/>
    </xf>
    <xf numFmtId="3" fontId="49" fillId="0" borderId="65" xfId="2" applyFont="1" applyFill="1" applyBorder="1" applyAlignment="1">
      <alignment horizontal="left"/>
    </xf>
    <xf numFmtId="3" fontId="49" fillId="0" borderId="66" xfId="2" applyFont="1" applyFill="1" applyBorder="1" applyAlignment="1">
      <alignment horizontal="left"/>
    </xf>
    <xf numFmtId="3" fontId="10" fillId="0" borderId="65" xfId="2" applyNumberFormat="1" applyFont="1" applyBorder="1" applyAlignment="1">
      <alignment horizontal="right"/>
    </xf>
    <xf numFmtId="3" fontId="10" fillId="0" borderId="52" xfId="2" applyNumberFormat="1" applyFont="1" applyBorder="1" applyAlignment="1">
      <alignment horizontal="right"/>
    </xf>
    <xf numFmtId="4" fontId="10" fillId="0" borderId="52" xfId="2" applyNumberFormat="1" applyFont="1" applyFill="1" applyBorder="1"/>
    <xf numFmtId="4" fontId="28" fillId="0" borderId="59" xfId="0" applyNumberFormat="1" applyFont="1" applyBorder="1" applyAlignment="1">
      <alignment horizontal="right" vertical="top" wrapText="1"/>
    </xf>
    <xf numFmtId="4" fontId="28" fillId="0" borderId="75" xfId="0" applyNumberFormat="1" applyFont="1" applyBorder="1" applyAlignment="1">
      <alignment horizontal="right" vertical="top" wrapText="1"/>
    </xf>
    <xf numFmtId="4" fontId="28" fillId="0" borderId="59" xfId="0" applyNumberFormat="1" applyFont="1" applyBorder="1" applyAlignment="1">
      <alignment horizontal="right" vertical="center" wrapText="1"/>
    </xf>
    <xf numFmtId="4" fontId="28" fillId="0" borderId="75" xfId="0" applyNumberFormat="1" applyFont="1" applyBorder="1" applyAlignment="1">
      <alignment horizontal="right" vertical="center" wrapText="1"/>
    </xf>
    <xf numFmtId="4" fontId="28" fillId="11" borderId="52" xfId="0" applyNumberFormat="1" applyFont="1" applyFill="1" applyBorder="1" applyAlignment="1">
      <alignment horizontal="right" vertical="top" wrapText="1"/>
    </xf>
    <xf numFmtId="4" fontId="28" fillId="0" borderId="1" xfId="0" applyNumberFormat="1" applyFont="1" applyFill="1" applyBorder="1" applyAlignment="1">
      <alignment horizontal="right" vertical="center" wrapText="1"/>
    </xf>
    <xf numFmtId="14" fontId="28" fillId="0" borderId="1" xfId="0" applyNumberFormat="1" applyFont="1" applyFill="1" applyBorder="1" applyAlignment="1">
      <alignment horizontal="center" vertical="center" wrapText="1"/>
    </xf>
    <xf numFmtId="4" fontId="28" fillId="0" borderId="59" xfId="0" applyNumberFormat="1" applyFont="1" applyFill="1" applyBorder="1" applyAlignment="1">
      <alignment horizontal="right" vertical="center" wrapText="1"/>
    </xf>
    <xf numFmtId="14" fontId="28" fillId="0" borderId="59" xfId="0" applyNumberFormat="1" applyFont="1" applyFill="1" applyBorder="1" applyAlignment="1">
      <alignment horizontal="center" vertical="center" wrapText="1"/>
    </xf>
    <xf numFmtId="4" fontId="28" fillId="0" borderId="52" xfId="0" applyNumberFormat="1" applyFont="1" applyFill="1" applyBorder="1" applyAlignment="1">
      <alignment horizontal="right" vertical="center" wrapText="1"/>
    </xf>
    <xf numFmtId="14" fontId="28" fillId="0" borderId="52" xfId="0" applyNumberFormat="1" applyFont="1" applyFill="1" applyBorder="1" applyAlignment="1">
      <alignment horizontal="center" vertical="center" wrapText="1"/>
    </xf>
    <xf numFmtId="4" fontId="28" fillId="0" borderId="58" xfId="0" applyNumberFormat="1" applyFont="1" applyFill="1" applyBorder="1" applyAlignment="1">
      <alignment horizontal="right" vertical="center" wrapText="1"/>
    </xf>
    <xf numFmtId="14" fontId="28" fillId="0" borderId="58" xfId="0" applyNumberFormat="1" applyFont="1" applyFill="1" applyBorder="1" applyAlignment="1">
      <alignment horizontal="center" vertical="center" wrapText="1"/>
    </xf>
    <xf numFmtId="4" fontId="28" fillId="0" borderId="75" xfId="0" applyNumberFormat="1" applyFont="1" applyFill="1" applyBorder="1" applyAlignment="1">
      <alignment horizontal="right" vertical="center" wrapText="1"/>
    </xf>
    <xf numFmtId="4" fontId="28" fillId="0" borderId="47" xfId="0" applyNumberFormat="1" applyFont="1" applyFill="1" applyBorder="1" applyAlignment="1">
      <alignment horizontal="right" vertical="center" wrapText="1"/>
    </xf>
    <xf numFmtId="14" fontId="28" fillId="0" borderId="47" xfId="0" applyNumberFormat="1" applyFont="1" applyFill="1" applyBorder="1" applyAlignment="1">
      <alignment horizontal="center" vertical="center" wrapText="1"/>
    </xf>
    <xf numFmtId="4" fontId="28" fillId="0" borderId="51" xfId="0" applyNumberFormat="1" applyFont="1" applyFill="1" applyBorder="1" applyAlignment="1">
      <alignment horizontal="right" vertical="center" wrapText="1"/>
    </xf>
    <xf numFmtId="14" fontId="28" fillId="0" borderId="51" xfId="0" applyNumberFormat="1" applyFont="1" applyFill="1" applyBorder="1" applyAlignment="1">
      <alignment horizontal="center" vertical="center" wrapText="1"/>
    </xf>
    <xf numFmtId="4" fontId="28" fillId="0" borderId="76" xfId="0" applyNumberFormat="1" applyFont="1" applyFill="1" applyBorder="1" applyAlignment="1">
      <alignment horizontal="right" vertical="center" wrapText="1"/>
    </xf>
    <xf numFmtId="14" fontId="28" fillId="0" borderId="76" xfId="0" applyNumberFormat="1" applyFont="1" applyFill="1" applyBorder="1" applyAlignment="1">
      <alignment horizontal="center" vertical="center" wrapText="1"/>
    </xf>
    <xf numFmtId="4" fontId="28" fillId="0" borderId="72" xfId="0" applyNumberFormat="1" applyFont="1" applyFill="1" applyBorder="1" applyAlignment="1">
      <alignment horizontal="right" vertical="center" wrapText="1"/>
    </xf>
    <xf numFmtId="14" fontId="28" fillId="0" borderId="72" xfId="0" applyNumberFormat="1" applyFont="1" applyFill="1" applyBorder="1" applyAlignment="1">
      <alignment horizontal="center" vertical="center" wrapText="1"/>
    </xf>
    <xf numFmtId="14" fontId="28" fillId="0" borderId="75" xfId="0" applyNumberFormat="1" applyFont="1" applyFill="1" applyBorder="1" applyAlignment="1">
      <alignment horizontal="center" vertical="center" wrapText="1"/>
    </xf>
    <xf numFmtId="4" fontId="28" fillId="0" borderId="63" xfId="0" applyNumberFormat="1" applyFont="1" applyFill="1" applyBorder="1" applyAlignment="1">
      <alignment horizontal="right" vertical="center" wrapText="1"/>
    </xf>
    <xf numFmtId="14" fontId="28" fillId="0" borderId="63" xfId="0" applyNumberFormat="1" applyFont="1" applyFill="1" applyBorder="1" applyAlignment="1">
      <alignment horizontal="center" vertical="center" wrapText="1"/>
    </xf>
    <xf numFmtId="14" fontId="28" fillId="0" borderId="62" xfId="0" applyNumberFormat="1" applyFont="1" applyFill="1" applyBorder="1" applyAlignment="1">
      <alignment horizontal="center" vertical="center" wrapText="1"/>
    </xf>
    <xf numFmtId="4" fontId="11" fillId="0" borderId="57"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14" fontId="28" fillId="0" borderId="57" xfId="0" applyNumberFormat="1" applyFont="1" applyFill="1" applyBorder="1" applyAlignment="1">
      <alignment horizontal="center" vertical="center" wrapText="1"/>
    </xf>
    <xf numFmtId="4" fontId="11" fillId="0" borderId="51" xfId="0" applyFont="1" applyFill="1" applyBorder="1" applyAlignment="1">
      <alignment horizontal="center" vertical="center" wrapText="1"/>
    </xf>
    <xf numFmtId="4" fontId="11" fillId="0" borderId="52" xfId="0" applyNumberFormat="1" applyFont="1" applyFill="1" applyBorder="1" applyAlignment="1">
      <alignment horizontal="right" vertical="center" wrapText="1"/>
    </xf>
    <xf numFmtId="4" fontId="11" fillId="0" borderId="59" xfId="0" applyNumberFormat="1" applyFont="1" applyFill="1" applyBorder="1" applyAlignment="1">
      <alignment horizontal="right" vertical="center" wrapText="1"/>
    </xf>
    <xf numFmtId="4" fontId="11" fillId="0" borderId="72" xfId="0" applyFont="1" applyFill="1" applyBorder="1" applyAlignment="1">
      <alignment horizontal="center" vertical="center" wrapText="1"/>
    </xf>
    <xf numFmtId="4" fontId="11" fillId="0" borderId="47" xfId="0" applyFont="1" applyFill="1" applyBorder="1" applyAlignment="1">
      <alignment horizontal="center" vertical="center" wrapText="1"/>
    </xf>
    <xf numFmtId="4" fontId="11" fillId="0" borderId="58" xfId="0" applyNumberFormat="1" applyFont="1" applyFill="1" applyBorder="1" applyAlignment="1">
      <alignment horizontal="right" vertical="center" wrapText="1"/>
    </xf>
    <xf numFmtId="4" fontId="11" fillId="0" borderId="52" xfId="0" applyFont="1" applyFill="1" applyBorder="1" applyAlignment="1">
      <alignment horizontal="center" vertical="center" wrapText="1"/>
    </xf>
    <xf numFmtId="4" fontId="11" fillId="0" borderId="52" xfId="0" applyFont="1" applyFill="1" applyBorder="1" applyAlignment="1">
      <alignment horizontal="center" vertical="center"/>
    </xf>
    <xf numFmtId="2" fontId="11" fillId="0" borderId="59" xfId="0" applyNumberFormat="1" applyFont="1" applyFill="1" applyBorder="1" applyAlignment="1"/>
    <xf numFmtId="2" fontId="11" fillId="0" borderId="52" xfId="0" applyNumberFormat="1" applyFont="1" applyFill="1" applyBorder="1" applyAlignment="1"/>
    <xf numFmtId="4" fontId="11" fillId="0" borderId="51" xfId="0" applyFont="1" applyFill="1" applyBorder="1" applyAlignment="1">
      <alignment horizontal="center" vertical="center"/>
    </xf>
    <xf numFmtId="4" fontId="11" fillId="0" borderId="0" xfId="0" applyFont="1" applyFill="1" applyBorder="1" applyAlignment="1">
      <alignment horizontal="center" vertical="center"/>
    </xf>
    <xf numFmtId="2" fontId="11" fillId="0" borderId="58" xfId="0" applyNumberFormat="1" applyFont="1" applyFill="1" applyBorder="1" applyAlignment="1"/>
    <xf numFmtId="4" fontId="11" fillId="0" borderId="5" xfId="0" applyFont="1" applyFill="1" applyBorder="1" applyAlignment="1">
      <alignment horizontal="center" vertical="center" wrapText="1"/>
    </xf>
    <xf numFmtId="4" fontId="11" fillId="0" borderId="60" xfId="0" applyNumberFormat="1" applyFont="1" applyFill="1" applyBorder="1" applyAlignment="1">
      <alignment horizontal="right" vertical="center" wrapText="1"/>
    </xf>
    <xf numFmtId="4" fontId="28" fillId="0" borderId="48" xfId="0" applyNumberFormat="1" applyFont="1" applyFill="1" applyBorder="1" applyAlignment="1">
      <alignment horizontal="right" vertical="center" wrapText="1"/>
    </xf>
    <xf numFmtId="14" fontId="28" fillId="0" borderId="83" xfId="0" applyNumberFormat="1" applyFont="1" applyFill="1" applyBorder="1" applyAlignment="1">
      <alignment horizontal="center" vertical="center" wrapText="1"/>
    </xf>
    <xf numFmtId="14" fontId="28" fillId="0" borderId="48" xfId="0" applyNumberFormat="1" applyFont="1" applyFill="1" applyBorder="1" applyAlignment="1">
      <alignment horizontal="center" vertical="center" wrapText="1"/>
    </xf>
    <xf numFmtId="4" fontId="21" fillId="0" borderId="50" xfId="0" applyFont="1" applyBorder="1" applyAlignment="1">
      <alignment horizontal="left" vertical="top" wrapText="1"/>
    </xf>
    <xf numFmtId="4" fontId="21" fillId="0" borderId="53" xfId="0" applyFont="1" applyBorder="1" applyAlignment="1">
      <alignment horizontal="left" vertical="top" wrapText="1"/>
    </xf>
    <xf numFmtId="4" fontId="21" fillId="0" borderId="51" xfId="0" applyFont="1" applyBorder="1" applyAlignment="1">
      <alignment horizontal="left" vertical="top" wrapText="1"/>
    </xf>
    <xf numFmtId="4" fontId="31" fillId="0" borderId="52" xfId="0" applyNumberFormat="1" applyFont="1" applyBorder="1" applyAlignment="1">
      <alignment horizontal="left" vertical="top" wrapText="1"/>
    </xf>
    <xf numFmtId="4" fontId="11" fillId="0" borderId="65" xfId="0" applyFont="1" applyBorder="1" applyAlignment="1">
      <alignment horizontal="left" vertical="top" wrapText="1"/>
    </xf>
    <xf numFmtId="4" fontId="11" fillId="0" borderId="52" xfId="0" applyFont="1" applyBorder="1" applyAlignment="1">
      <alignment horizontal="left" vertical="top" wrapText="1"/>
    </xf>
    <xf numFmtId="4" fontId="10" fillId="7" borderId="0" xfId="0" applyFont="1" applyFill="1" applyAlignment="1">
      <alignment horizontal="left"/>
    </xf>
    <xf numFmtId="4" fontId="28" fillId="0" borderId="50" xfId="0" applyFont="1" applyBorder="1" applyAlignment="1">
      <alignment horizontal="left" vertical="top" wrapText="1"/>
    </xf>
    <xf numFmtId="4" fontId="28" fillId="0" borderId="53" xfId="0" applyFont="1" applyBorder="1" applyAlignment="1">
      <alignment horizontal="left" vertical="top" wrapText="1"/>
    </xf>
    <xf numFmtId="4" fontId="28" fillId="0" borderId="51" xfId="0" applyFont="1" applyBorder="1" applyAlignment="1">
      <alignment horizontal="left" vertical="top" wrapText="1"/>
    </xf>
    <xf numFmtId="4" fontId="29" fillId="7" borderId="0" xfId="0" applyFont="1" applyFill="1" applyAlignment="1">
      <alignment horizontal="left"/>
    </xf>
    <xf numFmtId="4" fontId="29" fillId="4" borderId="10" xfId="0" applyFont="1" applyFill="1" applyBorder="1" applyAlignment="1">
      <alignment horizontal="center" vertical="center" wrapText="1"/>
    </xf>
    <xf numFmtId="4" fontId="29" fillId="4" borderId="32" xfId="0" applyFont="1" applyFill="1" applyBorder="1" applyAlignment="1">
      <alignment horizontal="center" vertical="center" wrapText="1"/>
    </xf>
    <xf numFmtId="4" fontId="31" fillId="0" borderId="69" xfId="0" applyFont="1" applyBorder="1" applyAlignment="1">
      <alignment horizontal="left" vertical="top" wrapText="1"/>
    </xf>
    <xf numFmtId="4" fontId="31" fillId="0" borderId="56" xfId="0" applyFont="1" applyBorder="1" applyAlignment="1">
      <alignment horizontal="left" vertical="top" wrapText="1"/>
    </xf>
    <xf numFmtId="4" fontId="29" fillId="3" borderId="10" xfId="0" applyFont="1" applyFill="1" applyBorder="1" applyAlignment="1">
      <alignment horizontal="center" vertical="center" wrapText="1"/>
    </xf>
    <xf numFmtId="4" fontId="29" fillId="3" borderId="32" xfId="0" applyFont="1" applyFill="1" applyBorder="1" applyAlignment="1">
      <alignment horizontal="center" vertical="center" wrapText="1"/>
    </xf>
    <xf numFmtId="4" fontId="28" fillId="5" borderId="10" xfId="0" applyFont="1" applyFill="1" applyBorder="1" applyAlignment="1">
      <alignment horizontal="center" vertical="center" wrapText="1"/>
    </xf>
    <xf numFmtId="4" fontId="28" fillId="5" borderId="25" xfId="0" applyFont="1" applyFill="1" applyBorder="1" applyAlignment="1">
      <alignment horizontal="center" vertical="center" wrapText="1"/>
    </xf>
    <xf numFmtId="4" fontId="11" fillId="0" borderId="64" xfId="0" applyFont="1" applyBorder="1" applyAlignment="1">
      <alignment horizontal="left" vertical="top" wrapText="1"/>
    </xf>
    <xf numFmtId="4" fontId="11" fillId="0" borderId="1" xfId="0" applyFont="1" applyBorder="1" applyAlignment="1">
      <alignment horizontal="left" vertical="top" wrapText="1"/>
    </xf>
    <xf numFmtId="4" fontId="29" fillId="5" borderId="10" xfId="0" applyFont="1" applyFill="1" applyBorder="1" applyAlignment="1">
      <alignment horizontal="center" vertical="center" wrapText="1"/>
    </xf>
    <xf numFmtId="4" fontId="29" fillId="5" borderId="25" xfId="0" applyFont="1" applyFill="1" applyBorder="1" applyAlignment="1">
      <alignment horizontal="center" vertical="center" wrapText="1"/>
    </xf>
    <xf numFmtId="4" fontId="11" fillId="0" borderId="67" xfId="0" applyFont="1" applyBorder="1" applyAlignment="1">
      <alignment horizontal="left" vertical="top" wrapText="1"/>
    </xf>
    <xf numFmtId="4" fontId="11" fillId="0" borderId="63" xfId="0" applyFont="1" applyBorder="1" applyAlignment="1">
      <alignment horizontal="left" vertical="top" wrapText="1"/>
    </xf>
    <xf numFmtId="4" fontId="29" fillId="3" borderId="50" xfId="0" applyFont="1" applyFill="1" applyBorder="1" applyAlignment="1">
      <alignment horizontal="left" vertical="top"/>
    </xf>
    <xf numFmtId="4" fontId="29" fillId="3" borderId="51" xfId="0" applyFont="1" applyFill="1" applyBorder="1" applyAlignment="1">
      <alignment horizontal="left" vertical="top"/>
    </xf>
    <xf numFmtId="4" fontId="29" fillId="6" borderId="50" xfId="0" applyFont="1" applyFill="1" applyBorder="1" applyAlignment="1">
      <alignment horizontal="left"/>
    </xf>
    <xf numFmtId="4" fontId="29" fillId="6" borderId="53" xfId="0" applyFont="1" applyFill="1" applyBorder="1" applyAlignment="1">
      <alignment horizontal="left"/>
    </xf>
    <xf numFmtId="4" fontId="29" fillId="6" borderId="51" xfId="0" applyFont="1" applyFill="1" applyBorder="1" applyAlignment="1">
      <alignment horizontal="left"/>
    </xf>
    <xf numFmtId="4" fontId="29" fillId="3" borderId="75" xfId="0" applyFont="1" applyFill="1" applyBorder="1" applyAlignment="1">
      <alignment horizontal="left" vertical="top"/>
    </xf>
    <xf numFmtId="4" fontId="29" fillId="3" borderId="58" xfId="0" applyFont="1" applyFill="1" applyBorder="1" applyAlignment="1">
      <alignment horizontal="left" vertical="top"/>
    </xf>
    <xf numFmtId="4" fontId="29" fillId="4" borderId="4" xfId="0" applyFont="1" applyFill="1" applyBorder="1" applyAlignment="1">
      <alignment horizontal="center" vertical="center" wrapText="1"/>
    </xf>
    <xf numFmtId="4" fontId="29" fillId="4" borderId="4" xfId="0" applyNumberFormat="1" applyFont="1" applyFill="1" applyBorder="1" applyAlignment="1">
      <alignment horizontal="center"/>
    </xf>
    <xf numFmtId="4" fontId="31" fillId="0" borderId="63" xfId="0" applyNumberFormat="1" applyFont="1" applyBorder="1" applyAlignment="1">
      <alignment horizontal="left" vertical="top" wrapText="1"/>
    </xf>
    <xf numFmtId="4" fontId="29" fillId="3" borderId="4" xfId="0" applyNumberFormat="1" applyFont="1" applyFill="1" applyBorder="1" applyAlignment="1">
      <alignment horizontal="center" vertical="top"/>
    </xf>
    <xf numFmtId="4" fontId="11" fillId="0" borderId="89" xfId="0" applyNumberFormat="1" applyFont="1" applyBorder="1" applyAlignment="1">
      <alignment horizontal="left" vertical="top" wrapText="1"/>
    </xf>
    <xf numFmtId="4" fontId="11" fillId="0" borderId="33" xfId="0" applyNumberFormat="1" applyFont="1" applyBorder="1" applyAlignment="1">
      <alignment horizontal="left" vertical="top" wrapText="1"/>
    </xf>
    <xf numFmtId="4" fontId="11" fillId="0" borderId="49" xfId="0" applyNumberFormat="1" applyFont="1" applyBorder="1" applyAlignment="1">
      <alignment horizontal="left" vertical="top" wrapText="1"/>
    </xf>
    <xf numFmtId="4" fontId="11" fillId="0" borderId="77" xfId="0" applyNumberFormat="1" applyFont="1" applyBorder="1" applyAlignment="1">
      <alignment horizontal="left" vertical="top" wrapText="1"/>
    </xf>
    <xf numFmtId="4" fontId="11" fillId="0" borderId="78" xfId="0" applyNumberFormat="1" applyFont="1" applyBorder="1" applyAlignment="1">
      <alignment horizontal="left" vertical="top" wrapText="1"/>
    </xf>
    <xf numFmtId="4" fontId="11" fillId="0" borderId="72" xfId="0" applyNumberFormat="1" applyFont="1" applyBorder="1" applyAlignment="1">
      <alignment horizontal="left" vertical="top" wrapText="1"/>
    </xf>
    <xf numFmtId="4" fontId="31" fillId="0" borderId="55" xfId="0" applyFont="1" applyBorder="1" applyAlignment="1">
      <alignment horizontal="left" vertical="top" wrapText="1"/>
    </xf>
    <xf numFmtId="4" fontId="31" fillId="0" borderId="57" xfId="0" applyFont="1" applyBorder="1" applyAlignment="1">
      <alignment horizontal="left" vertical="top" wrapText="1"/>
    </xf>
    <xf numFmtId="4" fontId="29" fillId="6" borderId="4" xfId="0" applyNumberFormat="1" applyFont="1" applyFill="1" applyBorder="1" applyAlignment="1">
      <alignment horizontal="left"/>
    </xf>
    <xf numFmtId="4" fontId="33" fillId="6" borderId="4" xfId="0" applyNumberFormat="1" applyFont="1" applyFill="1" applyBorder="1" applyAlignment="1">
      <alignment horizontal="left"/>
    </xf>
    <xf numFmtId="4" fontId="11" fillId="0" borderId="55" xfId="0" applyFont="1" applyBorder="1" applyAlignment="1">
      <alignment horizontal="left" vertical="top" wrapText="1"/>
    </xf>
    <xf numFmtId="4" fontId="11" fillId="0" borderId="56" xfId="0" applyFont="1" applyBorder="1" applyAlignment="1">
      <alignment horizontal="left" vertical="top" wrapText="1"/>
    </xf>
    <xf numFmtId="4" fontId="11" fillId="0" borderId="57" xfId="0" applyFont="1" applyBorder="1" applyAlignment="1">
      <alignment horizontal="left" vertical="top" wrapText="1"/>
    </xf>
    <xf numFmtId="4" fontId="11" fillId="0" borderId="50" xfId="0" applyFont="1" applyBorder="1" applyAlignment="1">
      <alignment horizontal="left" vertical="top" wrapText="1"/>
    </xf>
    <xf numFmtId="4" fontId="11" fillId="0" borderId="53" xfId="0" applyFont="1" applyBorder="1" applyAlignment="1">
      <alignment horizontal="left" vertical="top" wrapText="1"/>
    </xf>
    <xf numFmtId="4" fontId="11" fillId="0" borderId="51" xfId="0" applyFont="1" applyBorder="1" applyAlignment="1">
      <alignment horizontal="left" vertical="top" wrapText="1"/>
    </xf>
    <xf numFmtId="4" fontId="11" fillId="0" borderId="60" xfId="0" applyFont="1" applyBorder="1" applyAlignment="1">
      <alignment horizontal="left" vertical="top" wrapText="1"/>
    </xf>
    <xf numFmtId="4" fontId="11" fillId="0" borderId="61" xfId="0" applyFont="1" applyBorder="1" applyAlignment="1">
      <alignment horizontal="left" vertical="top" wrapText="1"/>
    </xf>
    <xf numFmtId="4" fontId="11" fillId="0" borderId="62" xfId="0" applyFont="1" applyBorder="1" applyAlignment="1">
      <alignment horizontal="left" vertical="top" wrapText="1"/>
    </xf>
    <xf numFmtId="4" fontId="29" fillId="6" borderId="4" xfId="0" applyFont="1" applyFill="1" applyBorder="1" applyAlignment="1">
      <alignment horizontal="left"/>
    </xf>
    <xf numFmtId="4" fontId="29" fillId="4" borderId="4" xfId="0" applyFont="1" applyFill="1" applyBorder="1" applyAlignment="1">
      <alignment horizontal="center"/>
    </xf>
    <xf numFmtId="4" fontId="31" fillId="0" borderId="52" xfId="0" applyFont="1" applyBorder="1" applyAlignment="1">
      <alignment horizontal="left" vertical="top" wrapText="1"/>
    </xf>
    <xf numFmtId="4" fontId="29" fillId="4" borderId="10" xfId="0" applyFont="1" applyFill="1" applyBorder="1" applyAlignment="1">
      <alignment horizontal="center"/>
    </xf>
    <xf numFmtId="4" fontId="29" fillId="4" borderId="25" xfId="0" applyFont="1" applyFill="1" applyBorder="1" applyAlignment="1">
      <alignment horizontal="center"/>
    </xf>
    <xf numFmtId="4" fontId="29" fillId="3" borderId="4" xfId="0" applyFont="1" applyFill="1" applyBorder="1" applyAlignment="1">
      <alignment horizontal="left" vertical="top"/>
    </xf>
    <xf numFmtId="4" fontId="28" fillId="6" borderId="26" xfId="0" applyFont="1" applyFill="1" applyBorder="1" applyAlignment="1">
      <alignment horizontal="left"/>
    </xf>
    <xf numFmtId="4" fontId="28" fillId="6" borderId="6" xfId="0" applyFont="1" applyFill="1" applyBorder="1" applyAlignment="1">
      <alignment horizontal="left"/>
    </xf>
    <xf numFmtId="4" fontId="28" fillId="6" borderId="87" xfId="0" applyFont="1" applyFill="1" applyBorder="1" applyAlignment="1">
      <alignment horizontal="left"/>
    </xf>
    <xf numFmtId="4" fontId="29" fillId="3" borderId="77" xfId="0" applyFont="1" applyFill="1" applyBorder="1" applyAlignment="1">
      <alignment horizontal="left" vertical="top"/>
    </xf>
    <xf numFmtId="4" fontId="29" fillId="3" borderId="72" xfId="0" applyFont="1" applyFill="1" applyBorder="1" applyAlignment="1">
      <alignment horizontal="left" vertical="top"/>
    </xf>
    <xf numFmtId="4" fontId="11" fillId="0" borderId="59" xfId="0" applyFont="1" applyBorder="1" applyAlignment="1">
      <alignment horizontal="left" vertical="top" wrapText="1"/>
    </xf>
    <xf numFmtId="3" fontId="3" fillId="0" borderId="0" xfId="2" applyFont="1" applyBorder="1" applyAlignment="1">
      <alignment horizontal="center"/>
    </xf>
    <xf numFmtId="4" fontId="5" fillId="3" borderId="24" xfId="2" applyNumberFormat="1" applyFont="1" applyFill="1" applyBorder="1" applyAlignment="1">
      <alignment horizontal="center" wrapText="1"/>
    </xf>
    <xf numFmtId="4" fontId="5" fillId="3" borderId="7" xfId="2" applyNumberFormat="1" applyFont="1" applyFill="1" applyBorder="1" applyAlignment="1">
      <alignment horizontal="center" wrapText="1"/>
    </xf>
    <xf numFmtId="4" fontId="5" fillId="3" borderId="10" xfId="2" applyNumberFormat="1" applyFont="1" applyFill="1" applyBorder="1" applyAlignment="1">
      <alignment horizontal="center"/>
    </xf>
    <xf numFmtId="4" fontId="5" fillId="3" borderId="32" xfId="2" applyNumberFormat="1" applyFont="1" applyFill="1" applyBorder="1" applyAlignment="1">
      <alignment horizontal="center"/>
    </xf>
    <xf numFmtId="4" fontId="5" fillId="3" borderId="25" xfId="2" applyNumberFormat="1" applyFont="1" applyFill="1" applyBorder="1" applyAlignment="1">
      <alignment horizontal="center"/>
    </xf>
    <xf numFmtId="3" fontId="5" fillId="3" borderId="24" xfId="2" applyFont="1" applyFill="1" applyBorder="1" applyAlignment="1">
      <alignment horizontal="center" wrapText="1"/>
    </xf>
    <xf numFmtId="3" fontId="5" fillId="3" borderId="7" xfId="2" applyFont="1" applyFill="1" applyBorder="1" applyAlignment="1">
      <alignment horizontal="center" wrapText="1"/>
    </xf>
    <xf numFmtId="3" fontId="5" fillId="3" borderId="10" xfId="2" applyFont="1" applyFill="1" applyBorder="1" applyAlignment="1">
      <alignment horizontal="center"/>
    </xf>
    <xf numFmtId="3" fontId="5" fillId="3" borderId="32" xfId="2" applyFont="1" applyFill="1" applyBorder="1" applyAlignment="1">
      <alignment horizontal="center"/>
    </xf>
    <xf numFmtId="3" fontId="5" fillId="3" borderId="25" xfId="2" applyFont="1" applyFill="1" applyBorder="1" applyAlignment="1">
      <alignment horizontal="center"/>
    </xf>
    <xf numFmtId="49" fontId="5" fillId="3" borderId="8" xfId="2" applyNumberFormat="1" applyFont="1" applyFill="1" applyBorder="1" applyAlignment="1">
      <alignment horizontal="center" wrapText="1"/>
    </xf>
    <xf numFmtId="49" fontId="5" fillId="3" borderId="9" xfId="2" applyNumberFormat="1" applyFont="1" applyFill="1" applyBorder="1" applyAlignment="1">
      <alignment horizontal="center" wrapText="1"/>
    </xf>
    <xf numFmtId="49" fontId="5" fillId="3" borderId="27" xfId="2" applyNumberFormat="1" applyFont="1" applyFill="1" applyBorder="1" applyAlignment="1">
      <alignment horizontal="center" wrapText="1"/>
    </xf>
    <xf numFmtId="49" fontId="5" fillId="3" borderId="28" xfId="2" applyNumberFormat="1" applyFont="1" applyFill="1" applyBorder="1" applyAlignment="1">
      <alignment horizontal="center" wrapText="1"/>
    </xf>
    <xf numFmtId="49" fontId="5" fillId="3" borderId="29" xfId="2" applyNumberFormat="1" applyFont="1" applyFill="1" applyBorder="1" applyAlignment="1">
      <alignment horizontal="center" wrapText="1"/>
    </xf>
    <xf numFmtId="49" fontId="5" fillId="3" borderId="30" xfId="2" applyNumberFormat="1" applyFont="1" applyFill="1" applyBorder="1" applyAlignment="1">
      <alignment horizontal="center" wrapText="1"/>
    </xf>
    <xf numFmtId="49" fontId="5" fillId="3" borderId="24" xfId="2" applyNumberFormat="1" applyFont="1" applyFill="1" applyBorder="1" applyAlignment="1">
      <alignment horizontal="center" wrapText="1"/>
    </xf>
    <xf numFmtId="49" fontId="5" fillId="3" borderId="31" xfId="2" applyNumberFormat="1" applyFont="1" applyFill="1" applyBorder="1" applyAlignment="1">
      <alignment horizontal="center" wrapText="1"/>
    </xf>
    <xf numFmtId="49" fontId="5" fillId="3" borderId="7" xfId="2" applyNumberFormat="1" applyFont="1" applyFill="1" applyBorder="1" applyAlignment="1">
      <alignment horizontal="center" wrapText="1"/>
    </xf>
    <xf numFmtId="3" fontId="5" fillId="3" borderId="31" xfId="2" applyFont="1" applyFill="1" applyBorder="1" applyAlignment="1">
      <alignment horizontal="center" wrapText="1"/>
    </xf>
    <xf numFmtId="3" fontId="6" fillId="0" borderId="65" xfId="2" applyFont="1" applyBorder="1" applyAlignment="1">
      <alignment horizontal="left"/>
    </xf>
    <xf numFmtId="3" fontId="6" fillId="0" borderId="66" xfId="2" applyFont="1" applyBorder="1" applyAlignment="1">
      <alignment horizontal="left"/>
    </xf>
    <xf numFmtId="3" fontId="6" fillId="4" borderId="4" xfId="2" applyFont="1" applyFill="1" applyBorder="1" applyAlignment="1">
      <alignment horizontal="left"/>
    </xf>
    <xf numFmtId="3" fontId="6" fillId="0" borderId="64" xfId="2" applyFont="1" applyBorder="1" applyAlignment="1">
      <alignment horizontal="left"/>
    </xf>
    <xf numFmtId="3" fontId="6" fillId="0" borderId="19" xfId="2" applyFont="1" applyBorder="1" applyAlignment="1">
      <alignment horizontal="left"/>
    </xf>
    <xf numFmtId="3" fontId="9" fillId="0" borderId="65" xfId="2" applyFont="1" applyBorder="1" applyAlignment="1">
      <alignment horizontal="left"/>
    </xf>
    <xf numFmtId="3" fontId="9" fillId="0" borderId="66" xfId="2" applyFont="1" applyBorder="1" applyAlignment="1">
      <alignment horizontal="left"/>
    </xf>
    <xf numFmtId="3" fontId="6" fillId="0" borderId="64" xfId="2" applyFont="1" applyFill="1" applyBorder="1" applyAlignment="1">
      <alignment horizontal="left"/>
    </xf>
    <xf numFmtId="3" fontId="6" fillId="0" borderId="19" xfId="2" applyFont="1" applyFill="1" applyBorder="1" applyAlignment="1">
      <alignment horizontal="left"/>
    </xf>
    <xf numFmtId="4" fontId="7" fillId="0" borderId="70" xfId="2" applyNumberFormat="1" applyFont="1" applyBorder="1" applyAlignment="1">
      <alignment horizontal="left"/>
    </xf>
    <xf numFmtId="4" fontId="7" fillId="0" borderId="79" xfId="2" applyNumberFormat="1" applyFont="1" applyBorder="1" applyAlignment="1">
      <alignment horizontal="left"/>
    </xf>
    <xf numFmtId="3" fontId="7" fillId="0" borderId="81" xfId="2" applyFont="1" applyBorder="1" applyAlignment="1">
      <alignment horizontal="left"/>
    </xf>
    <xf numFmtId="3" fontId="7" fillId="0" borderId="80" xfId="2" applyFont="1" applyBorder="1" applyAlignment="1">
      <alignment horizontal="left"/>
    </xf>
    <xf numFmtId="3" fontId="7" fillId="8" borderId="27" xfId="2" applyNumberFormat="1" applyFont="1" applyFill="1" applyBorder="1" applyAlignment="1">
      <alignment horizontal="center"/>
    </xf>
    <xf numFmtId="3" fontId="7" fillId="8" borderId="0" xfId="2" applyNumberFormat="1" applyFont="1" applyFill="1" applyBorder="1" applyAlignment="1">
      <alignment horizontal="center"/>
    </xf>
    <xf numFmtId="3" fontId="7" fillId="8" borderId="28" xfId="2" applyNumberFormat="1" applyFont="1" applyFill="1" applyBorder="1" applyAlignment="1">
      <alignment horizontal="center"/>
    </xf>
    <xf numFmtId="3" fontId="7" fillId="8" borderId="29" xfId="2" applyNumberFormat="1" applyFont="1" applyFill="1" applyBorder="1" applyAlignment="1">
      <alignment horizontal="center"/>
    </xf>
    <xf numFmtId="3" fontId="7" fillId="8" borderId="5" xfId="2" applyNumberFormat="1" applyFont="1" applyFill="1" applyBorder="1" applyAlignment="1">
      <alignment horizontal="center"/>
    </xf>
    <xf numFmtId="3" fontId="7" fillId="8" borderId="30" xfId="2" applyNumberFormat="1" applyFont="1" applyFill="1" applyBorder="1" applyAlignment="1">
      <alignment horizontal="center"/>
    </xf>
    <xf numFmtId="3" fontId="49" fillId="0" borderId="65" xfId="2" applyFont="1" applyBorder="1" applyAlignment="1">
      <alignment horizontal="left"/>
    </xf>
    <xf numFmtId="3" fontId="49" fillId="0" borderId="66" xfId="2" applyFont="1" applyBorder="1" applyAlignment="1">
      <alignment horizontal="left"/>
    </xf>
    <xf numFmtId="3" fontId="7" fillId="0" borderId="69" xfId="2" applyFont="1" applyBorder="1" applyAlignment="1">
      <alignment horizontal="left"/>
    </xf>
    <xf numFmtId="3" fontId="7" fillId="0" borderId="86" xfId="2" applyFont="1" applyBorder="1" applyAlignment="1">
      <alignment horizontal="left"/>
    </xf>
    <xf numFmtId="4" fontId="11" fillId="0" borderId="70" xfId="0" applyFont="1" applyBorder="1" applyAlignment="1">
      <alignment horizontal="left" vertical="top" wrapText="1"/>
    </xf>
    <xf numFmtId="4" fontId="11" fillId="0" borderId="69" xfId="0" applyFont="1" applyBorder="1" applyAlignment="1">
      <alignment horizontal="left" vertical="top" wrapText="1"/>
    </xf>
    <xf numFmtId="4" fontId="11" fillId="0" borderId="52" xfId="0" applyNumberFormat="1" applyFont="1" applyBorder="1" applyAlignment="1">
      <alignment horizontal="left" vertical="top" wrapText="1"/>
    </xf>
    <xf numFmtId="4" fontId="11" fillId="0" borderId="63" xfId="0" applyNumberFormat="1" applyFont="1" applyBorder="1" applyAlignment="1">
      <alignment horizontal="left" vertical="top" wrapText="1"/>
    </xf>
    <xf numFmtId="4" fontId="11" fillId="0" borderId="1" xfId="0" applyNumberFormat="1" applyFont="1" applyBorder="1" applyAlignment="1">
      <alignment horizontal="left" vertical="top" wrapText="1"/>
    </xf>
    <xf numFmtId="4" fontId="11" fillId="0" borderId="81" xfId="0" applyFont="1" applyBorder="1" applyAlignment="1">
      <alignment horizontal="left" vertical="top" wrapText="1"/>
    </xf>
    <xf numFmtId="4" fontId="4" fillId="3" borderId="31" xfId="0" applyFont="1" applyFill="1" applyBorder="1" applyAlignment="1">
      <alignment horizontal="center" wrapText="1"/>
    </xf>
    <xf numFmtId="4" fontId="4" fillId="3" borderId="7" xfId="0" applyFont="1" applyFill="1" applyBorder="1" applyAlignment="1">
      <alignment horizontal="center" wrapText="1"/>
    </xf>
    <xf numFmtId="4" fontId="4" fillId="3" borderId="9" xfId="0" applyFont="1" applyFill="1" applyBorder="1" applyAlignment="1">
      <alignment horizontal="center" wrapText="1"/>
    </xf>
    <xf numFmtId="4" fontId="4" fillId="3" borderId="27" xfId="0" applyFont="1" applyFill="1" applyBorder="1" applyAlignment="1">
      <alignment horizontal="center" wrapText="1"/>
    </xf>
    <xf numFmtId="4" fontId="4" fillId="3" borderId="28" xfId="0" applyFont="1" applyFill="1" applyBorder="1" applyAlignment="1">
      <alignment horizontal="center" wrapText="1"/>
    </xf>
    <xf numFmtId="4" fontId="4" fillId="3" borderId="29" xfId="0" applyFont="1" applyFill="1" applyBorder="1" applyAlignment="1">
      <alignment horizontal="center" wrapText="1"/>
    </xf>
    <xf numFmtId="4" fontId="4" fillId="3" borderId="30" xfId="0" applyFont="1" applyFill="1" applyBorder="1" applyAlignment="1">
      <alignment horizontal="center" wrapText="1"/>
    </xf>
    <xf numFmtId="4" fontId="31" fillId="0" borderId="60" xfId="0" applyFont="1" applyBorder="1" applyAlignment="1">
      <alignment horizontal="left" vertical="top" wrapText="1"/>
    </xf>
    <xf numFmtId="4" fontId="31" fillId="0" borderId="61" xfId="0" applyFont="1" applyBorder="1" applyAlignment="1">
      <alignment horizontal="left" vertical="top" wrapText="1"/>
    </xf>
    <xf numFmtId="4" fontId="31" fillId="0" borderId="62" xfId="0" applyFont="1" applyBorder="1" applyAlignment="1">
      <alignment horizontal="left" vertical="top" wrapText="1"/>
    </xf>
    <xf numFmtId="4" fontId="31" fillId="0" borderId="53" xfId="0" applyFont="1" applyBorder="1" applyAlignment="1">
      <alignment horizontal="left" vertical="top" wrapText="1"/>
    </xf>
    <xf numFmtId="4" fontId="31" fillId="0" borderId="51" xfId="0" applyFont="1" applyBorder="1" applyAlignment="1">
      <alignment horizontal="left" vertical="top" wrapText="1"/>
    </xf>
    <xf numFmtId="4" fontId="31" fillId="0" borderId="59" xfId="0" applyFont="1" applyBorder="1" applyAlignment="1">
      <alignment horizontal="left" vertical="top" wrapText="1"/>
    </xf>
    <xf numFmtId="4" fontId="11" fillId="0" borderId="88" xfId="0" applyNumberFormat="1" applyFont="1" applyBorder="1" applyAlignment="1">
      <alignment horizontal="left" vertical="top" wrapText="1"/>
    </xf>
    <xf numFmtId="4" fontId="11" fillId="0" borderId="0" xfId="0" applyNumberFormat="1" applyFont="1" applyBorder="1" applyAlignment="1">
      <alignment horizontal="left" vertical="top" wrapText="1"/>
    </xf>
    <xf numFmtId="4" fontId="11" fillId="0" borderId="90" xfId="0" applyNumberFormat="1" applyFont="1" applyBorder="1" applyAlignment="1">
      <alignment horizontal="left" vertical="top" wrapText="1"/>
    </xf>
    <xf numFmtId="4" fontId="11" fillId="0" borderId="5" xfId="0" applyNumberFormat="1" applyFont="1" applyBorder="1" applyAlignment="1">
      <alignment horizontal="left" vertical="top" wrapText="1"/>
    </xf>
    <xf numFmtId="4" fontId="28" fillId="0" borderId="52" xfId="0" applyFont="1" applyBorder="1" applyAlignment="1">
      <alignment horizontal="left" vertical="top"/>
    </xf>
    <xf numFmtId="4" fontId="28" fillId="0" borderId="52" xfId="0" applyFont="1" applyBorder="1" applyAlignment="1">
      <alignment horizontal="left" vertical="top" wrapText="1"/>
    </xf>
    <xf numFmtId="4" fontId="28" fillId="0" borderId="1" xfId="0" applyFont="1" applyBorder="1" applyAlignment="1">
      <alignment horizontal="left" vertical="top" wrapText="1"/>
    </xf>
    <xf numFmtId="4" fontId="28" fillId="0" borderId="63" xfId="0" applyFont="1" applyBorder="1" applyAlignment="1">
      <alignment horizontal="left" vertical="top"/>
    </xf>
    <xf numFmtId="4" fontId="29" fillId="3" borderId="10" xfId="0" applyFont="1" applyFill="1" applyBorder="1" applyAlignment="1">
      <alignment horizontal="center" vertical="top" wrapText="1"/>
    </xf>
    <xf numFmtId="4" fontId="29" fillId="3" borderId="32" xfId="0" applyFont="1" applyFill="1" applyBorder="1" applyAlignment="1">
      <alignment horizontal="center" vertical="top" wrapText="1"/>
    </xf>
    <xf numFmtId="4" fontId="29" fillId="5" borderId="10" xfId="0" applyFont="1" applyFill="1" applyBorder="1" applyAlignment="1">
      <alignment horizontal="center" vertical="top" wrapText="1"/>
    </xf>
    <xf numFmtId="4" fontId="29" fillId="5" borderId="25" xfId="0" applyFont="1" applyFill="1" applyBorder="1" applyAlignment="1">
      <alignment horizontal="center" vertical="top" wrapText="1"/>
    </xf>
    <xf numFmtId="4" fontId="28" fillId="0" borderId="1" xfId="0" applyFont="1" applyBorder="1" applyAlignment="1">
      <alignment horizontal="left" vertical="center" wrapText="1"/>
    </xf>
    <xf numFmtId="4" fontId="28" fillId="0" borderId="52" xfId="0" applyFont="1" applyBorder="1" applyAlignment="1">
      <alignment horizontal="left" vertical="center"/>
    </xf>
    <xf numFmtId="4" fontId="18" fillId="2" borderId="10" xfId="0" applyFont="1" applyFill="1" applyBorder="1" applyAlignment="1">
      <alignment horizontal="center" vertical="center" wrapText="1"/>
    </xf>
    <xf numFmtId="4" fontId="18" fillId="2" borderId="32" xfId="0" applyFont="1" applyFill="1" applyBorder="1" applyAlignment="1">
      <alignment horizontal="center" vertical="center" wrapText="1"/>
    </xf>
    <xf numFmtId="4" fontId="11" fillId="0" borderId="82" xfId="0" applyFont="1" applyBorder="1" applyAlignment="1">
      <alignment horizontal="left" vertical="top" wrapText="1"/>
    </xf>
    <xf numFmtId="4" fontId="11" fillId="0" borderId="76" xfId="0" applyFont="1" applyBorder="1" applyAlignment="1">
      <alignment horizontal="left" vertical="top" wrapText="1"/>
    </xf>
    <xf numFmtId="4" fontId="29" fillId="4" borderId="25" xfId="0" applyFont="1" applyFill="1" applyBorder="1" applyAlignment="1">
      <alignment horizontal="center" vertical="center" wrapText="1"/>
    </xf>
    <xf numFmtId="4" fontId="28" fillId="0" borderId="81" xfId="0" applyFont="1" applyBorder="1" applyAlignment="1">
      <alignment horizontal="left" vertical="top" wrapText="1"/>
    </xf>
    <xf numFmtId="4" fontId="28" fillId="0" borderId="62" xfId="0" applyFont="1" applyBorder="1" applyAlignment="1">
      <alignment horizontal="left" vertical="top" wrapText="1"/>
    </xf>
    <xf numFmtId="4" fontId="29" fillId="3" borderId="25" xfId="0" applyFont="1" applyFill="1" applyBorder="1" applyAlignment="1">
      <alignment horizontal="center" vertical="center" wrapText="1"/>
    </xf>
    <xf numFmtId="4" fontId="18" fillId="2" borderId="10" xfId="0" applyFont="1" applyFill="1" applyBorder="1" applyAlignment="1">
      <alignment horizontal="center" vertical="top" wrapText="1"/>
    </xf>
    <xf numFmtId="4" fontId="18" fillId="2" borderId="32" xfId="0" applyFont="1" applyFill="1" applyBorder="1" applyAlignment="1">
      <alignment horizontal="center" vertical="top" wrapText="1"/>
    </xf>
    <xf numFmtId="4" fontId="18" fillId="10" borderId="10" xfId="0" applyFont="1" applyFill="1" applyBorder="1" applyAlignment="1">
      <alignment horizontal="center" vertical="top" wrapText="1"/>
    </xf>
    <xf numFmtId="4" fontId="18" fillId="10" borderId="25" xfId="0" applyFont="1" applyFill="1" applyBorder="1" applyAlignment="1">
      <alignment horizontal="center" vertical="top" wrapText="1"/>
    </xf>
    <xf numFmtId="4" fontId="11" fillId="0" borderId="27" xfId="0" applyFont="1" applyBorder="1" applyAlignment="1">
      <alignment horizontal="left" vertical="top" wrapText="1"/>
    </xf>
    <xf numFmtId="4" fontId="11" fillId="0" borderId="47" xfId="0" applyFont="1" applyBorder="1" applyAlignment="1">
      <alignment horizontal="left" vertical="top" wrapText="1"/>
    </xf>
    <xf numFmtId="4" fontId="11" fillId="0" borderId="71" xfId="0" applyFont="1" applyBorder="1" applyAlignment="1">
      <alignment horizontal="left" vertical="top" wrapText="1"/>
    </xf>
    <xf numFmtId="4" fontId="11" fillId="0" borderId="72" xfId="0" applyFont="1" applyBorder="1" applyAlignment="1">
      <alignment horizontal="left" vertical="top" wrapText="1"/>
    </xf>
    <xf numFmtId="4" fontId="0" fillId="8" borderId="41" xfId="0" applyFill="1" applyBorder="1" applyAlignment="1"/>
    <xf numFmtId="4" fontId="0" fillId="8" borderId="40" xfId="0" applyFill="1" applyBorder="1" applyAlignment="1"/>
    <xf numFmtId="4" fontId="0" fillId="8" borderId="42" xfId="0" applyFill="1" applyBorder="1" applyAlignment="1"/>
    <xf numFmtId="4" fontId="0" fillId="8" borderId="43" xfId="0" applyFill="1" applyBorder="1" applyAlignment="1"/>
    <xf numFmtId="4" fontId="0" fillId="8" borderId="38" xfId="0" applyFill="1" applyBorder="1" applyAlignment="1"/>
    <xf numFmtId="4" fontId="0" fillId="8" borderId="44" xfId="0" applyFill="1" applyBorder="1" applyAlignment="1"/>
    <xf numFmtId="4" fontId="0" fillId="8" borderId="45" xfId="0" applyFill="1" applyBorder="1" applyAlignment="1"/>
    <xf numFmtId="4" fontId="0" fillId="8" borderId="39" xfId="0" applyFill="1" applyBorder="1" applyAlignment="1"/>
    <xf numFmtId="4" fontId="0" fillId="8" borderId="46" xfId="0" applyFill="1" applyBorder="1" applyAlignment="1"/>
    <xf numFmtId="4" fontId="18" fillId="7" borderId="0" xfId="0" applyFont="1" applyFill="1" applyAlignment="1">
      <alignment horizontal="left"/>
    </xf>
    <xf numFmtId="4" fontId="21" fillId="0" borderId="89" xfId="0" applyFont="1" applyBorder="1" applyAlignment="1">
      <alignment horizontal="left" vertical="top" wrapText="1"/>
    </xf>
    <xf numFmtId="4" fontId="44" fillId="0" borderId="49" xfId="0" applyFont="1" applyBorder="1" applyAlignment="1">
      <alignment horizontal="left" vertical="top" wrapText="1"/>
    </xf>
    <xf numFmtId="4" fontId="21" fillId="0" borderId="96" xfId="0" applyFont="1" applyBorder="1" applyAlignment="1">
      <alignment horizontal="left" vertical="top" wrapText="1"/>
    </xf>
    <xf numFmtId="4" fontId="44" fillId="0" borderId="97" xfId="0" applyFont="1" applyBorder="1" applyAlignment="1">
      <alignment horizontal="left" vertical="top" wrapText="1"/>
    </xf>
    <xf numFmtId="4" fontId="21" fillId="12" borderId="10" xfId="0" applyFont="1" applyFill="1" applyBorder="1" applyAlignment="1">
      <alignment horizontal="center" vertical="top" wrapText="1"/>
    </xf>
    <xf numFmtId="4" fontId="21" fillId="12" borderId="25" xfId="0" applyFont="1" applyFill="1" applyBorder="1" applyAlignment="1">
      <alignment horizontal="center" vertical="top" wrapText="1"/>
    </xf>
    <xf numFmtId="4" fontId="44" fillId="0" borderId="88" xfId="0" applyFont="1" applyBorder="1" applyAlignment="1">
      <alignment horizontal="left" vertical="top" wrapText="1"/>
    </xf>
    <xf numFmtId="4" fontId="44" fillId="0" borderId="47" xfId="0" applyFont="1" applyBorder="1" applyAlignment="1">
      <alignment horizontal="left" vertical="top" wrapText="1"/>
    </xf>
    <xf numFmtId="4" fontId="44" fillId="0" borderId="90" xfId="0" applyFont="1" applyBorder="1" applyAlignment="1">
      <alignment horizontal="left" vertical="top" wrapText="1"/>
    </xf>
    <xf numFmtId="4" fontId="44" fillId="0" borderId="83" xfId="0" applyFont="1" applyBorder="1" applyAlignment="1">
      <alignment horizontal="left" vertical="top" wrapText="1"/>
    </xf>
    <xf numFmtId="14" fontId="21" fillId="0" borderId="54" xfId="0" applyNumberFormat="1" applyFont="1" applyBorder="1" applyAlignment="1">
      <alignment horizontal="center" vertical="top" wrapText="1"/>
    </xf>
    <xf numFmtId="4" fontId="44" fillId="0" borderId="58" xfId="0" applyFont="1" applyBorder="1" applyAlignment="1">
      <alignment horizontal="center" vertical="top" wrapText="1"/>
    </xf>
    <xf numFmtId="4" fontId="44" fillId="0" borderId="48" xfId="0" applyFont="1" applyBorder="1" applyAlignment="1">
      <alignment horizontal="center" vertical="top" wrapText="1"/>
    </xf>
    <xf numFmtId="4" fontId="11" fillId="0" borderId="48" xfId="0" applyFont="1" applyBorder="1" applyAlignment="1">
      <alignment horizontal="center" vertical="top" wrapText="1"/>
    </xf>
    <xf numFmtId="4" fontId="18" fillId="4" borderId="10" xfId="0" applyFont="1" applyFill="1" applyBorder="1" applyAlignment="1">
      <alignment horizontal="center" vertical="center" wrapText="1"/>
    </xf>
    <xf numFmtId="4" fontId="18" fillId="4" borderId="32" xfId="0" applyFont="1" applyFill="1" applyBorder="1" applyAlignment="1">
      <alignment horizontal="center" vertical="center" wrapText="1"/>
    </xf>
    <xf numFmtId="4" fontId="21" fillId="0" borderId="88" xfId="0" applyFont="1" applyBorder="1" applyAlignment="1">
      <alignment horizontal="left" vertical="top" wrapText="1"/>
    </xf>
    <xf numFmtId="4" fontId="44" fillId="0" borderId="0" xfId="0" applyFont="1" applyBorder="1" applyAlignment="1">
      <alignment horizontal="left" vertical="top" wrapText="1"/>
    </xf>
    <xf numFmtId="4" fontId="11" fillId="0" borderId="58" xfId="0" applyFont="1" applyBorder="1" applyAlignment="1">
      <alignment horizontal="center" vertical="top" wrapText="1"/>
    </xf>
    <xf numFmtId="4" fontId="18" fillId="12" borderId="10" xfId="0" applyFont="1" applyFill="1" applyBorder="1" applyAlignment="1">
      <alignment horizontal="center" vertical="top" wrapText="1"/>
    </xf>
    <xf numFmtId="4" fontId="18" fillId="12" borderId="25" xfId="0" applyFont="1" applyFill="1" applyBorder="1" applyAlignment="1">
      <alignment horizontal="center" vertical="top" wrapText="1"/>
    </xf>
    <xf numFmtId="4" fontId="21" fillId="0" borderId="49" xfId="0" applyFont="1" applyBorder="1" applyAlignment="1">
      <alignment horizontal="left" vertical="top" wrapText="1"/>
    </xf>
    <xf numFmtId="4" fontId="21" fillId="0" borderId="47" xfId="0" applyFont="1" applyBorder="1" applyAlignment="1">
      <alignment horizontal="left" vertical="top" wrapText="1"/>
    </xf>
    <xf numFmtId="4" fontId="21" fillId="0" borderId="90" xfId="0" applyFont="1" applyBorder="1" applyAlignment="1">
      <alignment horizontal="left" vertical="top" wrapText="1"/>
    </xf>
    <xf numFmtId="4" fontId="21" fillId="0" borderId="83" xfId="0" applyFont="1" applyBorder="1" applyAlignment="1">
      <alignment horizontal="left" vertical="top" wrapText="1"/>
    </xf>
    <xf numFmtId="14" fontId="21" fillId="0" borderId="58" xfId="0" applyNumberFormat="1" applyFont="1" applyBorder="1" applyAlignment="1">
      <alignment horizontal="center" vertical="top" wrapText="1"/>
    </xf>
    <xf numFmtId="14" fontId="21" fillId="0" borderId="48" xfId="0" applyNumberFormat="1" applyFont="1" applyBorder="1" applyAlignment="1">
      <alignment horizontal="center" vertical="top" wrapText="1"/>
    </xf>
    <xf numFmtId="4" fontId="11" fillId="0" borderId="49" xfId="0" applyFont="1" applyBorder="1" applyAlignment="1">
      <alignment horizontal="left" vertical="top" wrapText="1"/>
    </xf>
    <xf numFmtId="4" fontId="11" fillId="0" borderId="90" xfId="0" applyFont="1" applyBorder="1" applyAlignment="1">
      <alignment horizontal="left" vertical="top" wrapText="1"/>
    </xf>
    <xf numFmtId="4" fontId="11" fillId="0" borderId="83" xfId="0" applyFont="1" applyBorder="1" applyAlignment="1">
      <alignment horizontal="left" vertical="top" wrapText="1"/>
    </xf>
    <xf numFmtId="4" fontId="18" fillId="4" borderId="4" xfId="0" applyNumberFormat="1" applyFont="1" applyFill="1" applyBorder="1" applyAlignment="1">
      <alignment horizontal="center"/>
    </xf>
    <xf numFmtId="4" fontId="11" fillId="0" borderId="55" xfId="0" applyNumberFormat="1" applyFont="1" applyBorder="1" applyAlignment="1">
      <alignment horizontal="left" vertical="top" wrapText="1"/>
    </xf>
    <xf numFmtId="4" fontId="11" fillId="0" borderId="56" xfId="0" applyNumberFormat="1" applyFont="1" applyBorder="1" applyAlignment="1">
      <alignment horizontal="left" vertical="top" wrapText="1"/>
    </xf>
    <xf numFmtId="4" fontId="11" fillId="0" borderId="57" xfId="0" applyNumberFormat="1" applyFont="1" applyBorder="1" applyAlignment="1">
      <alignment horizontal="left" vertical="top" wrapText="1"/>
    </xf>
    <xf numFmtId="4" fontId="18" fillId="2" borderId="50" xfId="0" applyFont="1" applyFill="1" applyBorder="1" applyAlignment="1">
      <alignment horizontal="left" vertical="top"/>
    </xf>
    <xf numFmtId="4" fontId="18" fillId="2" borderId="51" xfId="0" applyFont="1" applyFill="1" applyBorder="1" applyAlignment="1">
      <alignment horizontal="left" vertical="top"/>
    </xf>
    <xf numFmtId="4" fontId="18" fillId="12" borderId="50" xfId="0" applyFont="1" applyFill="1" applyBorder="1" applyAlignment="1">
      <alignment horizontal="left"/>
    </xf>
    <xf numFmtId="4" fontId="18" fillId="12" borderId="53" xfId="0" applyFont="1" applyFill="1" applyBorder="1" applyAlignment="1">
      <alignment horizontal="left"/>
    </xf>
    <xf numFmtId="4" fontId="18" fillId="12" borderId="51" xfId="0" applyFont="1" applyFill="1" applyBorder="1" applyAlignment="1">
      <alignment horizontal="left"/>
    </xf>
    <xf numFmtId="4" fontId="11" fillId="0" borderId="50" xfId="0" applyFont="1" applyBorder="1" applyAlignment="1">
      <alignment horizontal="left" vertical="center" wrapText="1"/>
    </xf>
    <xf numFmtId="4" fontId="11" fillId="0" borderId="53" xfId="0" applyFont="1" applyBorder="1" applyAlignment="1">
      <alignment horizontal="left" vertical="center" wrapText="1"/>
    </xf>
    <xf numFmtId="4" fontId="11" fillId="0" borderId="51" xfId="0" applyFont="1" applyBorder="1" applyAlignment="1">
      <alignment horizontal="left" vertical="center" wrapText="1"/>
    </xf>
    <xf numFmtId="4" fontId="18" fillId="12" borderId="4" xfId="0" applyFont="1" applyFill="1" applyBorder="1" applyAlignment="1">
      <alignment horizontal="left"/>
    </xf>
    <xf numFmtId="4" fontId="18" fillId="2" borderId="75" xfId="0" applyFont="1" applyFill="1" applyBorder="1" applyAlignment="1">
      <alignment horizontal="left" vertical="top"/>
    </xf>
    <xf numFmtId="4" fontId="18" fillId="2" borderId="58" xfId="0" applyFont="1" applyFill="1" applyBorder="1" applyAlignment="1">
      <alignment horizontal="left" vertical="top"/>
    </xf>
    <xf numFmtId="4" fontId="18" fillId="4" borderId="4" xfId="0" applyFont="1" applyFill="1" applyBorder="1" applyAlignment="1">
      <alignment horizontal="center" vertical="center" wrapText="1"/>
    </xf>
    <xf numFmtId="4" fontId="18" fillId="4" borderId="4" xfId="0" applyFont="1" applyFill="1" applyBorder="1" applyAlignment="1">
      <alignment horizontal="center"/>
    </xf>
    <xf numFmtId="4" fontId="22" fillId="0" borderId="60" xfId="0" applyFont="1" applyBorder="1" applyAlignment="1">
      <alignment horizontal="left" vertical="top" wrapText="1"/>
    </xf>
    <xf numFmtId="4" fontId="22" fillId="0" borderId="61" xfId="0" applyFont="1" applyBorder="1" applyAlignment="1">
      <alignment horizontal="left" vertical="top" wrapText="1"/>
    </xf>
    <xf numFmtId="4" fontId="22" fillId="0" borderId="62" xfId="0" applyFont="1" applyBorder="1" applyAlignment="1">
      <alignment horizontal="left" vertical="top" wrapText="1"/>
    </xf>
    <xf numFmtId="4" fontId="23" fillId="12" borderId="4" xfId="0" applyNumberFormat="1" applyFont="1" applyFill="1" applyBorder="1" applyAlignment="1">
      <alignment horizontal="left"/>
    </xf>
    <xf numFmtId="4" fontId="23" fillId="12" borderId="26" xfId="0" applyNumberFormat="1" applyFont="1" applyFill="1" applyBorder="1" applyAlignment="1">
      <alignment horizontal="left"/>
    </xf>
    <xf numFmtId="4" fontId="18" fillId="12" borderId="4" xfId="0" applyNumberFormat="1" applyFont="1" applyFill="1" applyBorder="1" applyAlignment="1">
      <alignment horizontal="left"/>
    </xf>
    <xf numFmtId="4" fontId="22" fillId="0" borderId="75" xfId="0" applyNumberFormat="1" applyFont="1" applyBorder="1" applyAlignment="1">
      <alignment horizontal="left" vertical="top" wrapText="1"/>
    </xf>
    <xf numFmtId="4" fontId="22" fillId="0" borderId="63" xfId="0" applyNumberFormat="1" applyFont="1" applyBorder="1" applyAlignment="1">
      <alignment horizontal="left" vertical="top" wrapText="1"/>
    </xf>
    <xf numFmtId="4" fontId="18" fillId="2" borderId="7" xfId="0" applyNumberFormat="1" applyFont="1" applyFill="1" applyBorder="1" applyAlignment="1">
      <alignment horizontal="center" vertical="top"/>
    </xf>
    <xf numFmtId="4" fontId="11" fillId="0" borderId="88" xfId="0" applyFont="1" applyBorder="1" applyAlignment="1">
      <alignment horizontal="left" vertical="top" wrapText="1"/>
    </xf>
    <xf numFmtId="4" fontId="18" fillId="2" borderId="4" xfId="0" applyFont="1" applyFill="1" applyBorder="1" applyAlignment="1">
      <alignment horizontal="left" vertical="top"/>
    </xf>
    <xf numFmtId="4" fontId="18" fillId="4" borderId="10" xfId="0" applyFont="1" applyFill="1" applyBorder="1" applyAlignment="1">
      <alignment horizontal="center"/>
    </xf>
    <xf numFmtId="4" fontId="18" fillId="4" borderId="25" xfId="0" applyFont="1" applyFill="1" applyBorder="1" applyAlignment="1">
      <alignment horizontal="center"/>
    </xf>
    <xf numFmtId="4" fontId="21" fillId="12" borderId="26" xfId="0" applyFont="1" applyFill="1" applyBorder="1" applyAlignment="1">
      <alignment horizontal="left"/>
    </xf>
    <xf numFmtId="4" fontId="21" fillId="12" borderId="6" xfId="0" applyFont="1" applyFill="1" applyBorder="1" applyAlignment="1">
      <alignment horizontal="left"/>
    </xf>
    <xf numFmtId="4" fontId="21" fillId="12" borderId="87" xfId="0" applyFont="1" applyFill="1" applyBorder="1" applyAlignment="1">
      <alignment horizontal="left"/>
    </xf>
    <xf numFmtId="4" fontId="18" fillId="2" borderId="77" xfId="0" applyFont="1" applyFill="1" applyBorder="1" applyAlignment="1">
      <alignment horizontal="left" vertical="top"/>
    </xf>
    <xf numFmtId="4" fontId="18" fillId="2" borderId="72" xfId="0" applyFont="1" applyFill="1" applyBorder="1" applyAlignment="1">
      <alignment horizontal="left" vertical="top"/>
    </xf>
    <xf numFmtId="4" fontId="3" fillId="0" borderId="0" xfId="0" applyFont="1" applyAlignment="1">
      <alignment horizontal="center" vertical="top"/>
    </xf>
    <xf numFmtId="3" fontId="7" fillId="10" borderId="27" xfId="2" applyNumberFormat="1" applyFont="1" applyFill="1" applyBorder="1" applyAlignment="1">
      <alignment horizontal="center"/>
    </xf>
    <xf numFmtId="3" fontId="7" fillId="10" borderId="0" xfId="2" applyNumberFormat="1" applyFont="1" applyFill="1" applyBorder="1" applyAlignment="1">
      <alignment horizontal="center"/>
    </xf>
    <xf numFmtId="3" fontId="7" fillId="10" borderId="28" xfId="2" applyNumberFormat="1" applyFont="1" applyFill="1" applyBorder="1" applyAlignment="1">
      <alignment horizontal="center"/>
    </xf>
    <xf numFmtId="3" fontId="7" fillId="10" borderId="29" xfId="2" applyNumberFormat="1" applyFont="1" applyFill="1" applyBorder="1" applyAlignment="1">
      <alignment horizontal="center"/>
    </xf>
    <xf numFmtId="3" fontId="7" fillId="10" borderId="5" xfId="2" applyNumberFormat="1" applyFont="1" applyFill="1" applyBorder="1" applyAlignment="1">
      <alignment horizontal="center"/>
    </xf>
    <xf numFmtId="3" fontId="7" fillId="10" borderId="30" xfId="2" applyNumberFormat="1" applyFont="1" applyFill="1" applyBorder="1" applyAlignment="1">
      <alignment horizontal="center"/>
    </xf>
    <xf numFmtId="4" fontId="31" fillId="0" borderId="63" xfId="0" applyFont="1" applyBorder="1" applyAlignment="1">
      <alignment horizontal="left" vertical="center" wrapText="1"/>
    </xf>
    <xf numFmtId="4" fontId="11" fillId="0" borderId="52" xfId="0" applyFont="1" applyBorder="1" applyAlignment="1">
      <alignment horizontal="left" vertical="center" wrapText="1"/>
    </xf>
    <xf numFmtId="4" fontId="11" fillId="0" borderId="60" xfId="0" applyFont="1" applyBorder="1" applyAlignment="1">
      <alignment horizontal="left" vertical="top"/>
    </xf>
    <xf numFmtId="4" fontId="11" fillId="0" borderId="62" xfId="0" applyFont="1" applyBorder="1" applyAlignment="1">
      <alignment horizontal="left" vertical="top"/>
    </xf>
    <xf numFmtId="4" fontId="11" fillId="0" borderId="50" xfId="0" applyFont="1" applyBorder="1" applyAlignment="1">
      <alignment horizontal="left" vertical="top"/>
    </xf>
    <xf numFmtId="4" fontId="11" fillId="0" borderId="51" xfId="0" applyFont="1" applyBorder="1" applyAlignment="1">
      <alignment horizontal="left" vertical="top"/>
    </xf>
    <xf numFmtId="4" fontId="29" fillId="6" borderId="50" xfId="0" applyFont="1" applyFill="1" applyBorder="1" applyAlignment="1">
      <alignment horizontal="left" vertical="top"/>
    </xf>
    <xf numFmtId="4" fontId="29" fillId="6" borderId="53" xfId="0" applyFont="1" applyFill="1" applyBorder="1" applyAlignment="1">
      <alignment horizontal="left" vertical="top"/>
    </xf>
    <xf numFmtId="4" fontId="29" fillId="6" borderId="51" xfId="0" applyFont="1" applyFill="1" applyBorder="1" applyAlignment="1">
      <alignment horizontal="left" vertical="top"/>
    </xf>
    <xf numFmtId="4" fontId="29" fillId="6" borderId="63" xfId="0" applyFont="1" applyFill="1" applyBorder="1" applyAlignment="1">
      <alignment horizontal="left" vertical="top"/>
    </xf>
    <xf numFmtId="4" fontId="29" fillId="6" borderId="68" xfId="0" applyFont="1" applyFill="1" applyBorder="1" applyAlignment="1">
      <alignment horizontal="left" vertical="top"/>
    </xf>
    <xf numFmtId="4" fontId="11" fillId="0" borderId="91" xfId="0" applyNumberFormat="1" applyFont="1" applyBorder="1" applyAlignment="1">
      <alignment horizontal="left" vertical="top" wrapText="1"/>
    </xf>
    <xf numFmtId="4" fontId="11" fillId="0" borderId="92" xfId="0" applyNumberFormat="1" applyFont="1" applyBorder="1" applyAlignment="1">
      <alignment horizontal="left" vertical="top" wrapText="1"/>
    </xf>
    <xf numFmtId="4" fontId="11" fillId="0" borderId="76" xfId="0" applyNumberFormat="1" applyFont="1" applyBorder="1" applyAlignment="1">
      <alignment horizontal="left" vertical="top" wrapText="1"/>
    </xf>
    <xf numFmtId="4" fontId="11" fillId="0" borderId="47" xfId="0" applyNumberFormat="1" applyFont="1" applyBorder="1" applyAlignment="1">
      <alignment horizontal="left" vertical="top" wrapText="1"/>
    </xf>
    <xf numFmtId="4" fontId="15" fillId="0" borderId="0" xfId="0" applyFont="1" applyAlignment="1">
      <alignment horizontal="left" vertical="top"/>
    </xf>
    <xf numFmtId="4" fontId="28" fillId="6" borderId="26" xfId="0" applyFont="1" applyFill="1" applyBorder="1" applyAlignment="1">
      <alignment horizontal="left" vertical="top"/>
    </xf>
    <xf numFmtId="4" fontId="28" fillId="6" borderId="6" xfId="0" applyFont="1" applyFill="1" applyBorder="1" applyAlignment="1">
      <alignment horizontal="left" vertical="top"/>
    </xf>
    <xf numFmtId="4" fontId="28" fillId="6" borderId="87" xfId="0" applyFont="1" applyFill="1" applyBorder="1" applyAlignment="1">
      <alignment horizontal="left" vertical="top"/>
    </xf>
    <xf numFmtId="4" fontId="28" fillId="0" borderId="77" xfId="0" applyFont="1" applyBorder="1" applyAlignment="1">
      <alignment horizontal="left" vertical="top" wrapText="1"/>
    </xf>
    <xf numFmtId="4" fontId="28" fillId="0" borderId="78" xfId="0" applyFont="1" applyBorder="1" applyAlignment="1">
      <alignment horizontal="left" vertical="top" wrapText="1"/>
    </xf>
    <xf numFmtId="4" fontId="28" fillId="0" borderId="72" xfId="0" applyFont="1" applyBorder="1" applyAlignment="1">
      <alignment horizontal="left" vertical="top" wrapText="1"/>
    </xf>
    <xf numFmtId="4" fontId="11" fillId="0" borderId="83" xfId="0" applyNumberFormat="1" applyFont="1" applyBorder="1" applyAlignment="1">
      <alignment horizontal="left" vertical="top" wrapText="1"/>
    </xf>
    <xf numFmtId="4" fontId="28" fillId="0" borderId="0" xfId="0" applyFont="1" applyFill="1" applyBorder="1" applyAlignment="1">
      <alignment horizontal="left" vertical="top" wrapText="1"/>
    </xf>
    <xf numFmtId="4" fontId="28" fillId="0" borderId="63" xfId="0" applyFont="1" applyBorder="1" applyAlignment="1">
      <alignment horizontal="left" vertical="top" wrapText="1"/>
    </xf>
    <xf numFmtId="4" fontId="11" fillId="0" borderId="96" xfId="0" applyFont="1" applyBorder="1" applyAlignment="1">
      <alignment horizontal="left" vertical="top" wrapText="1"/>
    </xf>
    <xf numFmtId="4" fontId="11" fillId="0" borderId="32" xfId="0" applyFont="1" applyBorder="1" applyAlignment="1">
      <alignment horizontal="left" vertical="top" wrapText="1"/>
    </xf>
    <xf numFmtId="4" fontId="26" fillId="0" borderId="0" xfId="0" applyFont="1" applyAlignment="1">
      <alignment horizontal="center" wrapText="1"/>
    </xf>
    <xf numFmtId="4" fontId="0" fillId="0" borderId="0" xfId="0" applyAlignment="1">
      <alignment horizontal="center" wrapText="1"/>
    </xf>
    <xf numFmtId="4" fontId="28" fillId="0" borderId="63" xfId="0" applyFont="1" applyFill="1" applyBorder="1" applyAlignment="1">
      <alignment vertical="top" wrapText="1"/>
    </xf>
    <xf numFmtId="4" fontId="11" fillId="0" borderId="63" xfId="0" applyFont="1" applyBorder="1" applyAlignment="1">
      <alignment vertical="top" wrapText="1"/>
    </xf>
    <xf numFmtId="4" fontId="29" fillId="3" borderId="10" xfId="0" applyFont="1" applyFill="1" applyBorder="1" applyAlignment="1">
      <alignment vertical="center" wrapText="1"/>
    </xf>
    <xf numFmtId="4" fontId="11" fillId="3" borderId="25" xfId="0" applyFont="1" applyFill="1" applyBorder="1" applyAlignment="1">
      <alignment vertical="center" wrapText="1"/>
    </xf>
    <xf numFmtId="4" fontId="28" fillId="0" borderId="1" xfId="0" applyFont="1" applyFill="1" applyBorder="1" applyAlignment="1">
      <alignment vertical="top" wrapText="1"/>
    </xf>
    <xf numFmtId="4" fontId="46" fillId="0" borderId="1" xfId="0" applyFont="1" applyFill="1" applyBorder="1" applyAlignment="1">
      <alignment vertical="top" wrapText="1"/>
    </xf>
    <xf numFmtId="4" fontId="28" fillId="0" borderId="52" xfId="0" applyFont="1" applyFill="1" applyBorder="1" applyAlignment="1">
      <alignment vertical="top" wrapText="1"/>
    </xf>
    <xf numFmtId="4" fontId="46" fillId="0" borderId="52" xfId="0" applyFont="1" applyBorder="1" applyAlignment="1">
      <alignment vertical="top" wrapText="1"/>
    </xf>
    <xf numFmtId="4" fontId="28" fillId="0" borderId="75" xfId="0" applyFont="1" applyFill="1" applyBorder="1" applyAlignment="1">
      <alignment vertical="top" wrapText="1"/>
    </xf>
    <xf numFmtId="4" fontId="11" fillId="0" borderId="75" xfId="0" applyFont="1" applyFill="1" applyBorder="1" applyAlignment="1">
      <alignment vertical="top" wrapText="1"/>
    </xf>
    <xf numFmtId="4" fontId="11" fillId="0" borderId="75" xfId="0" applyFont="1" applyFill="1" applyBorder="1" applyAlignment="1">
      <alignment vertical="top"/>
    </xf>
    <xf numFmtId="4" fontId="29" fillId="3" borderId="4" xfId="0" applyFont="1" applyFill="1" applyBorder="1" applyAlignment="1">
      <alignment vertical="top"/>
    </xf>
    <xf numFmtId="4" fontId="28" fillId="13" borderId="52" xfId="0" applyFont="1" applyFill="1" applyBorder="1" applyAlignment="1">
      <alignment vertical="top" wrapText="1"/>
    </xf>
    <xf numFmtId="4" fontId="11" fillId="13" borderId="52" xfId="0" applyFont="1" applyFill="1" applyBorder="1" applyAlignment="1">
      <alignment vertical="top" wrapText="1"/>
    </xf>
    <xf numFmtId="4" fontId="11" fillId="0" borderId="52" xfId="0" applyFont="1" applyBorder="1" applyAlignment="1">
      <alignment vertical="top" wrapText="1"/>
    </xf>
    <xf numFmtId="4" fontId="11" fillId="0" borderId="52" xfId="0" applyFont="1" applyFill="1" applyBorder="1" applyAlignment="1">
      <alignment vertical="top" wrapText="1"/>
    </xf>
    <xf numFmtId="4" fontId="28" fillId="0" borderId="52" xfId="0" applyFont="1" applyBorder="1" applyAlignment="1">
      <alignment vertical="top" wrapText="1"/>
    </xf>
    <xf numFmtId="4" fontId="28" fillId="0" borderId="52" xfId="0" applyFont="1" applyBorder="1" applyAlignment="1">
      <alignment vertical="top"/>
    </xf>
    <xf numFmtId="4" fontId="28" fillId="13" borderId="59" xfId="0" applyFont="1" applyFill="1" applyBorder="1" applyAlignment="1">
      <alignment horizontal="left" vertical="top" wrapText="1"/>
    </xf>
    <xf numFmtId="4" fontId="28" fillId="13" borderId="52" xfId="0" applyFont="1" applyFill="1" applyBorder="1" applyAlignment="1">
      <alignment horizontal="left" vertical="top" wrapText="1"/>
    </xf>
    <xf numFmtId="4" fontId="11" fillId="0" borderId="52" xfId="0" applyFont="1" applyBorder="1" applyAlignment="1">
      <alignment vertical="top"/>
    </xf>
    <xf numFmtId="49" fontId="28" fillId="0" borderId="52" xfId="0" applyNumberFormat="1" applyFont="1" applyBorder="1" applyAlignment="1">
      <alignment horizontal="left" vertical="top" wrapText="1"/>
    </xf>
    <xf numFmtId="4" fontId="28" fillId="0" borderId="60" xfId="0" applyFont="1" applyBorder="1" applyAlignment="1">
      <alignment horizontal="left" vertical="top" wrapText="1"/>
    </xf>
    <xf numFmtId="4" fontId="28" fillId="0" borderId="61" xfId="0" applyFont="1" applyBorder="1" applyAlignment="1">
      <alignment horizontal="left" vertical="top" wrapText="1"/>
    </xf>
    <xf numFmtId="4" fontId="29" fillId="6" borderId="77" xfId="0" applyFont="1" applyFill="1" applyBorder="1" applyAlignment="1">
      <alignment horizontal="left" vertical="top"/>
    </xf>
    <xf numFmtId="4" fontId="29" fillId="6" borderId="78" xfId="0" applyFont="1" applyFill="1" applyBorder="1" applyAlignment="1">
      <alignment horizontal="left" vertical="top"/>
    </xf>
    <xf numFmtId="4" fontId="29" fillId="6" borderId="72" xfId="0" applyFont="1" applyFill="1" applyBorder="1" applyAlignment="1">
      <alignment horizontal="left" vertical="top"/>
    </xf>
    <xf numFmtId="4" fontId="28" fillId="0" borderId="55" xfId="0" applyFont="1" applyBorder="1" applyAlignment="1">
      <alignment horizontal="left" vertical="top" wrapText="1"/>
    </xf>
    <xf numFmtId="4" fontId="28" fillId="0" borderId="56" xfId="0" applyFont="1" applyBorder="1" applyAlignment="1">
      <alignment horizontal="left" vertical="top" wrapText="1"/>
    </xf>
    <xf numFmtId="4" fontId="28" fillId="0" borderId="57" xfId="0" applyFont="1" applyBorder="1" applyAlignment="1">
      <alignment horizontal="left" vertical="top" wrapText="1"/>
    </xf>
    <xf numFmtId="4" fontId="28" fillId="0" borderId="64" xfId="0" applyFont="1" applyBorder="1" applyAlignment="1">
      <alignment horizontal="left" vertical="top" wrapText="1"/>
    </xf>
    <xf numFmtId="4" fontId="11" fillId="0" borderId="59" xfId="0" applyNumberFormat="1" applyFont="1" applyBorder="1" applyAlignment="1">
      <alignment horizontal="left" vertical="top" wrapText="1"/>
    </xf>
    <xf numFmtId="4" fontId="13" fillId="0" borderId="0" xfId="0" applyFont="1" applyAlignment="1">
      <alignment horizontal="left"/>
    </xf>
    <xf numFmtId="4" fontId="28" fillId="0" borderId="65" xfId="0" applyFont="1" applyBorder="1" applyAlignment="1">
      <alignment horizontal="left" vertical="top" wrapText="1"/>
    </xf>
    <xf numFmtId="4" fontId="28" fillId="13" borderId="65" xfId="0" applyFont="1" applyFill="1" applyBorder="1" applyAlignment="1">
      <alignment horizontal="left" vertical="top" wrapText="1"/>
    </xf>
    <xf numFmtId="4" fontId="28" fillId="0" borderId="65" xfId="0" applyFont="1" applyFill="1" applyBorder="1" applyAlignment="1">
      <alignment horizontal="left" vertical="top" wrapText="1"/>
    </xf>
    <xf numFmtId="4" fontId="28" fillId="0" borderId="52" xfId="0" applyFont="1" applyFill="1" applyBorder="1" applyAlignment="1">
      <alignment horizontal="left" vertical="top" wrapText="1"/>
    </xf>
    <xf numFmtId="4" fontId="28" fillId="13" borderId="67" xfId="0" applyFont="1" applyFill="1" applyBorder="1" applyAlignment="1">
      <alignment horizontal="left" vertical="top" wrapText="1"/>
    </xf>
    <xf numFmtId="4" fontId="28" fillId="13" borderId="63" xfId="0" applyFont="1" applyFill="1" applyBorder="1" applyAlignment="1">
      <alignment horizontal="left" vertical="top" wrapText="1"/>
    </xf>
    <xf numFmtId="4" fontId="28" fillId="5" borderId="10" xfId="0" applyFont="1" applyFill="1" applyBorder="1" applyAlignment="1">
      <alignment horizontal="center" vertical="top" wrapText="1"/>
    </xf>
    <xf numFmtId="4" fontId="28" fillId="5" borderId="25" xfId="0" applyFont="1" applyFill="1" applyBorder="1" applyAlignment="1">
      <alignment horizontal="center" vertical="top" wrapText="1"/>
    </xf>
    <xf numFmtId="4" fontId="28" fillId="0" borderId="67" xfId="0" applyFont="1" applyBorder="1" applyAlignment="1">
      <alignment horizontal="left" vertical="top" wrapText="1"/>
    </xf>
    <xf numFmtId="4" fontId="11" fillId="0" borderId="50" xfId="0" applyFont="1" applyFill="1" applyBorder="1" applyAlignment="1">
      <alignment horizontal="left" vertical="top" wrapText="1"/>
    </xf>
    <xf numFmtId="4" fontId="11" fillId="0" borderId="53" xfId="0" applyFont="1" applyFill="1" applyBorder="1" applyAlignment="1">
      <alignment horizontal="left" vertical="top" wrapText="1"/>
    </xf>
    <xf numFmtId="4" fontId="11" fillId="0" borderId="51" xfId="0" applyFont="1" applyFill="1" applyBorder="1" applyAlignment="1">
      <alignment horizontal="left" vertical="top" wrapText="1"/>
    </xf>
    <xf numFmtId="4" fontId="18" fillId="2" borderId="4" xfId="0" applyNumberFormat="1" applyFont="1" applyFill="1" applyBorder="1" applyAlignment="1">
      <alignment horizontal="center" vertical="top"/>
    </xf>
    <xf numFmtId="4" fontId="21" fillId="0" borderId="55" xfId="0" applyFont="1" applyBorder="1" applyAlignment="1">
      <alignment horizontal="left" vertical="top" wrapText="1"/>
    </xf>
    <xf numFmtId="4" fontId="21" fillId="0" borderId="56" xfId="0" applyFont="1" applyBorder="1" applyAlignment="1">
      <alignment horizontal="left" vertical="top" wrapText="1"/>
    </xf>
    <xf numFmtId="4" fontId="21" fillId="0" borderId="50" xfId="0" applyFont="1" applyFill="1" applyBorder="1" applyAlignment="1">
      <alignment horizontal="left"/>
    </xf>
    <xf numFmtId="4" fontId="18" fillId="0" borderId="53" xfId="0" applyFont="1" applyFill="1" applyBorder="1" applyAlignment="1">
      <alignment horizontal="left"/>
    </xf>
    <xf numFmtId="4" fontId="18" fillId="0" borderId="51" xfId="0" applyFont="1" applyFill="1" applyBorder="1" applyAlignment="1">
      <alignment horizontal="left"/>
    </xf>
    <xf numFmtId="4" fontId="21" fillId="0" borderId="60" xfId="0" applyFont="1" applyBorder="1" applyAlignment="1">
      <alignment horizontal="left" vertical="top" wrapText="1"/>
    </xf>
    <xf numFmtId="4" fontId="11" fillId="0" borderId="51" xfId="0" applyFont="1" applyBorder="1" applyAlignment="1">
      <alignment vertical="top"/>
    </xf>
    <xf numFmtId="4" fontId="20" fillId="0" borderId="50" xfId="0" applyFont="1" applyFill="1" applyBorder="1" applyAlignment="1">
      <alignment horizontal="left" vertical="top" wrapText="1"/>
    </xf>
    <xf numFmtId="4" fontId="20" fillId="0" borderId="53" xfId="0" applyFont="1" applyFill="1" applyBorder="1" applyAlignment="1">
      <alignment horizontal="left" vertical="top" wrapText="1"/>
    </xf>
    <xf numFmtId="4" fontId="20" fillId="0" borderId="51" xfId="0" applyFont="1" applyFill="1" applyBorder="1" applyAlignment="1">
      <alignment horizontal="left" vertical="top" wrapText="1"/>
    </xf>
    <xf numFmtId="4" fontId="47" fillId="2" borderId="10" xfId="0" applyFont="1" applyFill="1" applyBorder="1" applyAlignment="1">
      <alignment horizontal="center" vertical="top" wrapText="1"/>
    </xf>
    <xf numFmtId="4" fontId="47" fillId="2" borderId="32" xfId="0" applyFont="1" applyFill="1" applyBorder="1" applyAlignment="1">
      <alignment horizontal="center" vertical="top" wrapText="1"/>
    </xf>
    <xf numFmtId="4" fontId="23" fillId="10" borderId="10" xfId="0" applyFont="1" applyFill="1" applyBorder="1" applyAlignment="1">
      <alignment horizontal="center" vertical="top" wrapText="1"/>
    </xf>
    <xf numFmtId="4" fontId="23" fillId="10" borderId="25" xfId="0" applyFont="1" applyFill="1" applyBorder="1" applyAlignment="1">
      <alignment horizontal="center" vertical="top" wrapText="1"/>
    </xf>
    <xf numFmtId="4" fontId="18" fillId="10" borderId="10" xfId="0" applyFont="1" applyFill="1" applyBorder="1" applyAlignment="1">
      <alignment horizontal="center" vertical="center" wrapText="1"/>
    </xf>
    <xf numFmtId="4" fontId="18" fillId="10" borderId="25" xfId="0" applyFont="1" applyFill="1" applyBorder="1" applyAlignment="1">
      <alignment horizontal="center" vertical="center" wrapText="1"/>
    </xf>
    <xf numFmtId="4" fontId="28" fillId="0" borderId="91" xfId="0" applyFont="1" applyFill="1" applyBorder="1" applyAlignment="1">
      <alignment horizontal="left" vertical="center" wrapText="1"/>
    </xf>
    <xf numFmtId="4" fontId="28" fillId="0" borderId="76" xfId="0" applyFont="1" applyFill="1" applyBorder="1" applyAlignment="1">
      <alignment horizontal="left" vertical="center" wrapText="1"/>
    </xf>
    <xf numFmtId="4" fontId="28" fillId="0" borderId="50" xfId="0" applyFont="1" applyFill="1" applyBorder="1" applyAlignment="1">
      <alignment horizontal="left" vertical="center" wrapText="1"/>
    </xf>
    <xf numFmtId="4" fontId="28" fillId="0" borderId="51" xfId="0" applyFont="1" applyFill="1" applyBorder="1" applyAlignment="1">
      <alignment horizontal="left" vertical="center" wrapText="1"/>
    </xf>
    <xf numFmtId="4" fontId="28" fillId="0" borderId="88" xfId="0" applyFont="1" applyFill="1" applyBorder="1" applyAlignment="1">
      <alignment horizontal="left" vertical="center" wrapText="1"/>
    </xf>
    <xf numFmtId="4" fontId="28" fillId="0" borderId="47" xfId="0" applyFont="1" applyFill="1" applyBorder="1" applyAlignment="1">
      <alignment horizontal="left" vertical="center" wrapText="1"/>
    </xf>
    <xf numFmtId="4" fontId="28" fillId="0" borderId="50" xfId="0" applyFont="1" applyBorder="1" applyAlignment="1">
      <alignment horizontal="left" vertical="top"/>
    </xf>
    <xf numFmtId="4" fontId="28" fillId="0" borderId="53" xfId="0" applyFont="1" applyBorder="1" applyAlignment="1">
      <alignment horizontal="left" vertical="top"/>
    </xf>
    <xf numFmtId="4" fontId="28" fillId="0" borderId="51" xfId="0" applyFont="1" applyBorder="1" applyAlignment="1">
      <alignment horizontal="left" vertical="top"/>
    </xf>
    <xf numFmtId="4" fontId="31" fillId="0" borderId="66" xfId="0" applyFont="1" applyBorder="1" applyAlignment="1">
      <alignment horizontal="left" vertical="top" wrapText="1"/>
    </xf>
    <xf numFmtId="4" fontId="29" fillId="3" borderId="71" xfId="0" applyFont="1" applyFill="1" applyBorder="1" applyAlignment="1">
      <alignment horizontal="left" vertical="top"/>
    </xf>
    <xf numFmtId="4" fontId="29" fillId="4" borderId="4" xfId="0" applyNumberFormat="1" applyFont="1" applyFill="1" applyBorder="1" applyAlignment="1">
      <alignment horizontal="center" vertical="center"/>
    </xf>
    <xf numFmtId="4" fontId="11" fillId="0" borderId="86" xfId="0" applyFont="1" applyBorder="1" applyAlignment="1">
      <alignment horizontal="left" vertical="top" wrapText="1"/>
    </xf>
    <xf numFmtId="4" fontId="11" fillId="0" borderId="79" xfId="0" applyFont="1" applyBorder="1" applyAlignment="1">
      <alignment horizontal="left" vertical="top" wrapText="1"/>
    </xf>
    <xf numFmtId="4" fontId="11" fillId="0" borderId="80" xfId="0" applyFont="1" applyBorder="1" applyAlignment="1">
      <alignment horizontal="left" vertical="top" wrapText="1"/>
    </xf>
    <xf numFmtId="4" fontId="29" fillId="3" borderId="70" xfId="0" applyFont="1" applyFill="1" applyBorder="1" applyAlignment="1">
      <alignment horizontal="left" vertical="top"/>
    </xf>
    <xf numFmtId="4" fontId="29" fillId="3" borderId="81" xfId="0" applyFont="1" applyFill="1" applyBorder="1" applyAlignment="1">
      <alignment horizontal="left" vertical="top"/>
    </xf>
    <xf numFmtId="4" fontId="29" fillId="3" borderId="62" xfId="0" applyFont="1" applyFill="1" applyBorder="1" applyAlignment="1">
      <alignment horizontal="left" vertical="top"/>
    </xf>
    <xf numFmtId="4" fontId="29" fillId="6" borderId="60" xfId="0" applyFont="1" applyFill="1" applyBorder="1" applyAlignment="1">
      <alignment horizontal="left" vertical="top"/>
    </xf>
    <xf numFmtId="4" fontId="29" fillId="6" borderId="61" xfId="0" applyFont="1" applyFill="1" applyBorder="1" applyAlignment="1">
      <alignment horizontal="left" vertical="top"/>
    </xf>
    <xf numFmtId="4" fontId="29" fillId="6" borderId="80" xfId="0" applyFont="1" applyFill="1" applyBorder="1" applyAlignment="1">
      <alignment horizontal="left" vertical="top"/>
    </xf>
    <xf numFmtId="4" fontId="29" fillId="3" borderId="93" xfId="0" applyFont="1" applyFill="1" applyBorder="1" applyAlignment="1">
      <alignment horizontal="left" vertical="top"/>
    </xf>
    <xf numFmtId="4" fontId="29" fillId="3" borderId="94" xfId="0" applyFont="1" applyFill="1" applyBorder="1" applyAlignment="1">
      <alignment horizontal="left" vertical="top"/>
    </xf>
    <xf numFmtId="4" fontId="11" fillId="0" borderId="55" xfId="0" applyFont="1" applyBorder="1" applyAlignment="1">
      <alignment horizontal="left" vertical="center" wrapText="1"/>
    </xf>
    <xf numFmtId="4" fontId="11" fillId="0" borderId="56" xfId="0" applyFont="1" applyBorder="1" applyAlignment="1">
      <alignment horizontal="left" vertical="center" wrapText="1"/>
    </xf>
    <xf numFmtId="4" fontId="11" fillId="0" borderId="86" xfId="0" applyFont="1" applyBorder="1" applyAlignment="1">
      <alignment horizontal="left" vertical="center" wrapText="1"/>
    </xf>
    <xf numFmtId="4" fontId="29" fillId="6" borderId="4" xfId="0" applyFont="1" applyFill="1" applyBorder="1" applyAlignment="1">
      <alignment horizontal="left" vertical="top"/>
    </xf>
    <xf numFmtId="4" fontId="11" fillId="0" borderId="60" xfId="0" applyFont="1" applyBorder="1" applyAlignment="1">
      <alignment horizontal="left" vertical="center" wrapText="1"/>
    </xf>
    <xf numFmtId="4" fontId="31" fillId="0" borderId="61" xfId="0" applyFont="1" applyBorder="1" applyAlignment="1">
      <alignment horizontal="left" vertical="center" wrapText="1"/>
    </xf>
    <xf numFmtId="4" fontId="31" fillId="0" borderId="80" xfId="0" applyFont="1" applyBorder="1" applyAlignment="1">
      <alignment horizontal="left" vertical="center" wrapText="1"/>
    </xf>
    <xf numFmtId="4" fontId="11" fillId="0" borderId="19" xfId="0" applyNumberFormat="1" applyFont="1" applyBorder="1" applyAlignment="1">
      <alignment horizontal="left" vertical="top" wrapText="1"/>
    </xf>
    <xf numFmtId="4" fontId="11" fillId="0" borderId="50" xfId="0" applyNumberFormat="1" applyFont="1" applyBorder="1" applyAlignment="1">
      <alignment horizontal="left" vertical="top" wrapText="1"/>
    </xf>
    <xf numFmtId="4" fontId="11" fillId="0" borderId="53" xfId="0" applyNumberFormat="1" applyFont="1" applyBorder="1" applyAlignment="1">
      <alignment horizontal="left" vertical="top" wrapText="1"/>
    </xf>
    <xf numFmtId="4" fontId="11" fillId="0" borderId="79" xfId="0" applyNumberFormat="1" applyFont="1" applyBorder="1" applyAlignment="1">
      <alignment horizontal="left" vertical="top" wrapText="1"/>
    </xf>
    <xf numFmtId="4" fontId="11" fillId="0" borderId="68" xfId="0" applyNumberFormat="1" applyFont="1" applyBorder="1" applyAlignment="1">
      <alignment horizontal="left" vertical="top" wrapText="1"/>
    </xf>
    <xf numFmtId="4" fontId="28" fillId="0" borderId="55" xfId="0" applyFont="1" applyFill="1" applyBorder="1" applyAlignment="1">
      <alignment horizontal="left" vertical="center" wrapText="1"/>
    </xf>
    <xf numFmtId="4" fontId="28" fillId="0" borderId="57" xfId="0" applyFont="1" applyFill="1" applyBorder="1" applyAlignment="1">
      <alignment horizontal="left" vertical="center" wrapText="1"/>
    </xf>
    <xf numFmtId="4" fontId="28" fillId="0" borderId="77" xfId="0" applyFont="1" applyFill="1" applyBorder="1" applyAlignment="1">
      <alignment horizontal="left" vertical="center" wrapText="1"/>
    </xf>
    <xf numFmtId="4" fontId="28" fillId="0" borderId="72" xfId="0" applyFont="1" applyFill="1" applyBorder="1" applyAlignment="1">
      <alignment horizontal="left" vertical="center" wrapText="1"/>
    </xf>
    <xf numFmtId="4" fontId="42" fillId="8" borderId="10" xfId="0" applyFont="1" applyFill="1" applyBorder="1" applyAlignment="1">
      <alignment horizontal="center" vertical="center" wrapText="1"/>
    </xf>
    <xf numFmtId="4" fontId="42" fillId="8" borderId="25" xfId="0" applyFont="1" applyFill="1" applyBorder="1" applyAlignment="1">
      <alignment horizontal="center" vertical="center" wrapText="1"/>
    </xf>
    <xf numFmtId="4" fontId="31" fillId="0" borderId="0" xfId="0" applyFont="1" applyBorder="1" applyAlignment="1">
      <alignment horizontal="center" vertical="top" wrapText="1"/>
    </xf>
    <xf numFmtId="4" fontId="11" fillId="0" borderId="55" xfId="0" applyFont="1" applyFill="1" applyBorder="1" applyAlignment="1">
      <alignment horizontal="left" vertical="center" wrapText="1"/>
    </xf>
    <xf numFmtId="4" fontId="11" fillId="0" borderId="57" xfId="0" applyFont="1" applyFill="1" applyBorder="1" applyAlignment="1">
      <alignment horizontal="left" vertical="center" wrapText="1"/>
    </xf>
    <xf numFmtId="4" fontId="11" fillId="0" borderId="91" xfId="0" applyFont="1" applyFill="1" applyBorder="1" applyAlignment="1">
      <alignment horizontal="left" vertical="center" wrapText="1"/>
    </xf>
    <xf numFmtId="4" fontId="11" fillId="0" borderId="76" xfId="0" applyFont="1" applyFill="1" applyBorder="1" applyAlignment="1">
      <alignment horizontal="left" vertical="center" wrapText="1"/>
    </xf>
    <xf numFmtId="4" fontId="28" fillId="0" borderId="60" xfId="0" applyFont="1" applyFill="1" applyBorder="1" applyAlignment="1">
      <alignment horizontal="left" vertical="center" wrapText="1"/>
    </xf>
    <xf numFmtId="4" fontId="28" fillId="0" borderId="62" xfId="0" applyFont="1" applyFill="1" applyBorder="1" applyAlignment="1">
      <alignment horizontal="left" vertical="center" wrapText="1"/>
    </xf>
    <xf numFmtId="4" fontId="29" fillId="3" borderId="10" xfId="0" applyFont="1" applyFill="1" applyBorder="1" applyAlignment="1">
      <alignment horizontal="left" vertical="center" wrapText="1"/>
    </xf>
    <xf numFmtId="4" fontId="29" fillId="3" borderId="32" xfId="0" applyFont="1" applyFill="1" applyBorder="1" applyAlignment="1">
      <alignment horizontal="left" vertical="center" wrapText="1"/>
    </xf>
    <xf numFmtId="4" fontId="11" fillId="0" borderId="50" xfId="0" applyFont="1" applyFill="1" applyBorder="1" applyAlignment="1">
      <alignment horizontal="left" vertical="center" wrapText="1"/>
    </xf>
    <xf numFmtId="4" fontId="11" fillId="0" borderId="51" xfId="0" applyFont="1" applyFill="1" applyBorder="1" applyAlignment="1">
      <alignment horizontal="left" vertical="center" wrapText="1"/>
    </xf>
    <xf numFmtId="4" fontId="11" fillId="0" borderId="88" xfId="0" applyFont="1" applyFill="1" applyBorder="1" applyAlignment="1">
      <alignment horizontal="left" vertical="center" wrapText="1"/>
    </xf>
    <xf numFmtId="4" fontId="11" fillId="0" borderId="47" xfId="0" applyFont="1" applyFill="1" applyBorder="1" applyAlignment="1">
      <alignment horizontal="left" vertical="center" wrapText="1"/>
    </xf>
    <xf numFmtId="4" fontId="11" fillId="0" borderId="77" xfId="0" applyFont="1" applyFill="1" applyBorder="1" applyAlignment="1">
      <alignment horizontal="left" vertical="center" wrapText="1"/>
    </xf>
    <xf numFmtId="4" fontId="11" fillId="0" borderId="72" xfId="0" applyFont="1" applyFill="1" applyBorder="1" applyAlignment="1">
      <alignment horizontal="left" vertical="center" wrapText="1"/>
    </xf>
    <xf numFmtId="4" fontId="11" fillId="0" borderId="88" xfId="0" applyFont="1" applyFill="1" applyBorder="1" applyAlignment="1">
      <alignment horizontal="left" vertical="center"/>
    </xf>
    <xf numFmtId="4" fontId="11" fillId="0" borderId="0" xfId="0" applyFont="1" applyFill="1" applyBorder="1" applyAlignment="1">
      <alignment horizontal="left" vertical="center"/>
    </xf>
    <xf numFmtId="4" fontId="11" fillId="0" borderId="50" xfId="0" applyFont="1" applyFill="1" applyBorder="1" applyAlignment="1">
      <alignment horizontal="left" vertical="center"/>
    </xf>
    <xf numFmtId="4" fontId="11" fillId="0" borderId="53" xfId="0" applyFont="1" applyFill="1" applyBorder="1" applyAlignment="1">
      <alignment horizontal="left" vertical="center"/>
    </xf>
    <xf numFmtId="4" fontId="11" fillId="0" borderId="51" xfId="0" applyFont="1" applyFill="1" applyBorder="1" applyAlignment="1">
      <alignment horizontal="left" vertical="center"/>
    </xf>
    <xf numFmtId="4" fontId="11" fillId="0" borderId="60" xfId="0" applyFont="1" applyFill="1" applyBorder="1" applyAlignment="1">
      <alignment horizontal="left" vertical="center" wrapText="1"/>
    </xf>
    <xf numFmtId="4" fontId="11" fillId="0" borderId="62" xfId="0" applyFont="1" applyFill="1" applyBorder="1" applyAlignment="1">
      <alignment horizontal="left" vertical="center" wrapText="1"/>
    </xf>
    <xf numFmtId="4" fontId="29" fillId="8" borderId="10" xfId="0" applyFont="1" applyFill="1" applyBorder="1" applyAlignment="1">
      <alignment horizontal="center" vertical="center" wrapText="1"/>
    </xf>
    <xf numFmtId="4" fontId="29" fillId="8" borderId="25" xfId="0" applyFont="1" applyFill="1" applyBorder="1" applyAlignment="1">
      <alignment horizontal="center" vertical="center" wrapText="1"/>
    </xf>
    <xf numFmtId="4" fontId="11" fillId="0" borderId="89" xfId="0" applyFont="1" applyBorder="1" applyAlignment="1">
      <alignment horizontal="justify" vertical="top" wrapText="1"/>
    </xf>
    <xf numFmtId="4" fontId="11" fillId="0" borderId="33" xfId="0" applyFont="1" applyBorder="1" applyAlignment="1">
      <alignment horizontal="justify" vertical="top" wrapText="1"/>
    </xf>
    <xf numFmtId="4" fontId="11" fillId="0" borderId="49" xfId="0" applyFont="1" applyBorder="1" applyAlignment="1">
      <alignment horizontal="justify" vertical="top" wrapText="1"/>
    </xf>
    <xf numFmtId="4" fontId="11" fillId="0" borderId="88" xfId="0" applyFont="1" applyBorder="1" applyAlignment="1">
      <alignment horizontal="justify" vertical="top" wrapText="1"/>
    </xf>
    <xf numFmtId="4" fontId="11" fillId="0" borderId="0" xfId="0" applyFont="1" applyBorder="1" applyAlignment="1">
      <alignment horizontal="justify" vertical="top" wrapText="1"/>
    </xf>
    <xf numFmtId="4" fontId="11" fillId="0" borderId="47" xfId="0" applyFont="1" applyBorder="1" applyAlignment="1">
      <alignment horizontal="justify" vertical="top" wrapText="1"/>
    </xf>
    <xf numFmtId="4" fontId="11" fillId="0" borderId="90" xfId="0" applyFont="1" applyBorder="1" applyAlignment="1">
      <alignment horizontal="justify" vertical="top" wrapText="1"/>
    </xf>
    <xf numFmtId="4" fontId="11" fillId="0" borderId="5" xfId="0" applyFont="1" applyBorder="1" applyAlignment="1">
      <alignment horizontal="justify" vertical="top" wrapText="1"/>
    </xf>
    <xf numFmtId="4" fontId="11" fillId="0" borderId="83" xfId="0" applyFont="1" applyBorder="1" applyAlignment="1">
      <alignment horizontal="justify" vertical="top" wrapText="1"/>
    </xf>
    <xf numFmtId="4" fontId="11" fillId="0" borderId="55" xfId="0" applyFont="1" applyBorder="1" applyAlignment="1">
      <alignment horizontal="justify" vertical="top" wrapText="1"/>
    </xf>
    <xf numFmtId="4" fontId="11" fillId="0" borderId="56" xfId="0" applyFont="1" applyBorder="1" applyAlignment="1">
      <alignment horizontal="justify" vertical="top" wrapText="1"/>
    </xf>
    <xf numFmtId="4" fontId="11" fillId="0" borderId="57" xfId="0" applyFont="1" applyBorder="1" applyAlignment="1">
      <alignment horizontal="justify" vertical="top" wrapText="1"/>
    </xf>
    <xf numFmtId="4" fontId="11" fillId="0" borderId="50" xfId="0" applyFont="1" applyBorder="1" applyAlignment="1">
      <alignment horizontal="justify" vertical="top" wrapText="1"/>
    </xf>
    <xf numFmtId="4" fontId="11" fillId="0" borderId="53" xfId="0" applyFont="1" applyBorder="1" applyAlignment="1">
      <alignment horizontal="justify" vertical="top" wrapText="1"/>
    </xf>
    <xf numFmtId="4" fontId="11" fillId="0" borderId="51" xfId="0" applyFont="1" applyBorder="1" applyAlignment="1">
      <alignment horizontal="justify" vertical="top" wrapText="1"/>
    </xf>
    <xf numFmtId="4" fontId="11" fillId="0" borderId="60" xfId="0" applyFont="1" applyBorder="1" applyAlignment="1">
      <alignment horizontal="justify" vertical="top" wrapText="1"/>
    </xf>
    <xf numFmtId="4" fontId="11" fillId="0" borderId="61" xfId="0" applyFont="1" applyBorder="1" applyAlignment="1">
      <alignment horizontal="justify" vertical="top" wrapText="1"/>
    </xf>
    <xf numFmtId="4" fontId="11" fillId="0" borderId="62" xfId="0" applyFont="1" applyBorder="1" applyAlignment="1">
      <alignment horizontal="justify" vertical="top" wrapText="1"/>
    </xf>
    <xf numFmtId="4" fontId="29" fillId="8" borderId="10" xfId="0" applyFont="1" applyFill="1" applyBorder="1" applyAlignment="1">
      <alignment horizontal="center" vertical="top" wrapText="1"/>
    </xf>
    <xf numFmtId="4" fontId="29" fillId="8" borderId="25" xfId="0" applyFont="1" applyFill="1" applyBorder="1" applyAlignment="1">
      <alignment horizontal="center" vertical="top" wrapText="1"/>
    </xf>
    <xf numFmtId="4" fontId="28" fillId="0" borderId="92" xfId="0" applyFont="1" applyBorder="1" applyAlignment="1">
      <alignment horizontal="left" vertical="top" wrapText="1"/>
    </xf>
    <xf numFmtId="4" fontId="28" fillId="0" borderId="76" xfId="0" applyFont="1" applyBorder="1" applyAlignment="1">
      <alignment horizontal="left" vertical="top" wrapText="1"/>
    </xf>
    <xf numFmtId="4" fontId="29" fillId="3" borderId="25" xfId="0" applyFont="1" applyFill="1" applyBorder="1" applyAlignment="1">
      <alignment horizontal="center" vertical="top" wrapText="1"/>
    </xf>
    <xf numFmtId="4" fontId="31" fillId="0" borderId="55" xfId="0" applyNumberFormat="1" applyFont="1" applyBorder="1" applyAlignment="1">
      <alignment horizontal="left" vertical="top" wrapText="1"/>
    </xf>
    <xf numFmtId="4" fontId="31" fillId="0" borderId="56" xfId="0" applyNumberFormat="1" applyFont="1" applyBorder="1" applyAlignment="1">
      <alignment horizontal="left" vertical="top" wrapText="1"/>
    </xf>
    <xf numFmtId="4" fontId="31" fillId="0" borderId="57" xfId="0" applyNumberFormat="1" applyFont="1" applyBorder="1" applyAlignment="1">
      <alignment horizontal="left" vertical="top" wrapText="1"/>
    </xf>
    <xf numFmtId="4" fontId="29" fillId="3" borderId="48" xfId="0" applyFont="1" applyFill="1" applyBorder="1" applyAlignment="1">
      <alignment horizontal="left" vertical="top"/>
    </xf>
    <xf numFmtId="4" fontId="29" fillId="6" borderId="10" xfId="0" applyFont="1" applyFill="1" applyBorder="1" applyAlignment="1">
      <alignment horizontal="left"/>
    </xf>
    <xf numFmtId="4" fontId="29" fillId="6" borderId="32" xfId="0" applyFont="1" applyFill="1" applyBorder="1" applyAlignment="1">
      <alignment horizontal="left"/>
    </xf>
    <xf numFmtId="4" fontId="29" fillId="6" borderId="25" xfId="0" applyFont="1" applyFill="1" applyBorder="1" applyAlignment="1">
      <alignment horizontal="left"/>
    </xf>
    <xf numFmtId="4" fontId="29" fillId="4" borderId="32" xfId="0" applyFont="1" applyFill="1" applyBorder="1" applyAlignment="1">
      <alignment horizontal="center"/>
    </xf>
    <xf numFmtId="4" fontId="33" fillId="6" borderId="10" xfId="0" applyNumberFormat="1" applyFont="1" applyFill="1" applyBorder="1" applyAlignment="1">
      <alignment horizontal="left"/>
    </xf>
    <xf numFmtId="4" fontId="33" fillId="6" borderId="32" xfId="0" applyNumberFormat="1" applyFont="1" applyFill="1" applyBorder="1" applyAlignment="1">
      <alignment horizontal="left"/>
    </xf>
    <xf numFmtId="4" fontId="33" fillId="6" borderId="25" xfId="0" applyNumberFormat="1" applyFont="1" applyFill="1" applyBorder="1" applyAlignment="1">
      <alignment horizontal="left"/>
    </xf>
    <xf numFmtId="4" fontId="29" fillId="3" borderId="10" xfId="0" applyFont="1" applyFill="1" applyBorder="1" applyAlignment="1">
      <alignment horizontal="left" vertical="top"/>
    </xf>
    <xf numFmtId="4" fontId="29" fillId="3" borderId="25" xfId="0" applyFont="1" applyFill="1" applyBorder="1" applyAlignment="1">
      <alignment horizontal="left" vertical="top"/>
    </xf>
    <xf numFmtId="4" fontId="28" fillId="6" borderId="10" xfId="0" applyFont="1" applyFill="1" applyBorder="1" applyAlignment="1">
      <alignment horizontal="left"/>
    </xf>
    <xf numFmtId="4" fontId="28" fillId="6" borderId="32" xfId="0" applyFont="1" applyFill="1" applyBorder="1" applyAlignment="1">
      <alignment horizontal="left"/>
    </xf>
    <xf numFmtId="4" fontId="28" fillId="6" borderId="25" xfId="0" applyFont="1" applyFill="1" applyBorder="1" applyAlignment="1">
      <alignment horizontal="left"/>
    </xf>
    <xf numFmtId="4" fontId="29" fillId="3" borderId="55" xfId="0" applyFont="1" applyFill="1" applyBorder="1" applyAlignment="1">
      <alignment horizontal="left" vertical="top"/>
    </xf>
    <xf numFmtId="4" fontId="29" fillId="3" borderId="57" xfId="0" applyFont="1" applyFill="1" applyBorder="1" applyAlignment="1">
      <alignment horizontal="left" vertical="top"/>
    </xf>
    <xf numFmtId="4" fontId="29" fillId="6" borderId="10" xfId="0" applyNumberFormat="1" applyFont="1" applyFill="1" applyBorder="1" applyAlignment="1">
      <alignment horizontal="left"/>
    </xf>
    <xf numFmtId="4" fontId="29" fillId="6" borderId="32" xfId="0" applyNumberFormat="1" applyFont="1" applyFill="1" applyBorder="1" applyAlignment="1">
      <alignment horizontal="left"/>
    </xf>
    <xf numFmtId="4" fontId="29" fillId="6" borderId="25" xfId="0" applyNumberFormat="1" applyFont="1" applyFill="1" applyBorder="1" applyAlignment="1">
      <alignment horizontal="left"/>
    </xf>
    <xf numFmtId="4" fontId="29" fillId="4" borderId="10" xfId="0" applyNumberFormat="1" applyFont="1" applyFill="1" applyBorder="1" applyAlignment="1">
      <alignment horizontal="center"/>
    </xf>
    <xf numFmtId="4" fontId="29" fillId="4" borderId="32" xfId="0" applyNumberFormat="1" applyFont="1" applyFill="1" applyBorder="1" applyAlignment="1">
      <alignment horizontal="center"/>
    </xf>
    <xf numFmtId="4" fontId="29" fillId="4" borderId="25" xfId="0" applyNumberFormat="1" applyFont="1" applyFill="1" applyBorder="1" applyAlignment="1">
      <alignment horizontal="center"/>
    </xf>
    <xf numFmtId="4" fontId="29" fillId="3" borderId="10" xfId="0" applyNumberFormat="1" applyFont="1" applyFill="1" applyBorder="1" applyAlignment="1">
      <alignment horizontal="center" vertical="top"/>
    </xf>
    <xf numFmtId="4" fontId="29" fillId="3" borderId="32" xfId="0" applyNumberFormat="1" applyFont="1" applyFill="1" applyBorder="1" applyAlignment="1">
      <alignment horizontal="center" vertical="top"/>
    </xf>
    <xf numFmtId="4" fontId="29" fillId="3" borderId="25" xfId="0" applyNumberFormat="1" applyFont="1" applyFill="1" applyBorder="1" applyAlignment="1">
      <alignment horizontal="center" vertical="top"/>
    </xf>
    <xf numFmtId="4" fontId="28" fillId="0" borderId="8" xfId="0" applyFont="1" applyBorder="1" applyAlignment="1">
      <alignment horizontal="left" vertical="top" wrapText="1"/>
    </xf>
    <xf numFmtId="4" fontId="28" fillId="0" borderId="49" xfId="0" applyFont="1" applyBorder="1" applyAlignment="1">
      <alignment horizontal="left" vertical="top" wrapText="1"/>
    </xf>
    <xf numFmtId="4" fontId="28" fillId="0" borderId="71" xfId="0" applyFont="1" applyBorder="1" applyAlignment="1">
      <alignment horizontal="left" vertical="top" wrapText="1"/>
    </xf>
    <xf numFmtId="4" fontId="28" fillId="0" borderId="82" xfId="0" applyFont="1" applyBorder="1" applyAlignment="1">
      <alignment horizontal="left" vertical="top" wrapText="1"/>
    </xf>
    <xf numFmtId="4" fontId="28" fillId="0" borderId="62" xfId="0" applyFont="1" applyBorder="1" applyAlignment="1">
      <alignment horizontal="left" vertical="top"/>
    </xf>
    <xf numFmtId="4" fontId="28" fillId="0" borderId="50" xfId="0" applyFont="1" applyBorder="1" applyAlignment="1">
      <alignment horizontal="left"/>
    </xf>
    <xf numFmtId="4" fontId="28" fillId="0" borderId="53" xfId="0" applyFont="1" applyBorder="1" applyAlignment="1">
      <alignment horizontal="left"/>
    </xf>
    <xf numFmtId="4" fontId="28" fillId="0" borderId="51" xfId="0" applyFont="1" applyBorder="1" applyAlignment="1">
      <alignment horizontal="left"/>
    </xf>
    <xf numFmtId="4" fontId="28" fillId="0" borderId="50" xfId="0" applyFont="1" applyFill="1" applyBorder="1" applyAlignment="1">
      <alignment horizontal="left" vertical="top"/>
    </xf>
    <xf numFmtId="4" fontId="28" fillId="0" borderId="51" xfId="0" applyFont="1" applyFill="1" applyBorder="1" applyAlignment="1">
      <alignment horizontal="left" vertical="top"/>
    </xf>
    <xf numFmtId="4" fontId="28" fillId="0" borderId="55" xfId="0" applyFont="1" applyFill="1" applyBorder="1" applyAlignment="1">
      <alignment horizontal="left" vertical="top"/>
    </xf>
    <xf numFmtId="4" fontId="28" fillId="0" borderId="57" xfId="0" applyFont="1" applyFill="1" applyBorder="1" applyAlignment="1">
      <alignment horizontal="left" vertical="top"/>
    </xf>
    <xf numFmtId="4" fontId="28" fillId="0" borderId="91" xfId="0" applyFont="1" applyFill="1" applyBorder="1" applyAlignment="1">
      <alignment horizontal="left" vertical="top"/>
    </xf>
    <xf numFmtId="4" fontId="28" fillId="0" borderId="76" xfId="0" applyFont="1" applyFill="1" applyBorder="1" applyAlignment="1">
      <alignment horizontal="left" vertical="top"/>
    </xf>
    <xf numFmtId="4" fontId="28" fillId="0" borderId="77" xfId="0" applyFont="1" applyFill="1" applyBorder="1" applyAlignment="1">
      <alignment horizontal="left" vertical="top"/>
    </xf>
    <xf numFmtId="4" fontId="28" fillId="0" borderId="72" xfId="0" applyFont="1" applyFill="1" applyBorder="1" applyAlignment="1">
      <alignment horizontal="left" vertical="top"/>
    </xf>
    <xf numFmtId="4" fontId="28" fillId="0" borderId="50" xfId="0" applyFont="1" applyBorder="1" applyAlignment="1">
      <alignment vertical="top" wrapText="1"/>
    </xf>
    <xf numFmtId="4" fontId="11" fillId="0" borderId="53" xfId="0" applyFont="1" applyBorder="1" applyAlignment="1">
      <alignment vertical="top" wrapText="1"/>
    </xf>
    <xf numFmtId="4" fontId="11" fillId="0" borderId="51" xfId="0" applyFont="1" applyBorder="1" applyAlignment="1">
      <alignment vertical="top" wrapText="1"/>
    </xf>
    <xf numFmtId="4" fontId="11" fillId="0" borderId="1" xfId="0" applyFont="1" applyFill="1" applyBorder="1" applyAlignment="1">
      <alignment horizontal="left" vertical="top"/>
    </xf>
    <xf numFmtId="4" fontId="11" fillId="0" borderId="52" xfId="0" applyFont="1" applyFill="1" applyBorder="1" applyAlignment="1">
      <alignment horizontal="left" vertical="top"/>
    </xf>
    <xf numFmtId="4" fontId="11" fillId="0" borderId="50" xfId="0" applyFont="1" applyFill="1" applyBorder="1" applyAlignment="1">
      <alignment horizontal="left" vertical="top"/>
    </xf>
    <xf numFmtId="4" fontId="11" fillId="0" borderId="51" xfId="0" applyFont="1" applyFill="1" applyBorder="1" applyAlignment="1">
      <alignment horizontal="left" vertical="top"/>
    </xf>
    <xf numFmtId="4" fontId="29" fillId="7" borderId="0" xfId="0" applyFont="1" applyFill="1" applyAlignment="1">
      <alignment horizontal="left" vertical="center"/>
    </xf>
    <xf numFmtId="4" fontId="11" fillId="0" borderId="53" xfId="0" applyFont="1" applyBorder="1" applyAlignment="1">
      <alignment vertical="top"/>
    </xf>
    <xf numFmtId="4" fontId="31" fillId="0" borderId="1" xfId="0" applyNumberFormat="1" applyFont="1" applyBorder="1" applyAlignment="1">
      <alignment horizontal="left" vertical="top" wrapText="1"/>
    </xf>
    <xf numFmtId="4" fontId="28" fillId="0" borderId="1" xfId="0" applyFont="1" applyFill="1" applyBorder="1" applyAlignment="1">
      <alignment horizontal="left" vertical="top" wrapText="1"/>
    </xf>
    <xf numFmtId="4" fontId="46" fillId="0" borderId="1" xfId="0" applyFont="1" applyBorder="1" applyAlignment="1">
      <alignment vertical="top"/>
    </xf>
  </cellXfs>
  <cellStyles count="4">
    <cellStyle name="Čárka" xfId="1" builtinId="3"/>
    <cellStyle name="Excel Built-in Normal" xfId="3"/>
    <cellStyle name="Normální" xfId="0" builtinId="0"/>
    <cellStyle name="normální_MŠ Raisova"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5"/>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3">
      <c r="A1" s="60" t="s">
        <v>91</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280" t="s">
        <v>25</v>
      </c>
      <c r="D5" s="788" t="s">
        <v>176</v>
      </c>
      <c r="E5" s="788"/>
      <c r="F5" s="788"/>
      <c r="G5" s="788"/>
      <c r="H5" s="788"/>
      <c r="I5" s="788"/>
    </row>
    <row r="6" spans="1:9" s="87" customFormat="1" ht="11.25" x14ac:dyDescent="0.2">
      <c r="A6" s="792" t="s">
        <v>177</v>
      </c>
      <c r="B6" s="792"/>
      <c r="C6" s="283">
        <f>SUM(C7:C9)</f>
        <v>110020.66</v>
      </c>
      <c r="D6" s="793"/>
      <c r="E6" s="794"/>
      <c r="F6" s="794"/>
      <c r="G6" s="794"/>
      <c r="H6" s="794"/>
      <c r="I6" s="795"/>
    </row>
    <row r="7" spans="1:9" s="87" customFormat="1" ht="169.5" customHeight="1" x14ac:dyDescent="0.2">
      <c r="A7" s="796" t="s">
        <v>69</v>
      </c>
      <c r="B7" s="797"/>
      <c r="C7" s="284">
        <v>110020.66</v>
      </c>
      <c r="D7" s="798" t="s">
        <v>1169</v>
      </c>
      <c r="E7" s="798"/>
      <c r="F7" s="798"/>
      <c r="G7" s="798"/>
      <c r="H7" s="798"/>
      <c r="I7" s="798"/>
    </row>
    <row r="8" spans="1:9" s="88" customFormat="1" ht="11.25" x14ac:dyDescent="0.15">
      <c r="A8" s="757" t="s">
        <v>178</v>
      </c>
      <c r="B8" s="758"/>
      <c r="C8" s="285">
        <v>0</v>
      </c>
      <c r="D8" s="789"/>
      <c r="E8" s="789"/>
      <c r="F8" s="789"/>
      <c r="G8" s="789"/>
      <c r="H8" s="789"/>
      <c r="I8" s="789"/>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280" t="s">
        <v>68</v>
      </c>
      <c r="B13" s="280" t="s">
        <v>181</v>
      </c>
      <c r="C13" s="280"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100020.66</v>
      </c>
      <c r="D15" s="295"/>
      <c r="E15" s="296"/>
      <c r="F15" s="296"/>
      <c r="G15" s="296"/>
      <c r="H15" s="296"/>
      <c r="I15" s="296"/>
    </row>
    <row r="16" spans="1:9" s="87" customFormat="1" ht="11.25" x14ac:dyDescent="0.2">
      <c r="A16" s="763"/>
      <c r="B16" s="297" t="s">
        <v>71</v>
      </c>
      <c r="C16" s="298">
        <v>10000</v>
      </c>
      <c r="D16" s="299"/>
      <c r="E16" s="300"/>
      <c r="F16" s="300"/>
      <c r="G16" s="300"/>
      <c r="H16" s="300"/>
      <c r="I16" s="300"/>
    </row>
    <row r="17" spans="1:9" s="87" customFormat="1" ht="11.25" x14ac:dyDescent="0.2">
      <c r="A17" s="301" t="s">
        <v>177</v>
      </c>
      <c r="B17" s="302"/>
      <c r="C17" s="283">
        <f>SUM(C14:C16)</f>
        <v>110020.66</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06" t="s">
        <v>181</v>
      </c>
      <c r="B21" s="306" t="s">
        <v>185</v>
      </c>
      <c r="C21" s="307" t="s">
        <v>186</v>
      </c>
      <c r="D21" s="306" t="s">
        <v>187</v>
      </c>
      <c r="E21" s="306" t="s">
        <v>188</v>
      </c>
      <c r="F21" s="764" t="s">
        <v>189</v>
      </c>
      <c r="G21" s="764"/>
      <c r="H21" s="764"/>
      <c r="I21" s="764"/>
    </row>
    <row r="22" spans="1:9" s="87" customFormat="1" ht="11.25" x14ac:dyDescent="0.2">
      <c r="A22" s="310" t="s">
        <v>190</v>
      </c>
      <c r="B22" s="124">
        <v>50469.98</v>
      </c>
      <c r="C22" s="124">
        <v>99543.76</v>
      </c>
      <c r="D22" s="124">
        <v>74440</v>
      </c>
      <c r="E22" s="124">
        <v>75572.740000000005</v>
      </c>
      <c r="F22" s="778" t="s">
        <v>1170</v>
      </c>
      <c r="G22" s="779"/>
      <c r="H22" s="779"/>
      <c r="I22" s="780"/>
    </row>
    <row r="23" spans="1:9" s="87" customFormat="1" ht="11.25" x14ac:dyDescent="0.2">
      <c r="A23" s="293" t="s">
        <v>191</v>
      </c>
      <c r="B23" s="125">
        <v>6149</v>
      </c>
      <c r="C23" s="125">
        <v>81544</v>
      </c>
      <c r="D23" s="125">
        <v>58970</v>
      </c>
      <c r="E23" s="125">
        <f t="shared" ref="E23:E25" si="0">B23+C23-D23</f>
        <v>28723</v>
      </c>
      <c r="F23" s="781" t="s">
        <v>214</v>
      </c>
      <c r="G23" s="782"/>
      <c r="H23" s="782"/>
      <c r="I23" s="783"/>
    </row>
    <row r="24" spans="1:9" s="87" customFormat="1" ht="11.25" x14ac:dyDescent="0.2">
      <c r="A24" s="293" t="s">
        <v>71</v>
      </c>
      <c r="B24" s="125">
        <v>54683.38</v>
      </c>
      <c r="C24" s="125">
        <v>10000</v>
      </c>
      <c r="D24" s="125">
        <v>0</v>
      </c>
      <c r="E24" s="125">
        <f t="shared" si="0"/>
        <v>64683.38</v>
      </c>
      <c r="F24" s="781" t="s">
        <v>192</v>
      </c>
      <c r="G24" s="782"/>
      <c r="H24" s="782"/>
      <c r="I24" s="783"/>
    </row>
    <row r="25" spans="1:9" s="87" customFormat="1" ht="11.25" x14ac:dyDescent="0.2">
      <c r="A25" s="311" t="s">
        <v>193</v>
      </c>
      <c r="B25" s="126">
        <v>40028.519999999997</v>
      </c>
      <c r="C25" s="126">
        <v>37270</v>
      </c>
      <c r="D25" s="126">
        <v>39137</v>
      </c>
      <c r="E25" s="126">
        <f t="shared" si="0"/>
        <v>38161.51999999999</v>
      </c>
      <c r="F25" s="784" t="s">
        <v>194</v>
      </c>
      <c r="G25" s="785"/>
      <c r="H25" s="785"/>
      <c r="I25" s="786"/>
    </row>
    <row r="26" spans="1:9" s="88" customFormat="1" ht="10.5" x14ac:dyDescent="0.15">
      <c r="A26" s="670" t="s">
        <v>34</v>
      </c>
      <c r="B26" s="283">
        <f>SUM(B22:B25)</f>
        <v>151330.88</v>
      </c>
      <c r="C26" s="283">
        <f t="shared" ref="C26:E26" si="1">SUM(C22:C25)</f>
        <v>228357.76000000001</v>
      </c>
      <c r="D26" s="283">
        <f t="shared" si="1"/>
        <v>172547</v>
      </c>
      <c r="E26" s="283">
        <f t="shared" si="1"/>
        <v>207140.63999999998</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280" t="s">
        <v>72</v>
      </c>
      <c r="B30" s="280" t="s">
        <v>25</v>
      </c>
      <c r="C30" s="312" t="s">
        <v>73</v>
      </c>
      <c r="D30" s="788" t="s">
        <v>196</v>
      </c>
      <c r="E30" s="788"/>
      <c r="F30" s="788"/>
      <c r="G30" s="788"/>
      <c r="H30" s="788"/>
      <c r="I30" s="788"/>
    </row>
    <row r="31" spans="1:9" s="87" customFormat="1" ht="11.25" x14ac:dyDescent="0.2">
      <c r="A31" s="313"/>
      <c r="B31" s="131">
        <v>0</v>
      </c>
      <c r="C31" s="314"/>
      <c r="D31" s="774"/>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280" t="s">
        <v>72</v>
      </c>
      <c r="B36" s="280" t="s">
        <v>25</v>
      </c>
      <c r="C36" s="312" t="s">
        <v>73</v>
      </c>
      <c r="D36" s="788" t="s">
        <v>196</v>
      </c>
      <c r="E36" s="788"/>
      <c r="F36" s="788"/>
      <c r="G36" s="788"/>
      <c r="H36" s="788"/>
      <c r="I36" s="788"/>
    </row>
    <row r="37" spans="1:9" s="87" customFormat="1" ht="11.25" x14ac:dyDescent="0.2">
      <c r="A37" s="313"/>
      <c r="B37" s="131">
        <v>0</v>
      </c>
      <c r="C37" s="314"/>
      <c r="D37" s="774"/>
      <c r="E37" s="746"/>
      <c r="F37" s="746"/>
      <c r="G37" s="746"/>
      <c r="H37" s="746"/>
      <c r="I37" s="775"/>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280" t="s">
        <v>25</v>
      </c>
      <c r="B42" s="307" t="s">
        <v>100</v>
      </c>
      <c r="C42" s="765" t="s">
        <v>74</v>
      </c>
      <c r="D42" s="765"/>
      <c r="E42" s="765"/>
      <c r="F42" s="765"/>
      <c r="G42" s="765"/>
      <c r="H42" s="765"/>
      <c r="I42" s="765"/>
    </row>
    <row r="43" spans="1:9" s="87" customFormat="1" ht="11.25" customHeight="1" x14ac:dyDescent="0.2">
      <c r="A43" s="124">
        <v>1000</v>
      </c>
      <c r="B43" s="124"/>
      <c r="C43" s="768" t="s">
        <v>1171</v>
      </c>
      <c r="D43" s="769"/>
      <c r="E43" s="769"/>
      <c r="F43" s="769"/>
      <c r="G43" s="769"/>
      <c r="H43" s="769"/>
      <c r="I43" s="770"/>
    </row>
    <row r="44" spans="1:9" s="87" customFormat="1" ht="11.25" x14ac:dyDescent="0.2">
      <c r="A44" s="125">
        <v>4000</v>
      </c>
      <c r="B44" s="125"/>
      <c r="C44" s="771"/>
      <c r="D44" s="772"/>
      <c r="E44" s="772"/>
      <c r="F44" s="772"/>
      <c r="G44" s="772"/>
      <c r="H44" s="772"/>
      <c r="I44" s="773"/>
    </row>
    <row r="45" spans="1:9" s="87" customFormat="1" ht="11.25" x14ac:dyDescent="0.2">
      <c r="A45" s="125">
        <v>2000</v>
      </c>
      <c r="B45" s="125"/>
      <c r="C45" s="735"/>
      <c r="D45" s="735"/>
      <c r="E45" s="735"/>
      <c r="F45" s="735"/>
      <c r="G45" s="735"/>
      <c r="H45" s="735"/>
      <c r="I45" s="735"/>
    </row>
    <row r="46" spans="1:9" s="87" customFormat="1" ht="11.25" x14ac:dyDescent="0.2">
      <c r="A46" s="125">
        <v>5000</v>
      </c>
      <c r="B46" s="125"/>
      <c r="C46" s="735"/>
      <c r="D46" s="735"/>
      <c r="E46" s="735"/>
      <c r="F46" s="735"/>
      <c r="G46" s="735"/>
      <c r="H46" s="735"/>
      <c r="I46" s="735"/>
    </row>
    <row r="47" spans="1:9" s="87" customFormat="1" ht="11.25" x14ac:dyDescent="0.2">
      <c r="A47" s="125">
        <v>1500</v>
      </c>
      <c r="B47" s="125"/>
      <c r="C47" s="735"/>
      <c r="D47" s="735"/>
      <c r="E47" s="735"/>
      <c r="F47" s="735"/>
      <c r="G47" s="735"/>
      <c r="H47" s="735"/>
      <c r="I47" s="735"/>
    </row>
    <row r="48" spans="1:9" s="87" customFormat="1" ht="11.25" x14ac:dyDescent="0.2">
      <c r="A48" s="126">
        <v>2000</v>
      </c>
      <c r="B48" s="126"/>
      <c r="C48" s="766"/>
      <c r="D48" s="766"/>
      <c r="E48" s="766"/>
      <c r="F48" s="766"/>
      <c r="G48" s="766"/>
      <c r="H48" s="766"/>
      <c r="I48" s="766"/>
    </row>
    <row r="49" spans="1:9" s="88" customFormat="1" ht="10.5" x14ac:dyDescent="0.15">
      <c r="A49" s="283">
        <f>SUM(A43:A48)</f>
        <v>15500</v>
      </c>
      <c r="B49" s="283">
        <f>SUM(B43:B48)</f>
        <v>0</v>
      </c>
      <c r="C49" s="767" t="s">
        <v>34</v>
      </c>
      <c r="D49" s="767"/>
      <c r="E49" s="767"/>
      <c r="F49" s="767"/>
      <c r="G49" s="767"/>
      <c r="H49" s="767"/>
      <c r="I49" s="767"/>
    </row>
    <row r="50" spans="1:9" s="87" customFormat="1" ht="11.25" x14ac:dyDescent="0.2">
      <c r="C50" s="89"/>
    </row>
    <row r="51" spans="1:9" s="87" customFormat="1" ht="11.25" x14ac:dyDescent="0.2">
      <c r="A51" s="742" t="s">
        <v>199</v>
      </c>
      <c r="B51" s="742"/>
      <c r="C51" s="742"/>
      <c r="D51" s="742"/>
      <c r="E51" s="742"/>
      <c r="F51" s="742"/>
      <c r="G51" s="742"/>
      <c r="H51" s="742"/>
      <c r="I51" s="742"/>
    </row>
    <row r="52" spans="1:9" s="87" customFormat="1" ht="11.25" x14ac:dyDescent="0.2">
      <c r="C52" s="89"/>
    </row>
    <row r="53" spans="1:9" s="151" customFormat="1" ht="31.5" x14ac:dyDescent="0.25">
      <c r="A53" s="743" t="s">
        <v>101</v>
      </c>
      <c r="B53" s="744"/>
      <c r="C53" s="306" t="s">
        <v>102</v>
      </c>
      <c r="D53" s="306" t="s">
        <v>103</v>
      </c>
      <c r="E53" s="306" t="s">
        <v>104</v>
      </c>
      <c r="F53" s="306" t="s">
        <v>105</v>
      </c>
      <c r="G53" s="306" t="s">
        <v>94</v>
      </c>
    </row>
    <row r="54" spans="1:9" s="66" customFormat="1" ht="11.25" x14ac:dyDescent="0.2">
      <c r="A54" s="751" t="s">
        <v>1172</v>
      </c>
      <c r="B54" s="752"/>
      <c r="C54" s="322" t="s">
        <v>200</v>
      </c>
      <c r="D54" s="323">
        <v>130649</v>
      </c>
      <c r="E54" s="323">
        <v>130649</v>
      </c>
      <c r="F54" s="324">
        <v>42122</v>
      </c>
      <c r="G54" s="324">
        <v>42122</v>
      </c>
    </row>
    <row r="55" spans="1:9" s="66" customFormat="1" ht="11.25" x14ac:dyDescent="0.2">
      <c r="A55" s="736" t="s">
        <v>1173</v>
      </c>
      <c r="B55" s="737"/>
      <c r="C55" s="325" t="s">
        <v>201</v>
      </c>
      <c r="D55" s="326"/>
      <c r="E55" s="326">
        <v>-110000</v>
      </c>
      <c r="F55" s="327">
        <v>42312</v>
      </c>
      <c r="G55" s="327">
        <v>42313</v>
      </c>
    </row>
    <row r="56" spans="1:9" s="66" customFormat="1" ht="11.25" x14ac:dyDescent="0.2">
      <c r="A56" s="736" t="s">
        <v>1176</v>
      </c>
      <c r="B56" s="737"/>
      <c r="C56" s="325" t="s">
        <v>202</v>
      </c>
      <c r="D56" s="326"/>
      <c r="E56" s="326">
        <v>110000</v>
      </c>
      <c r="F56" s="327">
        <v>42313</v>
      </c>
      <c r="G56" s="327">
        <v>42313</v>
      </c>
    </row>
    <row r="57" spans="1:9" s="66" customFormat="1" ht="11.25" x14ac:dyDescent="0.2">
      <c r="A57" s="736" t="s">
        <v>1175</v>
      </c>
      <c r="B57" s="737"/>
      <c r="C57" s="325" t="s">
        <v>203</v>
      </c>
      <c r="D57" s="326"/>
      <c r="E57" s="326">
        <v>-16000</v>
      </c>
      <c r="F57" s="327">
        <v>42297</v>
      </c>
      <c r="G57" s="327">
        <v>42297</v>
      </c>
    </row>
    <row r="58" spans="1:9" s="66" customFormat="1" ht="11.25" x14ac:dyDescent="0.2">
      <c r="A58" s="736" t="s">
        <v>1174</v>
      </c>
      <c r="B58" s="737"/>
      <c r="C58" s="325" t="s">
        <v>204</v>
      </c>
      <c r="D58" s="326"/>
      <c r="E58" s="326">
        <v>16000</v>
      </c>
      <c r="F58" s="327">
        <v>42297</v>
      </c>
      <c r="G58" s="327">
        <v>42297</v>
      </c>
    </row>
    <row r="59" spans="1:9" s="66" customFormat="1" ht="11.25" x14ac:dyDescent="0.2">
      <c r="A59" s="736" t="s">
        <v>1177</v>
      </c>
      <c r="B59" s="737"/>
      <c r="C59" s="325" t="s">
        <v>205</v>
      </c>
      <c r="D59" s="326"/>
      <c r="E59" s="326">
        <v>-2000</v>
      </c>
      <c r="F59" s="327">
        <v>42333</v>
      </c>
      <c r="G59" s="327">
        <v>42333</v>
      </c>
    </row>
    <row r="60" spans="1:9" s="66" customFormat="1" ht="11.25" x14ac:dyDescent="0.2">
      <c r="A60" s="736" t="s">
        <v>1178</v>
      </c>
      <c r="B60" s="737"/>
      <c r="C60" s="325" t="s">
        <v>206</v>
      </c>
      <c r="D60" s="326"/>
      <c r="E60" s="326">
        <v>-1000</v>
      </c>
      <c r="F60" s="327">
        <v>42333</v>
      </c>
      <c r="G60" s="327">
        <v>42333</v>
      </c>
    </row>
    <row r="61" spans="1:9" s="66" customFormat="1" ht="11.25" x14ac:dyDescent="0.2">
      <c r="A61" s="736" t="s">
        <v>1179</v>
      </c>
      <c r="B61" s="737"/>
      <c r="C61" s="325" t="s">
        <v>202</v>
      </c>
      <c r="D61" s="326"/>
      <c r="E61" s="326">
        <v>3000</v>
      </c>
      <c r="F61" s="327">
        <v>42333</v>
      </c>
      <c r="G61" s="327">
        <v>42333</v>
      </c>
    </row>
    <row r="62" spans="1:9" s="66" customFormat="1" ht="11.25" x14ac:dyDescent="0.2">
      <c r="A62" s="736" t="s">
        <v>1180</v>
      </c>
      <c r="B62" s="737"/>
      <c r="C62" s="325" t="s">
        <v>207</v>
      </c>
      <c r="D62" s="326">
        <v>7140</v>
      </c>
      <c r="E62" s="326"/>
      <c r="F62" s="327">
        <v>42244</v>
      </c>
      <c r="G62" s="327">
        <v>42244</v>
      </c>
    </row>
    <row r="63" spans="1:9" s="66" customFormat="1" ht="11.25" x14ac:dyDescent="0.2">
      <c r="A63" s="736" t="s">
        <v>1181</v>
      </c>
      <c r="B63" s="737"/>
      <c r="C63" s="325" t="s">
        <v>208</v>
      </c>
      <c r="D63" s="326"/>
      <c r="E63" s="326">
        <v>7140</v>
      </c>
      <c r="F63" s="327">
        <v>42244</v>
      </c>
      <c r="G63" s="327">
        <v>42244</v>
      </c>
    </row>
    <row r="64" spans="1:9" s="66" customFormat="1" ht="11.25" x14ac:dyDescent="0.2">
      <c r="A64" s="736" t="s">
        <v>1180</v>
      </c>
      <c r="B64" s="737"/>
      <c r="C64" s="325" t="s">
        <v>207</v>
      </c>
      <c r="D64" s="326">
        <v>57301</v>
      </c>
      <c r="E64" s="326"/>
      <c r="F64" s="327">
        <v>42278</v>
      </c>
      <c r="G64" s="327">
        <v>42278</v>
      </c>
    </row>
    <row r="65" spans="1:9" s="66" customFormat="1" ht="11.25" customHeight="1" x14ac:dyDescent="0.2">
      <c r="A65" s="736" t="s">
        <v>1182</v>
      </c>
      <c r="B65" s="737"/>
      <c r="C65" s="325" t="s">
        <v>202</v>
      </c>
      <c r="D65" s="326"/>
      <c r="E65" s="326">
        <v>57301</v>
      </c>
      <c r="F65" s="327">
        <v>42278</v>
      </c>
      <c r="G65" s="327">
        <v>42278</v>
      </c>
    </row>
    <row r="66" spans="1:9" s="66" customFormat="1" ht="11.25" x14ac:dyDescent="0.2">
      <c r="A66" s="736" t="s">
        <v>1183</v>
      </c>
      <c r="B66" s="737"/>
      <c r="C66" s="325" t="s">
        <v>209</v>
      </c>
      <c r="D66" s="326">
        <v>73843</v>
      </c>
      <c r="E66" s="326"/>
      <c r="F66" s="327">
        <v>42348</v>
      </c>
      <c r="G66" s="327">
        <v>42348</v>
      </c>
    </row>
    <row r="67" spans="1:9" s="66" customFormat="1" ht="11.25" x14ac:dyDescent="0.2">
      <c r="A67" s="736" t="s">
        <v>1184</v>
      </c>
      <c r="B67" s="737"/>
      <c r="C67" s="325" t="s">
        <v>210</v>
      </c>
      <c r="D67" s="326"/>
      <c r="E67" s="326">
        <v>73843</v>
      </c>
      <c r="F67" s="327">
        <v>42348</v>
      </c>
      <c r="G67" s="327">
        <v>42348</v>
      </c>
    </row>
    <row r="68" spans="1:9" s="66" customFormat="1" ht="11.25" x14ac:dyDescent="0.2">
      <c r="A68" s="736" t="s">
        <v>1185</v>
      </c>
      <c r="B68" s="737"/>
      <c r="C68" s="325" t="s">
        <v>209</v>
      </c>
      <c r="D68" s="326">
        <v>27017</v>
      </c>
      <c r="E68" s="326"/>
      <c r="F68" s="327">
        <v>42318</v>
      </c>
      <c r="G68" s="327">
        <v>42318</v>
      </c>
    </row>
    <row r="69" spans="1:9" s="66" customFormat="1" ht="11.25" x14ac:dyDescent="0.2">
      <c r="A69" s="755" t="s">
        <v>1186</v>
      </c>
      <c r="B69" s="756"/>
      <c r="C69" s="328" t="s">
        <v>208</v>
      </c>
      <c r="D69" s="329"/>
      <c r="E69" s="329">
        <v>27017</v>
      </c>
      <c r="F69" s="330">
        <v>42318</v>
      </c>
      <c r="G69" s="330">
        <v>42318</v>
      </c>
    </row>
    <row r="70" spans="1:9" s="87" customFormat="1" ht="11.25" x14ac:dyDescent="0.2">
      <c r="A70" s="747" t="s">
        <v>111</v>
      </c>
      <c r="B70" s="748"/>
      <c r="C70" s="320"/>
      <c r="D70" s="90">
        <f>SUM(D54:D69)</f>
        <v>295950</v>
      </c>
      <c r="E70" s="90">
        <f>SUM(E54:E69)</f>
        <v>295950</v>
      </c>
      <c r="F70" s="753"/>
      <c r="G70" s="754"/>
    </row>
    <row r="71" spans="1:9" s="87" customFormat="1" ht="11.25" x14ac:dyDescent="0.2">
      <c r="C71" s="89"/>
    </row>
    <row r="72" spans="1:9" s="87" customFormat="1" ht="11.25" x14ac:dyDescent="0.2">
      <c r="A72" s="742" t="s">
        <v>211</v>
      </c>
      <c r="B72" s="742"/>
      <c r="C72" s="742"/>
      <c r="D72" s="742"/>
      <c r="E72" s="742"/>
      <c r="F72" s="742"/>
      <c r="G72" s="742"/>
      <c r="H72" s="742"/>
      <c r="I72" s="742"/>
    </row>
    <row r="73" spans="1:9" s="87" customFormat="1" ht="11.25" x14ac:dyDescent="0.2">
      <c r="C73" s="89"/>
    </row>
    <row r="74" spans="1:9" s="151" customFormat="1" ht="31.5" x14ac:dyDescent="0.25">
      <c r="A74" s="743" t="s">
        <v>101</v>
      </c>
      <c r="B74" s="744"/>
      <c r="C74" s="306" t="s">
        <v>102</v>
      </c>
      <c r="D74" s="306" t="s">
        <v>103</v>
      </c>
      <c r="E74" s="306" t="s">
        <v>104</v>
      </c>
      <c r="F74" s="306" t="s">
        <v>105</v>
      </c>
      <c r="G74" s="306" t="s">
        <v>94</v>
      </c>
    </row>
    <row r="75" spans="1:9" s="87" customFormat="1" ht="11.25" x14ac:dyDescent="0.2">
      <c r="A75" s="745"/>
      <c r="B75" s="746"/>
      <c r="C75" s="318"/>
      <c r="D75" s="319">
        <v>0</v>
      </c>
      <c r="E75" s="319">
        <v>0</v>
      </c>
      <c r="F75" s="321"/>
      <c r="G75" s="321"/>
    </row>
    <row r="76" spans="1:9" s="87" customFormat="1" ht="11.25" x14ac:dyDescent="0.2">
      <c r="A76" s="747" t="s">
        <v>111</v>
      </c>
      <c r="B76" s="748"/>
      <c r="C76" s="320"/>
      <c r="D76" s="90">
        <f>SUM(D75:D75)</f>
        <v>0</v>
      </c>
      <c r="E76" s="90">
        <f>SUM(E75:E75)</f>
        <v>0</v>
      </c>
      <c r="F76" s="749"/>
      <c r="G76" s="750"/>
    </row>
    <row r="77" spans="1:9" s="87" customFormat="1" ht="11.25" x14ac:dyDescent="0.2">
      <c r="C77" s="89"/>
    </row>
    <row r="78" spans="1:9" s="87" customFormat="1" ht="11.25" x14ac:dyDescent="0.2">
      <c r="A78" s="738" t="s">
        <v>212</v>
      </c>
      <c r="B78" s="738"/>
      <c r="C78" s="738"/>
      <c r="D78" s="738"/>
      <c r="E78" s="738"/>
      <c r="F78" s="738"/>
      <c r="G78" s="738"/>
      <c r="H78" s="738"/>
      <c r="I78" s="738"/>
    </row>
    <row r="79" spans="1:9" s="87" customFormat="1" ht="11.25" x14ac:dyDescent="0.2"/>
    <row r="80" spans="1:9" s="87" customFormat="1" ht="11.25" x14ac:dyDescent="0.2">
      <c r="A80" s="739" t="s">
        <v>1187</v>
      </c>
      <c r="B80" s="740"/>
      <c r="C80" s="740"/>
      <c r="D80" s="740"/>
      <c r="E80" s="740"/>
      <c r="F80" s="740"/>
      <c r="G80" s="740"/>
      <c r="H80" s="740"/>
      <c r="I80" s="741"/>
    </row>
    <row r="81" spans="1:9" s="87" customFormat="1" ht="11.25" x14ac:dyDescent="0.2"/>
    <row r="82" spans="1:9" s="88" customFormat="1" ht="10.5" x14ac:dyDescent="0.15">
      <c r="A82" s="742" t="s">
        <v>213</v>
      </c>
      <c r="B82" s="742"/>
      <c r="C82" s="742"/>
      <c r="D82" s="742"/>
      <c r="E82" s="742"/>
      <c r="F82" s="742"/>
      <c r="G82" s="742"/>
      <c r="H82" s="742"/>
      <c r="I82" s="742"/>
    </row>
    <row r="83" spans="1:9" s="87" customFormat="1" ht="11.25" x14ac:dyDescent="0.2"/>
    <row r="84" spans="1:9" ht="46.5" customHeight="1" x14ac:dyDescent="0.15">
      <c r="A84" s="732" t="s">
        <v>215</v>
      </c>
      <c r="B84" s="733"/>
      <c r="C84" s="733"/>
      <c r="D84" s="733"/>
      <c r="E84" s="733"/>
      <c r="F84" s="733"/>
      <c r="G84" s="733"/>
      <c r="H84" s="733"/>
      <c r="I84" s="734"/>
    </row>
    <row r="85" spans="1:9" ht="11.25" x14ac:dyDescent="0.15">
      <c r="A85" s="732" t="s">
        <v>216</v>
      </c>
      <c r="B85" s="733"/>
      <c r="C85" s="733"/>
      <c r="D85" s="733"/>
      <c r="E85" s="733"/>
      <c r="F85" s="733"/>
      <c r="G85" s="733"/>
      <c r="H85" s="733"/>
      <c r="I85" s="734"/>
    </row>
  </sheetData>
  <mergeCells count="66">
    <mergeCell ref="A8:B8"/>
    <mergeCell ref="D8:I8"/>
    <mergeCell ref="A3:I3"/>
    <mergeCell ref="A5:B5"/>
    <mergeCell ref="D5:I5"/>
    <mergeCell ref="A6:B6"/>
    <mergeCell ref="D6:I6"/>
    <mergeCell ref="A7:B7"/>
    <mergeCell ref="D7:I7"/>
    <mergeCell ref="D37:I37"/>
    <mergeCell ref="C38:I38"/>
    <mergeCell ref="C32:I32"/>
    <mergeCell ref="A19:I19"/>
    <mergeCell ref="F22:I22"/>
    <mergeCell ref="F23:I23"/>
    <mergeCell ref="F24:I24"/>
    <mergeCell ref="F25:I25"/>
    <mergeCell ref="F26:I26"/>
    <mergeCell ref="A28:I28"/>
    <mergeCell ref="D30:I30"/>
    <mergeCell ref="D31:I31"/>
    <mergeCell ref="A34:I34"/>
    <mergeCell ref="D36:I36"/>
    <mergeCell ref="A40:I40"/>
    <mergeCell ref="C42:I42"/>
    <mergeCell ref="C48:I48"/>
    <mergeCell ref="C49:I49"/>
    <mergeCell ref="A51:I51"/>
    <mergeCell ref="C43:I44"/>
    <mergeCell ref="A9:B9"/>
    <mergeCell ref="D9:I9"/>
    <mergeCell ref="A11:I11"/>
    <mergeCell ref="A15:A16"/>
    <mergeCell ref="F21:I21"/>
    <mergeCell ref="A75:B75"/>
    <mergeCell ref="A76:B76"/>
    <mergeCell ref="F76:G76"/>
    <mergeCell ref="A53:B53"/>
    <mergeCell ref="A54:B54"/>
    <mergeCell ref="A70:B70"/>
    <mergeCell ref="F70:G70"/>
    <mergeCell ref="A65:B65"/>
    <mergeCell ref="A66:B66"/>
    <mergeCell ref="A67:B67"/>
    <mergeCell ref="A68:B68"/>
    <mergeCell ref="A69:B69"/>
    <mergeCell ref="A55:B55"/>
    <mergeCell ref="A56:B56"/>
    <mergeCell ref="A57:B57"/>
    <mergeCell ref="A58:B58"/>
    <mergeCell ref="A84:I84"/>
    <mergeCell ref="A85:I85"/>
    <mergeCell ref="C45:I45"/>
    <mergeCell ref="C46:I46"/>
    <mergeCell ref="C47:I47"/>
    <mergeCell ref="A59:B59"/>
    <mergeCell ref="A60:B60"/>
    <mergeCell ref="A61:B61"/>
    <mergeCell ref="A62:B62"/>
    <mergeCell ref="A63:B63"/>
    <mergeCell ref="A64:B64"/>
    <mergeCell ref="A78:I78"/>
    <mergeCell ref="A80:I80"/>
    <mergeCell ref="A82:I82"/>
    <mergeCell ref="A72:I72"/>
    <mergeCell ref="A74:B74"/>
  </mergeCells>
  <printOptions horizontalCentered="1"/>
  <pageMargins left="0.19685039370078741" right="0.19685039370078741" top="0.59055118110236227" bottom="0.59055118110236227" header="0.31496062992125984" footer="0.31496062992125984"/>
  <pageSetup paperSize="9" firstPageNumber="100" orientation="landscape" useFirstPageNumber="1" r:id="rId1"/>
  <headerFooter>
    <oddFooter>&amp;C&amp;8Stránka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 enableFormatConditionsCalculation="0">
    <tabColor rgb="FF92D050"/>
  </sheetPr>
  <dimension ref="A1:X68"/>
  <sheetViews>
    <sheetView tabSelected="1" zoomScaleNormal="100" workbookViewId="0"/>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799" t="s">
        <v>78</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5803200</v>
      </c>
      <c r="F6" s="29">
        <f>SUM(F7:F9)</f>
        <v>6336888</v>
      </c>
      <c r="G6" s="29">
        <f>SUM(G7:G9)</f>
        <v>6337030</v>
      </c>
      <c r="H6" s="24">
        <f t="shared" ref="H6:H32" si="0">G6/F6*100</f>
        <v>100.00224084755797</v>
      </c>
      <c r="I6" s="29">
        <f>SUM(I7:I9)</f>
        <v>6043883</v>
      </c>
      <c r="J6" s="29">
        <f>SUM(J7:J9)</f>
        <v>1365300</v>
      </c>
      <c r="K6" s="29">
        <f t="shared" ref="K6:X6" si="1">SUM(K7:K9)</f>
        <v>1741556</v>
      </c>
      <c r="L6" s="29">
        <f t="shared" si="1"/>
        <v>1741698</v>
      </c>
      <c r="M6" s="24">
        <f t="shared" ref="M6:M32" si="2">L6/K6*100</f>
        <v>100.00815362813485</v>
      </c>
      <c r="N6" s="30">
        <f t="shared" si="1"/>
        <v>1526991</v>
      </c>
      <c r="O6" s="29">
        <f t="shared" si="1"/>
        <v>4437900</v>
      </c>
      <c r="P6" s="29">
        <f t="shared" si="1"/>
        <v>4595332</v>
      </c>
      <c r="Q6" s="29">
        <f t="shared" si="1"/>
        <v>4595332</v>
      </c>
      <c r="R6" s="24">
        <f t="shared" ref="R6:R32" si="3">Q6/P6*100</f>
        <v>100</v>
      </c>
      <c r="S6" s="29">
        <f t="shared" si="1"/>
        <v>4516892</v>
      </c>
      <c r="T6" s="29">
        <f t="shared" si="1"/>
        <v>25000</v>
      </c>
      <c r="U6" s="29">
        <f t="shared" si="1"/>
        <v>25000</v>
      </c>
      <c r="V6" s="29">
        <f t="shared" si="1"/>
        <v>4500</v>
      </c>
      <c r="W6" s="24">
        <f t="shared" ref="W6:W33" si="4">V6/U6*100</f>
        <v>18</v>
      </c>
      <c r="X6" s="29">
        <f t="shared" si="1"/>
        <v>5000</v>
      </c>
    </row>
    <row r="7" spans="1:24" s="6" customFormat="1" ht="9.9499999999999993" customHeight="1" x14ac:dyDescent="0.2">
      <c r="A7" s="169" t="s">
        <v>2</v>
      </c>
      <c r="B7" s="823" t="s">
        <v>44</v>
      </c>
      <c r="C7" s="824"/>
      <c r="D7" s="238" t="s">
        <v>25</v>
      </c>
      <c r="E7" s="32">
        <f t="shared" ref="E7:G10" si="5">SUM(J7,O7)</f>
        <v>331000</v>
      </c>
      <c r="F7" s="33">
        <f t="shared" si="5"/>
        <v>614636</v>
      </c>
      <c r="G7" s="33">
        <f t="shared" si="5"/>
        <v>615186</v>
      </c>
      <c r="H7" s="9">
        <f t="shared" si="0"/>
        <v>100.08948385711219</v>
      </c>
      <c r="I7" s="34">
        <f>SUM(N7,S7)</f>
        <v>487773</v>
      </c>
      <c r="J7" s="193">
        <v>331000</v>
      </c>
      <c r="K7" s="35">
        <v>614636</v>
      </c>
      <c r="L7" s="35">
        <v>615186</v>
      </c>
      <c r="M7" s="9">
        <f t="shared" si="2"/>
        <v>100.08948385711219</v>
      </c>
      <c r="N7" s="194">
        <v>487773</v>
      </c>
      <c r="O7" s="195"/>
      <c r="P7" s="35"/>
      <c r="Q7" s="35"/>
      <c r="R7" s="158" t="e">
        <f t="shared" si="3"/>
        <v>#DIV/0!</v>
      </c>
      <c r="S7" s="194"/>
      <c r="T7" s="195">
        <v>25000</v>
      </c>
      <c r="U7" s="35">
        <v>25000</v>
      </c>
      <c r="V7" s="35">
        <v>4500</v>
      </c>
      <c r="W7" s="9">
        <f t="shared" si="4"/>
        <v>18</v>
      </c>
      <c r="X7" s="59">
        <v>5000</v>
      </c>
    </row>
    <row r="8" spans="1:24" s="6" customFormat="1" ht="9.9499999999999993" customHeight="1" x14ac:dyDescent="0.2">
      <c r="A8" s="171" t="s">
        <v>3</v>
      </c>
      <c r="B8" s="825" t="s">
        <v>45</v>
      </c>
      <c r="C8" s="826"/>
      <c r="D8" s="172" t="s">
        <v>25</v>
      </c>
      <c r="E8" s="38">
        <f t="shared" si="5"/>
        <v>900</v>
      </c>
      <c r="F8" s="39">
        <f t="shared" si="5"/>
        <v>900</v>
      </c>
      <c r="G8" s="39">
        <f t="shared" si="5"/>
        <v>492</v>
      </c>
      <c r="H8" s="10">
        <f t="shared" si="0"/>
        <v>54.666666666666664</v>
      </c>
      <c r="I8" s="40">
        <f>SUM(N8,S8)</f>
        <v>918</v>
      </c>
      <c r="J8" s="196">
        <v>900</v>
      </c>
      <c r="K8" s="157">
        <v>900</v>
      </c>
      <c r="L8" s="157">
        <v>492</v>
      </c>
      <c r="M8" s="158">
        <f t="shared" si="2"/>
        <v>54.666666666666664</v>
      </c>
      <c r="N8" s="198">
        <v>918</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5471300</v>
      </c>
      <c r="F9" s="43">
        <f t="shared" si="5"/>
        <v>5721352</v>
      </c>
      <c r="G9" s="43">
        <f t="shared" si="5"/>
        <v>5721352</v>
      </c>
      <c r="H9" s="26">
        <f t="shared" si="0"/>
        <v>100</v>
      </c>
      <c r="I9" s="44">
        <f>SUM(N9,S9)</f>
        <v>5555192</v>
      </c>
      <c r="J9" s="199">
        <v>1033400</v>
      </c>
      <c r="K9" s="203">
        <v>1126020</v>
      </c>
      <c r="L9" s="203">
        <v>1126020</v>
      </c>
      <c r="M9" s="201">
        <f t="shared" si="2"/>
        <v>100</v>
      </c>
      <c r="N9" s="202">
        <v>1038300</v>
      </c>
      <c r="O9" s="160">
        <v>4437900</v>
      </c>
      <c r="P9" s="203">
        <v>4595332</v>
      </c>
      <c r="Q9" s="203">
        <v>4595332</v>
      </c>
      <c r="R9" s="201">
        <f t="shared" si="3"/>
        <v>100</v>
      </c>
      <c r="S9" s="202">
        <v>4516892</v>
      </c>
      <c r="T9" s="160"/>
      <c r="U9" s="203"/>
      <c r="V9" s="203"/>
      <c r="W9" s="158"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ref="W10" si="6">V10/U10*100</f>
        <v>#DIV/0!</v>
      </c>
      <c r="X10" s="45"/>
    </row>
    <row r="11" spans="1:24" s="6" customFormat="1" ht="9.9499999999999993" customHeight="1" x14ac:dyDescent="0.2">
      <c r="A11" s="168" t="s">
        <v>6</v>
      </c>
      <c r="B11" s="822" t="s">
        <v>9</v>
      </c>
      <c r="C11" s="822"/>
      <c r="D11" s="20" t="s">
        <v>25</v>
      </c>
      <c r="E11" s="29">
        <f>SUM(E12:E31)</f>
        <v>5803200</v>
      </c>
      <c r="F11" s="29">
        <f>SUM(F12:F31)</f>
        <v>6336888</v>
      </c>
      <c r="G11" s="29">
        <f>SUM(G12:G31)</f>
        <v>6329059</v>
      </c>
      <c r="H11" s="24">
        <f t="shared" si="0"/>
        <v>99.876453552595535</v>
      </c>
      <c r="I11" s="30">
        <f>SUM(I12:I31)</f>
        <v>5994400</v>
      </c>
      <c r="J11" s="29">
        <f>SUM(J12:J31)</f>
        <v>1365300</v>
      </c>
      <c r="K11" s="29">
        <f>SUM(K12:K31)</f>
        <v>1741556</v>
      </c>
      <c r="L11" s="29">
        <f>SUM(L12:L31)</f>
        <v>1733727</v>
      </c>
      <c r="M11" s="24">
        <f t="shared" si="2"/>
        <v>99.550459474171376</v>
      </c>
      <c r="N11" s="30">
        <f>SUM(N12:N31)</f>
        <v>1477508</v>
      </c>
      <c r="O11" s="29">
        <f>SUM(O12:O31)</f>
        <v>4437900</v>
      </c>
      <c r="P11" s="29">
        <f>SUM(P12:P31)</f>
        <v>4595332</v>
      </c>
      <c r="Q11" s="29">
        <f>SUM(Q12:Q31)</f>
        <v>4595332</v>
      </c>
      <c r="R11" s="24">
        <f t="shared" si="3"/>
        <v>100</v>
      </c>
      <c r="S11" s="30">
        <f>SUM(S12:S31)</f>
        <v>4516892</v>
      </c>
      <c r="T11" s="29">
        <f>SUM(T12:T31)</f>
        <v>10000</v>
      </c>
      <c r="U11" s="29">
        <f>SUM(U12:U31)</f>
        <v>10000</v>
      </c>
      <c r="V11" s="29">
        <f>SUM(V12:V31)</f>
        <v>0</v>
      </c>
      <c r="W11" s="24">
        <f t="shared" si="4"/>
        <v>0</v>
      </c>
      <c r="X11" s="29">
        <f>SUM(X12:X31)</f>
        <v>1000</v>
      </c>
    </row>
    <row r="12" spans="1:24" s="6" customFormat="1" ht="9.9499999999999993" customHeight="1" x14ac:dyDescent="0.2">
      <c r="A12" s="178" t="s">
        <v>8</v>
      </c>
      <c r="B12" s="827" t="s">
        <v>28</v>
      </c>
      <c r="C12" s="828"/>
      <c r="D12" s="238" t="s">
        <v>25</v>
      </c>
      <c r="E12" s="32">
        <f t="shared" ref="E12:I29" si="7">SUM(J12,O12)</f>
        <v>177926</v>
      </c>
      <c r="F12" s="33">
        <f t="shared" si="7"/>
        <v>290291</v>
      </c>
      <c r="G12" s="33">
        <f t="shared" si="7"/>
        <v>289991</v>
      </c>
      <c r="H12" s="9">
        <f t="shared" si="0"/>
        <v>99.896655425073462</v>
      </c>
      <c r="I12" s="34">
        <f t="shared" si="7"/>
        <v>252573</v>
      </c>
      <c r="J12" s="204">
        <v>144885</v>
      </c>
      <c r="K12" s="47">
        <v>288327</v>
      </c>
      <c r="L12" s="47">
        <v>288027</v>
      </c>
      <c r="M12" s="158">
        <f t="shared" si="2"/>
        <v>99.895951471766438</v>
      </c>
      <c r="N12" s="205">
        <v>231971</v>
      </c>
      <c r="O12" s="206">
        <v>33041</v>
      </c>
      <c r="P12" s="47">
        <v>1964</v>
      </c>
      <c r="Q12" s="47">
        <v>1964</v>
      </c>
      <c r="R12" s="9">
        <f t="shared" si="3"/>
        <v>100</v>
      </c>
      <c r="S12" s="207">
        <v>20602</v>
      </c>
      <c r="T12" s="206"/>
      <c r="U12" s="47"/>
      <c r="V12" s="47"/>
      <c r="W12" s="158" t="e">
        <f t="shared" si="4"/>
        <v>#DIV/0!</v>
      </c>
      <c r="X12" s="51"/>
    </row>
    <row r="13" spans="1:24" s="6" customFormat="1" ht="9.9499999999999993" customHeight="1" x14ac:dyDescent="0.2">
      <c r="A13" s="180" t="s">
        <v>10</v>
      </c>
      <c r="B13" s="820" t="s">
        <v>29</v>
      </c>
      <c r="C13" s="821"/>
      <c r="D13" s="172" t="s">
        <v>25</v>
      </c>
      <c r="E13" s="38">
        <f t="shared" si="7"/>
        <v>663086</v>
      </c>
      <c r="F13" s="39">
        <f t="shared" si="7"/>
        <v>483086</v>
      </c>
      <c r="G13" s="39">
        <f t="shared" si="7"/>
        <v>475782</v>
      </c>
      <c r="H13" s="10">
        <f t="shared" si="0"/>
        <v>98.488053886885567</v>
      </c>
      <c r="I13" s="40">
        <f t="shared" si="7"/>
        <v>533381</v>
      </c>
      <c r="J13" s="208">
        <v>663086</v>
      </c>
      <c r="K13" s="157">
        <v>483086</v>
      </c>
      <c r="L13" s="157">
        <v>475782</v>
      </c>
      <c r="M13" s="158">
        <f t="shared" si="2"/>
        <v>98.488053886885567</v>
      </c>
      <c r="N13" s="198">
        <v>533381</v>
      </c>
      <c r="O13" s="156"/>
      <c r="P13" s="157"/>
      <c r="Q13" s="157"/>
      <c r="R13" s="158" t="e">
        <f t="shared" si="3"/>
        <v>#DIV/0!</v>
      </c>
      <c r="S13" s="198"/>
      <c r="T13" s="156"/>
      <c r="U13" s="157"/>
      <c r="V13" s="157"/>
      <c r="W13" s="158" t="e">
        <f t="shared" si="4"/>
        <v>#DIV/0!</v>
      </c>
      <c r="X13" s="159"/>
    </row>
    <row r="14" spans="1:24" s="6" customFormat="1" ht="9.9499999999999993" customHeight="1" x14ac:dyDescent="0.2">
      <c r="A14" s="180" t="s">
        <v>11</v>
      </c>
      <c r="B14" s="277" t="s">
        <v>60</v>
      </c>
      <c r="C14" s="278"/>
      <c r="D14" s="172" t="s">
        <v>25</v>
      </c>
      <c r="E14" s="38">
        <f t="shared" si="7"/>
        <v>0</v>
      </c>
      <c r="F14" s="39">
        <f t="shared" si="7"/>
        <v>0</v>
      </c>
      <c r="G14" s="39">
        <f t="shared" si="7"/>
        <v>0</v>
      </c>
      <c r="H14" s="10" t="e">
        <f t="shared" si="0"/>
        <v>#DIV/0!</v>
      </c>
      <c r="I14" s="40">
        <f t="shared" si="7"/>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7"/>
        <v>280000</v>
      </c>
      <c r="F15" s="39">
        <f t="shared" si="7"/>
        <v>224258</v>
      </c>
      <c r="G15" s="39">
        <f t="shared" si="7"/>
        <v>224255</v>
      </c>
      <c r="H15" s="10">
        <f t="shared" si="0"/>
        <v>99.9986622550812</v>
      </c>
      <c r="I15" s="40">
        <f t="shared" si="7"/>
        <v>283895</v>
      </c>
      <c r="J15" s="208">
        <v>280000</v>
      </c>
      <c r="K15" s="157">
        <v>224258</v>
      </c>
      <c r="L15" s="157">
        <v>224255</v>
      </c>
      <c r="M15" s="158">
        <f t="shared" si="2"/>
        <v>99.9986622550812</v>
      </c>
      <c r="N15" s="198">
        <v>283895</v>
      </c>
      <c r="O15" s="156"/>
      <c r="P15" s="157"/>
      <c r="Q15" s="157"/>
      <c r="R15" s="158" t="e">
        <f t="shared" si="3"/>
        <v>#DIV/0!</v>
      </c>
      <c r="S15" s="198"/>
      <c r="T15" s="156">
        <v>10000</v>
      </c>
      <c r="U15" s="157">
        <v>10000</v>
      </c>
      <c r="V15" s="157">
        <v>0</v>
      </c>
      <c r="W15" s="158">
        <f t="shared" si="4"/>
        <v>0</v>
      </c>
      <c r="X15" s="159"/>
    </row>
    <row r="16" spans="1:24" s="6" customFormat="1" ht="9.9499999999999993" customHeight="1" x14ac:dyDescent="0.2">
      <c r="A16" s="180" t="s">
        <v>13</v>
      </c>
      <c r="B16" s="820" t="s">
        <v>30</v>
      </c>
      <c r="C16" s="821"/>
      <c r="D16" s="172" t="s">
        <v>25</v>
      </c>
      <c r="E16" s="38">
        <f t="shared" si="7"/>
        <v>1700</v>
      </c>
      <c r="F16" s="39">
        <f t="shared" si="7"/>
        <v>491</v>
      </c>
      <c r="G16" s="39">
        <f t="shared" si="7"/>
        <v>491</v>
      </c>
      <c r="H16" s="10">
        <f t="shared" si="0"/>
        <v>100</v>
      </c>
      <c r="I16" s="40">
        <f t="shared" si="7"/>
        <v>1566</v>
      </c>
      <c r="J16" s="208">
        <v>1700</v>
      </c>
      <c r="K16" s="157">
        <v>491</v>
      </c>
      <c r="L16" s="157">
        <v>491</v>
      </c>
      <c r="M16" s="158">
        <f t="shared" si="2"/>
        <v>100</v>
      </c>
      <c r="N16" s="198">
        <v>1566</v>
      </c>
      <c r="O16" s="156"/>
      <c r="P16" s="157"/>
      <c r="Q16" s="157"/>
      <c r="R16" s="158" t="e">
        <f t="shared" si="3"/>
        <v>#DIV/0!</v>
      </c>
      <c r="S16" s="198"/>
      <c r="T16" s="156"/>
      <c r="U16" s="157"/>
      <c r="V16" s="157"/>
      <c r="W16" s="158" t="e">
        <f t="shared" si="4"/>
        <v>#DIV/0!</v>
      </c>
      <c r="X16" s="159"/>
    </row>
    <row r="17" spans="1:24" s="6" customFormat="1" ht="9.9499999999999993" customHeight="1" x14ac:dyDescent="0.2">
      <c r="A17" s="180" t="s">
        <v>14</v>
      </c>
      <c r="B17" s="277" t="s">
        <v>46</v>
      </c>
      <c r="C17" s="278"/>
      <c r="D17" s="172" t="s">
        <v>25</v>
      </c>
      <c r="E17" s="38">
        <f t="shared" si="7"/>
        <v>1000</v>
      </c>
      <c r="F17" s="39">
        <f t="shared" si="7"/>
        <v>1000</v>
      </c>
      <c r="G17" s="39">
        <f t="shared" si="7"/>
        <v>1000</v>
      </c>
      <c r="H17" s="10">
        <f t="shared" si="0"/>
        <v>100</v>
      </c>
      <c r="I17" s="40">
        <f t="shared" si="7"/>
        <v>797</v>
      </c>
      <c r="J17" s="208">
        <v>1000</v>
      </c>
      <c r="K17" s="157">
        <v>1000</v>
      </c>
      <c r="L17" s="157">
        <v>1000</v>
      </c>
      <c r="M17" s="158">
        <f t="shared" si="2"/>
        <v>100</v>
      </c>
      <c r="N17" s="198">
        <v>797</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7"/>
        <v>228200</v>
      </c>
      <c r="F18" s="39">
        <f t="shared" si="7"/>
        <v>189316</v>
      </c>
      <c r="G18" s="39">
        <f t="shared" si="7"/>
        <v>189158</v>
      </c>
      <c r="H18" s="10">
        <f t="shared" si="0"/>
        <v>99.916541655221963</v>
      </c>
      <c r="I18" s="40">
        <f t="shared" si="7"/>
        <v>183334</v>
      </c>
      <c r="J18" s="208">
        <v>227200</v>
      </c>
      <c r="K18" s="157">
        <v>189316</v>
      </c>
      <c r="L18" s="157">
        <v>189158</v>
      </c>
      <c r="M18" s="158">
        <f t="shared" si="2"/>
        <v>99.916541655221963</v>
      </c>
      <c r="N18" s="198">
        <v>182354</v>
      </c>
      <c r="O18" s="156">
        <v>1000</v>
      </c>
      <c r="P18" s="157"/>
      <c r="Q18" s="157"/>
      <c r="R18" s="158" t="e">
        <f t="shared" si="3"/>
        <v>#DIV/0!</v>
      </c>
      <c r="S18" s="198">
        <v>980</v>
      </c>
      <c r="T18" s="156"/>
      <c r="U18" s="157"/>
      <c r="V18" s="157"/>
      <c r="W18" s="158" t="e">
        <f t="shared" si="4"/>
        <v>#DIV/0!</v>
      </c>
      <c r="X18" s="159"/>
    </row>
    <row r="19" spans="1:24" s="11" customFormat="1" ht="9.9499999999999993" customHeight="1" x14ac:dyDescent="0.2">
      <c r="A19" s="180" t="s">
        <v>16</v>
      </c>
      <c r="B19" s="820" t="s">
        <v>32</v>
      </c>
      <c r="C19" s="821"/>
      <c r="D19" s="172" t="s">
        <v>25</v>
      </c>
      <c r="E19" s="38">
        <f t="shared" si="7"/>
        <v>3252000</v>
      </c>
      <c r="F19" s="39">
        <f t="shared" si="7"/>
        <v>3419210</v>
      </c>
      <c r="G19" s="39">
        <f t="shared" si="7"/>
        <v>3419210</v>
      </c>
      <c r="H19" s="10">
        <f t="shared" si="0"/>
        <v>100</v>
      </c>
      <c r="I19" s="40">
        <f t="shared" si="7"/>
        <v>3317568</v>
      </c>
      <c r="J19" s="209"/>
      <c r="K19" s="157">
        <v>30000</v>
      </c>
      <c r="L19" s="157">
        <v>30000</v>
      </c>
      <c r="M19" s="158">
        <f t="shared" si="2"/>
        <v>100</v>
      </c>
      <c r="N19" s="198"/>
      <c r="O19" s="156">
        <v>3252000</v>
      </c>
      <c r="P19" s="157">
        <v>3389210</v>
      </c>
      <c r="Q19" s="157">
        <v>3389210</v>
      </c>
      <c r="R19" s="158">
        <f t="shared" si="3"/>
        <v>100</v>
      </c>
      <c r="S19" s="198">
        <v>3317568</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7"/>
        <v>1119339</v>
      </c>
      <c r="F20" s="39">
        <f t="shared" si="7"/>
        <v>1168527</v>
      </c>
      <c r="G20" s="39">
        <f t="shared" si="7"/>
        <v>1168527</v>
      </c>
      <c r="H20" s="10">
        <f t="shared" si="0"/>
        <v>100</v>
      </c>
      <c r="I20" s="40">
        <f t="shared" si="7"/>
        <v>1135232</v>
      </c>
      <c r="J20" s="208"/>
      <c r="K20" s="157">
        <v>10326</v>
      </c>
      <c r="L20" s="157">
        <v>10326</v>
      </c>
      <c r="M20" s="158">
        <f t="shared" si="2"/>
        <v>100</v>
      </c>
      <c r="N20" s="198"/>
      <c r="O20" s="156">
        <v>1119339</v>
      </c>
      <c r="P20" s="157">
        <v>1158201</v>
      </c>
      <c r="Q20" s="157">
        <v>1158201</v>
      </c>
      <c r="R20" s="158">
        <f t="shared" si="3"/>
        <v>100</v>
      </c>
      <c r="S20" s="198">
        <v>1135232</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7"/>
        <v>56520</v>
      </c>
      <c r="F21" s="39">
        <f t="shared" si="7"/>
        <v>69957</v>
      </c>
      <c r="G21" s="39">
        <f t="shared" si="7"/>
        <v>69957</v>
      </c>
      <c r="H21" s="10">
        <f t="shared" si="0"/>
        <v>100</v>
      </c>
      <c r="I21" s="40">
        <f t="shared" si="7"/>
        <v>63478</v>
      </c>
      <c r="J21" s="208">
        <v>24000</v>
      </c>
      <c r="K21" s="157">
        <v>24000</v>
      </c>
      <c r="L21" s="157">
        <v>24000</v>
      </c>
      <c r="M21" s="158">
        <f t="shared" si="2"/>
        <v>100</v>
      </c>
      <c r="N21" s="198">
        <v>20968</v>
      </c>
      <c r="O21" s="156">
        <v>32520</v>
      </c>
      <c r="P21" s="157">
        <v>45957</v>
      </c>
      <c r="Q21" s="157">
        <v>45957</v>
      </c>
      <c r="R21" s="158">
        <f t="shared" si="3"/>
        <v>100</v>
      </c>
      <c r="S21" s="198">
        <v>42510</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7"/>
        <v>0</v>
      </c>
      <c r="F22" s="674">
        <f t="shared" si="7"/>
        <v>0</v>
      </c>
      <c r="G22" s="674">
        <f t="shared" si="7"/>
        <v>0</v>
      </c>
      <c r="H22" s="675" t="e">
        <f t="shared" si="0"/>
        <v>#DIV/0!</v>
      </c>
      <c r="I22" s="676">
        <f t="shared" si="7"/>
        <v>100</v>
      </c>
      <c r="J22" s="208"/>
      <c r="K22" s="157"/>
      <c r="L22" s="157"/>
      <c r="M22" s="158" t="e">
        <f t="shared" si="2"/>
        <v>#DIV/0!</v>
      </c>
      <c r="N22" s="198">
        <v>100</v>
      </c>
      <c r="O22" s="156"/>
      <c r="P22" s="157"/>
      <c r="Q22" s="157"/>
      <c r="R22" s="158" t="e">
        <f t="shared" si="3"/>
        <v>#DIV/0!</v>
      </c>
      <c r="S22" s="198"/>
      <c r="T22" s="156"/>
      <c r="U22" s="157"/>
      <c r="V22" s="157"/>
      <c r="W22" s="158" t="e">
        <f t="shared" si="4"/>
        <v>#DIV/0!</v>
      </c>
      <c r="X22" s="159">
        <v>1000</v>
      </c>
    </row>
    <row r="23" spans="1:24" s="6" customFormat="1" ht="9.9499999999999993" customHeight="1" x14ac:dyDescent="0.2">
      <c r="A23" s="671" t="s">
        <v>20</v>
      </c>
      <c r="B23" s="677" t="s">
        <v>172</v>
      </c>
      <c r="C23" s="678"/>
      <c r="D23" s="672" t="s">
        <v>25</v>
      </c>
      <c r="E23" s="673">
        <f t="shared" si="7"/>
        <v>0</v>
      </c>
      <c r="F23" s="674">
        <f t="shared" si="7"/>
        <v>0</v>
      </c>
      <c r="G23" s="674">
        <f t="shared" si="7"/>
        <v>0</v>
      </c>
      <c r="H23" s="675" t="e">
        <f t="shared" si="0"/>
        <v>#DIV/0!</v>
      </c>
      <c r="I23" s="676">
        <f t="shared" si="7"/>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7"/>
        <v>0</v>
      </c>
      <c r="F24" s="674">
        <f t="shared" si="7"/>
        <v>0</v>
      </c>
      <c r="G24" s="674">
        <f t="shared" si="7"/>
        <v>0</v>
      </c>
      <c r="H24" s="675" t="e">
        <f t="shared" si="0"/>
        <v>#DIV/0!</v>
      </c>
      <c r="I24" s="676">
        <f t="shared" si="7"/>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7"/>
        <v>158</v>
      </c>
      <c r="F25" s="674">
        <f t="shared" si="7"/>
        <v>32309</v>
      </c>
      <c r="G25" s="674">
        <f t="shared" si="7"/>
        <v>32309</v>
      </c>
      <c r="H25" s="675">
        <f>G25/F25*100</f>
        <v>100</v>
      </c>
      <c r="I25" s="676">
        <f>SUM(N25,S25)</f>
        <v>3604</v>
      </c>
      <c r="J25" s="208">
        <v>158</v>
      </c>
      <c r="K25" s="213">
        <v>32309</v>
      </c>
      <c r="L25" s="213">
        <v>32309</v>
      </c>
      <c r="M25" s="158">
        <f t="shared" si="2"/>
        <v>100</v>
      </c>
      <c r="N25" s="214">
        <v>3604</v>
      </c>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7"/>
        <v>8271</v>
      </c>
      <c r="F26" s="674">
        <f t="shared" si="7"/>
        <v>100891</v>
      </c>
      <c r="G26" s="674">
        <f t="shared" si="7"/>
        <v>100828</v>
      </c>
      <c r="H26" s="675">
        <f t="shared" si="0"/>
        <v>99.937556372719072</v>
      </c>
      <c r="I26" s="676">
        <f t="shared" si="7"/>
        <v>8490</v>
      </c>
      <c r="J26" s="208">
        <v>8271</v>
      </c>
      <c r="K26" s="197">
        <v>100891</v>
      </c>
      <c r="L26" s="197">
        <v>100828</v>
      </c>
      <c r="M26" s="158">
        <f t="shared" si="2"/>
        <v>99.937556372719072</v>
      </c>
      <c r="N26" s="198">
        <v>8490</v>
      </c>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277" t="s">
        <v>64</v>
      </c>
      <c r="C27" s="278"/>
      <c r="D27" s="172" t="s">
        <v>25</v>
      </c>
      <c r="E27" s="38">
        <f t="shared" si="7"/>
        <v>0</v>
      </c>
      <c r="F27" s="39">
        <f t="shared" si="7"/>
        <v>0</v>
      </c>
      <c r="G27" s="39">
        <f t="shared" si="7"/>
        <v>0</v>
      </c>
      <c r="H27" s="14" t="e">
        <f t="shared" si="0"/>
        <v>#DIV/0!</v>
      </c>
      <c r="I27" s="40">
        <f t="shared" si="7"/>
        <v>0</v>
      </c>
      <c r="J27" s="208"/>
      <c r="K27" s="197"/>
      <c r="L27" s="197"/>
      <c r="M27" s="158" t="e">
        <f t="shared" si="2"/>
        <v>#DIV/0!</v>
      </c>
      <c r="N27" s="214"/>
      <c r="O27" s="218"/>
      <c r="P27" s="197"/>
      <c r="Q27" s="197"/>
      <c r="R27" s="158" t="e">
        <f t="shared" si="3"/>
        <v>#DIV/0!</v>
      </c>
      <c r="S27" s="214"/>
      <c r="T27" s="236"/>
      <c r="U27" s="220"/>
      <c r="V27" s="220"/>
      <c r="W27" s="158" t="e">
        <f t="shared" si="4"/>
        <v>#DIV/0!</v>
      </c>
      <c r="X27" s="237"/>
    </row>
    <row r="28" spans="1:24" s="13" customFormat="1" ht="9.9499999999999993" customHeight="1" x14ac:dyDescent="0.2">
      <c r="A28" s="180" t="s">
        <v>49</v>
      </c>
      <c r="B28" s="277" t="s">
        <v>92</v>
      </c>
      <c r="C28" s="278"/>
      <c r="D28" s="172" t="s">
        <v>25</v>
      </c>
      <c r="E28" s="38">
        <f>SUM(J28,O28)</f>
        <v>15000</v>
      </c>
      <c r="F28" s="39">
        <f>SUM(K28,P28)</f>
        <v>357552</v>
      </c>
      <c r="G28" s="39">
        <f>SUM(L28,Q28)</f>
        <v>357551</v>
      </c>
      <c r="H28" s="14">
        <f>G28/F28*100</f>
        <v>99.999720320400954</v>
      </c>
      <c r="I28" s="40">
        <f>SUM(N28,S28)</f>
        <v>210382</v>
      </c>
      <c r="J28" s="208">
        <v>15000</v>
      </c>
      <c r="K28" s="197">
        <v>357552</v>
      </c>
      <c r="L28" s="197">
        <v>357551</v>
      </c>
      <c r="M28" s="158">
        <f t="shared" si="2"/>
        <v>99.999720320400954</v>
      </c>
      <c r="N28" s="214">
        <v>210382</v>
      </c>
      <c r="O28" s="218"/>
      <c r="P28" s="197"/>
      <c r="Q28" s="197"/>
      <c r="R28" s="158" t="e">
        <f t="shared" si="3"/>
        <v>#DIV/0!</v>
      </c>
      <c r="S28" s="214"/>
      <c r="T28" s="236"/>
      <c r="U28" s="220"/>
      <c r="V28" s="220"/>
      <c r="W28" s="158" t="e">
        <f t="shared" si="4"/>
        <v>#DIV/0!</v>
      </c>
      <c r="X28" s="237"/>
    </row>
    <row r="29" spans="1:24" s="15" customFormat="1" ht="9.9499999999999993" customHeight="1" x14ac:dyDescent="0.2">
      <c r="A29" s="180" t="s">
        <v>50</v>
      </c>
      <c r="B29" s="820" t="s">
        <v>65</v>
      </c>
      <c r="C29" s="821"/>
      <c r="D29" s="172" t="s">
        <v>25</v>
      </c>
      <c r="E29" s="38">
        <f t="shared" si="7"/>
        <v>0</v>
      </c>
      <c r="F29" s="39">
        <f t="shared" si="7"/>
        <v>0</v>
      </c>
      <c r="G29" s="39">
        <f t="shared" si="7"/>
        <v>0</v>
      </c>
      <c r="H29" s="14" t="e">
        <f t="shared" si="0"/>
        <v>#DIV/0!</v>
      </c>
      <c r="I29" s="40">
        <f t="shared" si="7"/>
        <v>0</v>
      </c>
      <c r="J29" s="208"/>
      <c r="K29" s="197"/>
      <c r="L29" s="356"/>
      <c r="M29" s="158" t="e">
        <f t="shared" si="2"/>
        <v>#DIV/0!</v>
      </c>
      <c r="N29" s="214"/>
      <c r="O29" s="218"/>
      <c r="P29" s="197"/>
      <c r="Q29" s="197"/>
      <c r="R29" s="158" t="e">
        <f t="shared" si="3"/>
        <v>#DIV/0!</v>
      </c>
      <c r="S29" s="214"/>
      <c r="T29" s="236"/>
      <c r="U29" s="220"/>
      <c r="V29" s="220"/>
      <c r="W29" s="158" t="e">
        <f t="shared" si="4"/>
        <v>#DIV/0!</v>
      </c>
      <c r="X29" s="237"/>
    </row>
    <row r="30" spans="1:24" s="6" customFormat="1" ht="9.75" x14ac:dyDescent="0.2">
      <c r="A30" s="180" t="s">
        <v>52</v>
      </c>
      <c r="B30" s="277" t="s">
        <v>51</v>
      </c>
      <c r="C30" s="278"/>
      <c r="D30" s="172" t="s">
        <v>25</v>
      </c>
      <c r="E30" s="38">
        <f t="shared" ref="E30:G31" si="8">SUM(J30,O30)</f>
        <v>0</v>
      </c>
      <c r="F30" s="39">
        <f t="shared" si="8"/>
        <v>0</v>
      </c>
      <c r="G30" s="39">
        <f t="shared" si="8"/>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277" t="s">
        <v>66</v>
      </c>
      <c r="C31" s="278"/>
      <c r="D31" s="172" t="s">
        <v>25</v>
      </c>
      <c r="E31" s="38">
        <f t="shared" si="8"/>
        <v>0</v>
      </c>
      <c r="F31" s="39">
        <f t="shared" si="8"/>
        <v>0</v>
      </c>
      <c r="G31" s="39">
        <f t="shared" si="8"/>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119">
        <v>0</v>
      </c>
      <c r="F33" s="120">
        <v>0</v>
      </c>
      <c r="G33" s="29">
        <f t="shared" ref="G33:I33" si="9">G6-G11</f>
        <v>7971</v>
      </c>
      <c r="H33" s="118" t="e">
        <f t="shared" ref="H33:H36" si="10">G33/F33*100</f>
        <v>#DIV/0!</v>
      </c>
      <c r="I33" s="29">
        <f t="shared" si="9"/>
        <v>49483</v>
      </c>
      <c r="J33" s="29">
        <f t="shared" ref="J33:L33" si="11">J6-J11</f>
        <v>0</v>
      </c>
      <c r="K33" s="29">
        <f t="shared" si="11"/>
        <v>0</v>
      </c>
      <c r="L33" s="29">
        <f t="shared" si="11"/>
        <v>7971</v>
      </c>
      <c r="M33" s="24" t="e">
        <f t="shared" ref="M33" si="12">L33/K33*100</f>
        <v>#DIV/0!</v>
      </c>
      <c r="N33" s="29">
        <f t="shared" ref="N33:Q33" si="13">N6-N11</f>
        <v>49483</v>
      </c>
      <c r="O33" s="29">
        <f t="shared" si="13"/>
        <v>0</v>
      </c>
      <c r="P33" s="29">
        <f t="shared" si="13"/>
        <v>0</v>
      </c>
      <c r="Q33" s="29">
        <f t="shared" si="13"/>
        <v>0</v>
      </c>
      <c r="R33" s="24" t="e">
        <f t="shared" ref="R33" si="14">Q33/P33*100</f>
        <v>#DIV/0!</v>
      </c>
      <c r="S33" s="29">
        <f t="shared" ref="S33:V33" si="15">S6-S11</f>
        <v>0</v>
      </c>
      <c r="T33" s="29">
        <f t="shared" si="15"/>
        <v>15000</v>
      </c>
      <c r="U33" s="29">
        <f t="shared" si="15"/>
        <v>15000</v>
      </c>
      <c r="V33" s="29">
        <f t="shared" si="15"/>
        <v>4500</v>
      </c>
      <c r="W33" s="19">
        <f t="shared" si="4"/>
        <v>30</v>
      </c>
      <c r="X33" s="29">
        <f>X6-X11</f>
        <v>4000</v>
      </c>
    </row>
    <row r="34" spans="1:24" ht="9" x14ac:dyDescent="0.2">
      <c r="A34" s="187" t="s">
        <v>56</v>
      </c>
      <c r="B34" s="841" t="s">
        <v>24</v>
      </c>
      <c r="C34" s="842"/>
      <c r="D34" s="188" t="s">
        <v>25</v>
      </c>
      <c r="E34" s="142">
        <v>19179</v>
      </c>
      <c r="F34" s="143">
        <v>21248</v>
      </c>
      <c r="G34" s="143">
        <v>21248</v>
      </c>
      <c r="H34" s="12">
        <f t="shared" si="10"/>
        <v>100</v>
      </c>
      <c r="I34" s="247">
        <v>19014</v>
      </c>
      <c r="J34" s="892"/>
      <c r="K34" s="893"/>
      <c r="L34" s="893"/>
      <c r="M34" s="893"/>
      <c r="N34" s="893"/>
      <c r="O34" s="893"/>
      <c r="P34" s="893"/>
      <c r="Q34" s="893"/>
      <c r="R34" s="893"/>
      <c r="S34" s="893"/>
      <c r="T34" s="893"/>
      <c r="U34" s="893"/>
      <c r="V34" s="893"/>
      <c r="W34" s="893"/>
      <c r="X34" s="894"/>
    </row>
    <row r="35" spans="1:24" ht="9" x14ac:dyDescent="0.2">
      <c r="A35" s="189" t="s">
        <v>57</v>
      </c>
      <c r="B35" s="829" t="s">
        <v>33</v>
      </c>
      <c r="C35" s="830"/>
      <c r="D35" s="190" t="s">
        <v>26</v>
      </c>
      <c r="E35" s="357">
        <v>14.13</v>
      </c>
      <c r="F35" s="358">
        <v>13.41</v>
      </c>
      <c r="G35" s="358">
        <v>13.41</v>
      </c>
      <c r="H35" s="232">
        <f t="shared" si="10"/>
        <v>100</v>
      </c>
      <c r="I35" s="359">
        <v>14.54</v>
      </c>
      <c r="J35" s="895"/>
      <c r="K35" s="896"/>
      <c r="L35" s="896"/>
      <c r="M35" s="896"/>
      <c r="N35" s="896"/>
      <c r="O35" s="896"/>
      <c r="P35" s="896"/>
      <c r="Q35" s="896"/>
      <c r="R35" s="896"/>
      <c r="S35" s="896"/>
      <c r="T35" s="896"/>
      <c r="U35" s="896"/>
      <c r="V35" s="896"/>
      <c r="W35" s="896"/>
      <c r="X35" s="897"/>
    </row>
    <row r="36" spans="1:24" ht="9" x14ac:dyDescent="0.2">
      <c r="A36" s="191" t="s">
        <v>58</v>
      </c>
      <c r="B36" s="831" t="s">
        <v>27</v>
      </c>
      <c r="C36" s="832"/>
      <c r="D36" s="192" t="s">
        <v>26</v>
      </c>
      <c r="E36" s="146">
        <v>16</v>
      </c>
      <c r="F36" s="249">
        <v>16</v>
      </c>
      <c r="G36" s="249">
        <v>16</v>
      </c>
      <c r="H36" s="233">
        <f t="shared" si="10"/>
        <v>100</v>
      </c>
      <c r="I36" s="250">
        <v>16</v>
      </c>
      <c r="J36" s="898"/>
      <c r="K36" s="899"/>
      <c r="L36" s="899"/>
      <c r="M36" s="899"/>
      <c r="N36" s="899"/>
      <c r="O36" s="899"/>
      <c r="P36" s="899"/>
      <c r="Q36" s="899"/>
      <c r="R36" s="899"/>
      <c r="S36" s="899"/>
      <c r="T36" s="899"/>
      <c r="U36" s="899"/>
      <c r="V36" s="899"/>
      <c r="W36" s="899"/>
      <c r="X36" s="900"/>
    </row>
    <row r="37" spans="1:24" customFormat="1" x14ac:dyDescent="0.15">
      <c r="A37" s="2"/>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5"/>
  <sheetViews>
    <sheetView tabSelected="1" zoomScaleNormal="100" workbookViewId="0"/>
  </sheetViews>
  <sheetFormatPr defaultRowHeight="12.75" x14ac:dyDescent="0.2"/>
  <cols>
    <col min="1" max="1" width="74.5" style="61" customWidth="1"/>
    <col min="2" max="9" width="23.75" style="61" customWidth="1"/>
    <col min="14" max="14" width="17.75" bestFit="1" customWidth="1"/>
  </cols>
  <sheetData>
    <row r="1" spans="1:9" ht="18.75" x14ac:dyDescent="0.3">
      <c r="A1" s="62" t="s">
        <v>79</v>
      </c>
      <c r="B1" s="60"/>
      <c r="C1" s="60"/>
      <c r="D1" s="60"/>
      <c r="E1" s="60"/>
      <c r="F1" s="60"/>
      <c r="G1" s="60"/>
      <c r="H1" s="60"/>
      <c r="I1" s="60"/>
    </row>
    <row r="3" spans="1:9" s="96" customFormat="1" ht="10.5" x14ac:dyDescent="0.15">
      <c r="A3" s="901" t="s">
        <v>175</v>
      </c>
      <c r="B3" s="901"/>
      <c r="C3" s="901"/>
      <c r="D3" s="901"/>
      <c r="E3" s="901"/>
      <c r="F3" s="901"/>
      <c r="G3" s="901"/>
      <c r="H3" s="901"/>
      <c r="I3" s="901"/>
    </row>
    <row r="4" spans="1:9" s="95" customFormat="1" ht="11.25" x14ac:dyDescent="0.2"/>
    <row r="5" spans="1:9" s="102" customFormat="1" ht="10.5" x14ac:dyDescent="0.15">
      <c r="A5" s="960" t="s">
        <v>68</v>
      </c>
      <c r="B5" s="961"/>
      <c r="C5" s="412" t="s">
        <v>25</v>
      </c>
      <c r="D5" s="948" t="s">
        <v>176</v>
      </c>
      <c r="E5" s="948"/>
      <c r="F5" s="948"/>
      <c r="G5" s="948"/>
      <c r="H5" s="948"/>
      <c r="I5" s="948"/>
    </row>
    <row r="6" spans="1:9" s="95" customFormat="1" ht="11.25" x14ac:dyDescent="0.2">
      <c r="A6" s="959" t="s">
        <v>177</v>
      </c>
      <c r="B6" s="959"/>
      <c r="C6" s="376">
        <f>SUM(C7:C9)</f>
        <v>132099.99</v>
      </c>
      <c r="D6" s="962"/>
      <c r="E6" s="963"/>
      <c r="F6" s="963"/>
      <c r="G6" s="963"/>
      <c r="H6" s="963"/>
      <c r="I6" s="964"/>
    </row>
    <row r="7" spans="1:9" s="95" customFormat="1" ht="38.25" customHeight="1" x14ac:dyDescent="0.2">
      <c r="A7" s="965" t="s">
        <v>69</v>
      </c>
      <c r="B7" s="966"/>
      <c r="C7" s="377">
        <v>-92695.01</v>
      </c>
      <c r="D7" s="798" t="s">
        <v>403</v>
      </c>
      <c r="E7" s="798"/>
      <c r="F7" s="798"/>
      <c r="G7" s="798"/>
      <c r="H7" s="798"/>
      <c r="I7" s="798"/>
    </row>
    <row r="8" spans="1:9" s="96" customFormat="1" ht="48.75" customHeight="1" x14ac:dyDescent="0.15">
      <c r="A8" s="936" t="s">
        <v>178</v>
      </c>
      <c r="B8" s="937"/>
      <c r="C8" s="378">
        <v>224795</v>
      </c>
      <c r="D8" s="737" t="s">
        <v>1214</v>
      </c>
      <c r="E8" s="737"/>
      <c r="F8" s="737"/>
      <c r="G8" s="737"/>
      <c r="H8" s="737"/>
      <c r="I8" s="737"/>
    </row>
    <row r="9" spans="1:9" s="96" customFormat="1" ht="10.5" x14ac:dyDescent="0.15">
      <c r="A9" s="936" t="s">
        <v>179</v>
      </c>
      <c r="B9" s="937"/>
      <c r="C9" s="378">
        <v>0</v>
      </c>
      <c r="D9" s="938"/>
      <c r="E9" s="939"/>
      <c r="F9" s="939"/>
      <c r="G9" s="939"/>
      <c r="H9" s="939"/>
      <c r="I9" s="940"/>
    </row>
    <row r="10" spans="1:9" s="95" customFormat="1" ht="11.25" x14ac:dyDescent="0.2">
      <c r="C10" s="97"/>
    </row>
    <row r="11" spans="1:9" s="95" customFormat="1" ht="11.25" x14ac:dyDescent="0.2">
      <c r="A11" s="901" t="s">
        <v>180</v>
      </c>
      <c r="B11" s="901"/>
      <c r="C11" s="901"/>
      <c r="D11" s="901"/>
      <c r="E11" s="901"/>
      <c r="F11" s="901"/>
      <c r="G11" s="901"/>
      <c r="H11" s="901"/>
      <c r="I11" s="901"/>
    </row>
    <row r="12" spans="1:9" s="95" customFormat="1" ht="11.25" x14ac:dyDescent="0.2">
      <c r="C12" s="97"/>
      <c r="D12" s="103"/>
      <c r="E12" s="103"/>
      <c r="F12" s="103"/>
      <c r="G12" s="103"/>
      <c r="H12" s="103"/>
      <c r="I12" s="103"/>
    </row>
    <row r="13" spans="1:9" s="95" customFormat="1" ht="11.25" x14ac:dyDescent="0.2">
      <c r="A13" s="412" t="s">
        <v>68</v>
      </c>
      <c r="B13" s="412" t="s">
        <v>181</v>
      </c>
      <c r="C13" s="412" t="s">
        <v>25</v>
      </c>
      <c r="D13" s="379"/>
      <c r="E13" s="380"/>
      <c r="F13" s="380"/>
      <c r="G13" s="380"/>
      <c r="H13" s="380"/>
      <c r="I13" s="380"/>
    </row>
    <row r="14" spans="1:9" s="95" customFormat="1" ht="11.25" x14ac:dyDescent="0.2">
      <c r="A14" s="381" t="s">
        <v>182</v>
      </c>
      <c r="B14" s="382"/>
      <c r="C14" s="383">
        <v>0</v>
      </c>
      <c r="D14" s="384"/>
      <c r="E14" s="385"/>
      <c r="F14" s="385"/>
      <c r="G14" s="385"/>
      <c r="H14" s="385"/>
      <c r="I14" s="385"/>
    </row>
    <row r="15" spans="1:9" s="95" customFormat="1" ht="11.25" x14ac:dyDescent="0.2">
      <c r="A15" s="945" t="s">
        <v>183</v>
      </c>
      <c r="B15" s="386" t="s">
        <v>70</v>
      </c>
      <c r="C15" s="387">
        <v>132099.99</v>
      </c>
      <c r="D15" s="388"/>
      <c r="E15" s="389"/>
      <c r="F15" s="389"/>
      <c r="G15" s="389"/>
      <c r="H15" s="389"/>
      <c r="I15" s="389"/>
    </row>
    <row r="16" spans="1:9" s="95" customFormat="1" ht="11.25" x14ac:dyDescent="0.2">
      <c r="A16" s="946"/>
      <c r="B16" s="390" t="s">
        <v>71</v>
      </c>
      <c r="C16" s="391">
        <v>0</v>
      </c>
      <c r="D16" s="392"/>
      <c r="E16" s="393"/>
      <c r="F16" s="393"/>
      <c r="G16" s="393"/>
      <c r="H16" s="393"/>
      <c r="I16" s="393"/>
    </row>
    <row r="17" spans="1:9" s="95" customFormat="1" ht="11.25" x14ac:dyDescent="0.2">
      <c r="A17" s="394" t="s">
        <v>177</v>
      </c>
      <c r="B17" s="395"/>
      <c r="C17" s="376">
        <f>SUM(C14:C16)</f>
        <v>132099.99</v>
      </c>
      <c r="D17" s="396"/>
      <c r="E17" s="396"/>
      <c r="F17" s="396"/>
      <c r="G17" s="396"/>
      <c r="H17" s="396"/>
      <c r="I17" s="396"/>
    </row>
    <row r="18" spans="1:9" s="99" customFormat="1" ht="11.25" x14ac:dyDescent="0.2">
      <c r="A18" s="397"/>
      <c r="C18" s="100"/>
      <c r="D18" s="398"/>
      <c r="E18" s="398"/>
      <c r="F18" s="398"/>
      <c r="G18" s="398"/>
      <c r="H18" s="398"/>
      <c r="I18" s="398"/>
    </row>
    <row r="19" spans="1:9" s="95" customFormat="1" ht="11.25" x14ac:dyDescent="0.2">
      <c r="A19" s="901" t="s">
        <v>184</v>
      </c>
      <c r="B19" s="901"/>
      <c r="C19" s="901"/>
      <c r="D19" s="901"/>
      <c r="E19" s="901"/>
      <c r="F19" s="901"/>
      <c r="G19" s="901"/>
      <c r="H19" s="901"/>
      <c r="I19" s="901"/>
    </row>
    <row r="20" spans="1:9" s="95" customFormat="1" ht="11.25" x14ac:dyDescent="0.2">
      <c r="C20" s="97"/>
    </row>
    <row r="21" spans="1:9" s="104" customFormat="1" ht="21" x14ac:dyDescent="0.15">
      <c r="A21" s="413" t="s">
        <v>181</v>
      </c>
      <c r="B21" s="413" t="s">
        <v>185</v>
      </c>
      <c r="C21" s="414" t="s">
        <v>186</v>
      </c>
      <c r="D21" s="413" t="s">
        <v>187</v>
      </c>
      <c r="E21" s="413" t="s">
        <v>188</v>
      </c>
      <c r="F21" s="947" t="s">
        <v>189</v>
      </c>
      <c r="G21" s="947"/>
      <c r="H21" s="947"/>
      <c r="I21" s="947"/>
    </row>
    <row r="22" spans="1:9" s="95" customFormat="1" ht="60.75" customHeight="1" x14ac:dyDescent="0.2">
      <c r="A22" s="399" t="s">
        <v>190</v>
      </c>
      <c r="B22" s="400">
        <v>147609.35</v>
      </c>
      <c r="C22" s="400">
        <v>62239.68</v>
      </c>
      <c r="D22" s="400">
        <v>4968</v>
      </c>
      <c r="E22" s="400">
        <f>B22+C22-D22</f>
        <v>204881.03</v>
      </c>
      <c r="F22" s="778" t="s">
        <v>404</v>
      </c>
      <c r="G22" s="779"/>
      <c r="H22" s="779"/>
      <c r="I22" s="780"/>
    </row>
    <row r="23" spans="1:9" s="95" customFormat="1" ht="37.5" customHeight="1" x14ac:dyDescent="0.2">
      <c r="A23" s="416" t="s">
        <v>191</v>
      </c>
      <c r="B23" s="417">
        <v>215668.63</v>
      </c>
      <c r="C23" s="417">
        <v>742245.05</v>
      </c>
      <c r="D23" s="417">
        <v>723516</v>
      </c>
      <c r="E23" s="417">
        <f>B23+C23-D23</f>
        <v>234397.68000000005</v>
      </c>
      <c r="F23" s="781" t="s">
        <v>405</v>
      </c>
      <c r="G23" s="782"/>
      <c r="H23" s="782"/>
      <c r="I23" s="783"/>
    </row>
    <row r="24" spans="1:9" s="95" customFormat="1" ht="21" customHeight="1" x14ac:dyDescent="0.2">
      <c r="A24" s="416" t="s">
        <v>71</v>
      </c>
      <c r="B24" s="417">
        <v>102116.12</v>
      </c>
      <c r="C24" s="417">
        <v>0</v>
      </c>
      <c r="D24" s="417">
        <v>36070</v>
      </c>
      <c r="E24" s="417">
        <f>B24+C24-D24</f>
        <v>66046.12</v>
      </c>
      <c r="F24" s="941" t="s">
        <v>406</v>
      </c>
      <c r="G24" s="942"/>
      <c r="H24" s="942"/>
      <c r="I24" s="943"/>
    </row>
    <row r="25" spans="1:9" s="95" customFormat="1" ht="34.5" customHeight="1" x14ac:dyDescent="0.2">
      <c r="A25" s="418" t="s">
        <v>193</v>
      </c>
      <c r="B25" s="419">
        <v>176075.72</v>
      </c>
      <c r="C25" s="419">
        <v>194479</v>
      </c>
      <c r="D25" s="419">
        <v>213199.41</v>
      </c>
      <c r="E25" s="419">
        <f>B25+C25-D25</f>
        <v>157355.30999999997</v>
      </c>
      <c r="F25" s="784" t="s">
        <v>407</v>
      </c>
      <c r="G25" s="785"/>
      <c r="H25" s="785"/>
      <c r="I25" s="786"/>
    </row>
    <row r="26" spans="1:9" s="96" customFormat="1" ht="10.5" x14ac:dyDescent="0.15">
      <c r="A26" s="401" t="s">
        <v>34</v>
      </c>
      <c r="B26" s="376">
        <f>SUM(B22:B25)</f>
        <v>641469.81999999995</v>
      </c>
      <c r="C26" s="376">
        <f>SUM(C22:C25)</f>
        <v>998963.7300000001</v>
      </c>
      <c r="D26" s="376">
        <f>SUM(D22:D25)</f>
        <v>977753.41</v>
      </c>
      <c r="E26" s="376">
        <f>SUM(E22:E25)</f>
        <v>662680.14</v>
      </c>
      <c r="F26" s="944"/>
      <c r="G26" s="944"/>
      <c r="H26" s="944"/>
      <c r="I26" s="944"/>
    </row>
    <row r="27" spans="1:9" s="95" customFormat="1" ht="11.25" x14ac:dyDescent="0.2">
      <c r="C27" s="97"/>
    </row>
    <row r="28" spans="1:9" s="95" customFormat="1" ht="11.25" x14ac:dyDescent="0.2">
      <c r="A28" s="901" t="s">
        <v>195</v>
      </c>
      <c r="B28" s="901"/>
      <c r="C28" s="901"/>
      <c r="D28" s="901"/>
      <c r="E28" s="901"/>
      <c r="F28" s="901"/>
      <c r="G28" s="901"/>
      <c r="H28" s="901"/>
      <c r="I28" s="901"/>
    </row>
    <row r="29" spans="1:9" s="95" customFormat="1" ht="11.25" x14ac:dyDescent="0.2">
      <c r="C29" s="97"/>
    </row>
    <row r="30" spans="1:9" s="95" customFormat="1" ht="11.25" x14ac:dyDescent="0.2">
      <c r="A30" s="412" t="s">
        <v>72</v>
      </c>
      <c r="B30" s="412" t="s">
        <v>25</v>
      </c>
      <c r="C30" s="415" t="s">
        <v>73</v>
      </c>
      <c r="D30" s="948" t="s">
        <v>196</v>
      </c>
      <c r="E30" s="948"/>
      <c r="F30" s="948"/>
      <c r="G30" s="948"/>
      <c r="H30" s="948"/>
      <c r="I30" s="948"/>
    </row>
    <row r="31" spans="1:9" s="95" customFormat="1" ht="11.25" x14ac:dyDescent="0.2">
      <c r="A31" s="402"/>
      <c r="B31" s="138">
        <v>0</v>
      </c>
      <c r="C31" s="403"/>
      <c r="D31" s="949"/>
      <c r="E31" s="950"/>
      <c r="F31" s="950"/>
      <c r="G31" s="950"/>
      <c r="H31" s="950"/>
      <c r="I31" s="951"/>
    </row>
    <row r="32" spans="1:9" s="96" customFormat="1" ht="11.25" x14ac:dyDescent="0.2">
      <c r="A32" s="404" t="s">
        <v>34</v>
      </c>
      <c r="B32" s="405">
        <f>SUM(B31:B31)</f>
        <v>0</v>
      </c>
      <c r="C32" s="952"/>
      <c r="D32" s="952"/>
      <c r="E32" s="952"/>
      <c r="F32" s="952"/>
      <c r="G32" s="952"/>
      <c r="H32" s="952"/>
      <c r="I32" s="953"/>
    </row>
    <row r="33" spans="1:9" s="95" customFormat="1" ht="11.25" x14ac:dyDescent="0.2">
      <c r="C33" s="97"/>
    </row>
    <row r="34" spans="1:9" s="95" customFormat="1" ht="11.25" x14ac:dyDescent="0.2">
      <c r="A34" s="901" t="s">
        <v>197</v>
      </c>
      <c r="B34" s="901"/>
      <c r="C34" s="901"/>
      <c r="D34" s="901"/>
      <c r="E34" s="901"/>
      <c r="F34" s="901"/>
      <c r="G34" s="901"/>
      <c r="H34" s="901"/>
      <c r="I34" s="901"/>
    </row>
    <row r="35" spans="1:9" s="95" customFormat="1" ht="11.25" x14ac:dyDescent="0.2">
      <c r="C35" s="97"/>
    </row>
    <row r="36" spans="1:9" s="95" customFormat="1" ht="11.25" x14ac:dyDescent="0.2">
      <c r="A36" s="412" t="s">
        <v>72</v>
      </c>
      <c r="B36" s="412" t="s">
        <v>25</v>
      </c>
      <c r="C36" s="415" t="s">
        <v>73</v>
      </c>
      <c r="D36" s="948" t="s">
        <v>196</v>
      </c>
      <c r="E36" s="948"/>
      <c r="F36" s="948"/>
      <c r="G36" s="948"/>
      <c r="H36" s="948"/>
      <c r="I36" s="948"/>
    </row>
    <row r="37" spans="1:9" s="95" customFormat="1" ht="11.25" x14ac:dyDescent="0.2">
      <c r="A37" s="402" t="s">
        <v>365</v>
      </c>
      <c r="B37" s="138">
        <v>0</v>
      </c>
      <c r="C37" s="403"/>
      <c r="D37" s="949"/>
      <c r="E37" s="950"/>
      <c r="F37" s="950"/>
      <c r="G37" s="950"/>
      <c r="H37" s="950"/>
      <c r="I37" s="951"/>
    </row>
    <row r="38" spans="1:9" s="96" customFormat="1" ht="10.5" x14ac:dyDescent="0.15">
      <c r="A38" s="404" t="s">
        <v>34</v>
      </c>
      <c r="B38" s="405">
        <f>SUM(B37:B37)</f>
        <v>0</v>
      </c>
      <c r="C38" s="954"/>
      <c r="D38" s="954"/>
      <c r="E38" s="954"/>
      <c r="F38" s="954"/>
      <c r="G38" s="954"/>
      <c r="H38" s="954"/>
      <c r="I38" s="954"/>
    </row>
    <row r="39" spans="1:9" s="95" customFormat="1" ht="11.25" x14ac:dyDescent="0.2">
      <c r="C39" s="97"/>
    </row>
    <row r="40" spans="1:9" s="95" customFormat="1" ht="11.25" x14ac:dyDescent="0.2">
      <c r="A40" s="901" t="s">
        <v>198</v>
      </c>
      <c r="B40" s="901"/>
      <c r="C40" s="901"/>
      <c r="D40" s="901"/>
      <c r="E40" s="901"/>
      <c r="F40" s="901"/>
      <c r="G40" s="901"/>
      <c r="H40" s="901"/>
      <c r="I40" s="901"/>
    </row>
    <row r="41" spans="1:9" s="95" customFormat="1" ht="11.25" x14ac:dyDescent="0.2">
      <c r="C41" s="97"/>
    </row>
    <row r="42" spans="1:9" s="95" customFormat="1" ht="21" x14ac:dyDescent="0.2">
      <c r="A42" s="412" t="s">
        <v>25</v>
      </c>
      <c r="B42" s="414" t="s">
        <v>100</v>
      </c>
      <c r="C42" s="932" t="s">
        <v>74</v>
      </c>
      <c r="D42" s="932"/>
      <c r="E42" s="932"/>
      <c r="F42" s="932"/>
      <c r="G42" s="932"/>
      <c r="H42" s="932"/>
      <c r="I42" s="932"/>
    </row>
    <row r="43" spans="1:9" s="95" customFormat="1" ht="11.25" customHeight="1" x14ac:dyDescent="0.2">
      <c r="A43" s="406">
        <v>4968</v>
      </c>
      <c r="B43" s="406">
        <v>4968</v>
      </c>
      <c r="C43" s="933" t="s">
        <v>408</v>
      </c>
      <c r="D43" s="934"/>
      <c r="E43" s="934"/>
      <c r="F43" s="934"/>
      <c r="G43" s="934"/>
      <c r="H43" s="934"/>
      <c r="I43" s="935"/>
    </row>
    <row r="44" spans="1:9" s="95" customFormat="1" ht="11.25" x14ac:dyDescent="0.2">
      <c r="A44" s="407">
        <v>10000</v>
      </c>
      <c r="B44" s="407"/>
      <c r="C44" s="955"/>
      <c r="D44" s="955"/>
      <c r="E44" s="955"/>
      <c r="F44" s="955"/>
      <c r="G44" s="955"/>
      <c r="H44" s="955"/>
      <c r="I44" s="955"/>
    </row>
    <row r="45" spans="1:9" s="95" customFormat="1" ht="11.25" customHeight="1" x14ac:dyDescent="0.2">
      <c r="A45" s="408">
        <v>12500</v>
      </c>
      <c r="B45" s="409"/>
      <c r="C45" s="956"/>
      <c r="D45" s="956"/>
      <c r="E45" s="956"/>
      <c r="F45" s="956"/>
      <c r="G45" s="956"/>
      <c r="H45" s="956"/>
      <c r="I45" s="956"/>
    </row>
    <row r="46" spans="1:9" s="96" customFormat="1" ht="10.5" x14ac:dyDescent="0.15">
      <c r="A46" s="376">
        <f>SUM(A43:A45)</f>
        <v>27468</v>
      </c>
      <c r="B46" s="376">
        <f>SUM(B43:B45)</f>
        <v>4968</v>
      </c>
      <c r="C46" s="957" t="s">
        <v>34</v>
      </c>
      <c r="D46" s="957"/>
      <c r="E46" s="957"/>
      <c r="F46" s="957"/>
      <c r="G46" s="957"/>
      <c r="H46" s="957"/>
      <c r="I46" s="957"/>
    </row>
    <row r="47" spans="1:9" s="96" customFormat="1" ht="10.5" x14ac:dyDescent="0.15">
      <c r="A47" s="410"/>
      <c r="B47" s="410"/>
      <c r="C47" s="411"/>
      <c r="D47" s="411"/>
      <c r="E47" s="411"/>
      <c r="F47" s="411"/>
      <c r="G47" s="411"/>
      <c r="H47" s="411"/>
      <c r="I47" s="411"/>
    </row>
    <row r="48" spans="1:9" s="95" customFormat="1" ht="11.25" x14ac:dyDescent="0.2">
      <c r="A48" s="901" t="s">
        <v>199</v>
      </c>
      <c r="B48" s="901"/>
      <c r="C48" s="901"/>
      <c r="D48" s="901"/>
      <c r="E48" s="901"/>
      <c r="F48" s="901"/>
      <c r="G48" s="901"/>
      <c r="H48" s="901"/>
      <c r="I48" s="901"/>
    </row>
    <row r="49" spans="1:7" s="95" customFormat="1" ht="11.25" x14ac:dyDescent="0.2">
      <c r="C49" s="97"/>
    </row>
    <row r="50" spans="1:7" s="121" customFormat="1" ht="31.5" x14ac:dyDescent="0.25">
      <c r="A50" s="916" t="s">
        <v>101</v>
      </c>
      <c r="B50" s="917"/>
      <c r="C50" s="413" t="s">
        <v>102</v>
      </c>
      <c r="D50" s="413" t="s">
        <v>103</v>
      </c>
      <c r="E50" s="413" t="s">
        <v>104</v>
      </c>
      <c r="F50" s="413" t="s">
        <v>105</v>
      </c>
      <c r="G50" s="413" t="s">
        <v>94</v>
      </c>
    </row>
    <row r="51" spans="1:7" s="95" customFormat="1" ht="11.25" x14ac:dyDescent="0.2">
      <c r="A51" s="902" t="s">
        <v>409</v>
      </c>
      <c r="B51" s="929"/>
      <c r="C51" s="425" t="s">
        <v>366</v>
      </c>
      <c r="D51" s="101">
        <v>4860</v>
      </c>
      <c r="E51" s="431"/>
      <c r="F51" s="912">
        <v>42030</v>
      </c>
      <c r="G51" s="912" t="s">
        <v>367</v>
      </c>
    </row>
    <row r="52" spans="1:7" s="95" customFormat="1" ht="11.25" x14ac:dyDescent="0.2">
      <c r="A52" s="930"/>
      <c r="B52" s="931"/>
      <c r="C52" s="421" t="s">
        <v>368</v>
      </c>
      <c r="D52" s="133"/>
      <c r="E52" s="133">
        <v>4860</v>
      </c>
      <c r="F52" s="915"/>
      <c r="G52" s="915"/>
    </row>
    <row r="53" spans="1:7" s="95" customFormat="1" ht="11.25" x14ac:dyDescent="0.2">
      <c r="A53" s="902" t="s">
        <v>410</v>
      </c>
      <c r="B53" s="929"/>
      <c r="C53" s="420" t="s">
        <v>369</v>
      </c>
      <c r="D53" s="136">
        <v>2000</v>
      </c>
      <c r="E53" s="428"/>
      <c r="F53" s="912">
        <v>42066</v>
      </c>
      <c r="G53" s="912">
        <v>42101</v>
      </c>
    </row>
    <row r="54" spans="1:7" s="95" customFormat="1" ht="11.25" x14ac:dyDescent="0.2">
      <c r="A54" s="958"/>
      <c r="B54" s="889"/>
      <c r="C54" s="420" t="s">
        <v>370</v>
      </c>
      <c r="D54" s="136"/>
      <c r="E54" s="136">
        <v>1000</v>
      </c>
      <c r="F54" s="920">
        <v>42066</v>
      </c>
      <c r="G54" s="920"/>
    </row>
    <row r="55" spans="1:7" s="95" customFormat="1" ht="11.25" x14ac:dyDescent="0.2">
      <c r="A55" s="930"/>
      <c r="B55" s="931"/>
      <c r="C55" s="422" t="s">
        <v>371</v>
      </c>
      <c r="D55" s="429"/>
      <c r="E55" s="133">
        <v>1000</v>
      </c>
      <c r="F55" s="915"/>
      <c r="G55" s="915"/>
    </row>
    <row r="56" spans="1:7" s="95" customFormat="1" ht="11.25" x14ac:dyDescent="0.2">
      <c r="A56" s="902" t="s">
        <v>411</v>
      </c>
      <c r="B56" s="929"/>
      <c r="C56" s="420" t="s">
        <v>369</v>
      </c>
      <c r="D56" s="136">
        <v>3167</v>
      </c>
      <c r="E56" s="428"/>
      <c r="F56" s="912" t="s">
        <v>116</v>
      </c>
      <c r="G56" s="912">
        <v>42101</v>
      </c>
    </row>
    <row r="57" spans="1:7" s="95" customFormat="1" ht="11.25" x14ac:dyDescent="0.2">
      <c r="A57" s="930"/>
      <c r="B57" s="931"/>
      <c r="C57" s="421" t="s">
        <v>370</v>
      </c>
      <c r="D57" s="133"/>
      <c r="E57" s="133">
        <v>3167</v>
      </c>
      <c r="F57" s="915" t="s">
        <v>116</v>
      </c>
      <c r="G57" s="915">
        <v>42101</v>
      </c>
    </row>
    <row r="58" spans="1:7" s="95" customFormat="1" ht="11.25" x14ac:dyDescent="0.2">
      <c r="A58" s="902" t="s">
        <v>412</v>
      </c>
      <c r="B58" s="929"/>
      <c r="C58" s="423" t="s">
        <v>372</v>
      </c>
      <c r="D58" s="136">
        <v>23376</v>
      </c>
      <c r="E58" s="430"/>
      <c r="F58" s="912">
        <v>42080</v>
      </c>
      <c r="G58" s="912">
        <v>42129</v>
      </c>
    </row>
    <row r="59" spans="1:7" s="95" customFormat="1" ht="11.25" x14ac:dyDescent="0.2">
      <c r="A59" s="930"/>
      <c r="B59" s="931"/>
      <c r="C59" s="424" t="s">
        <v>373</v>
      </c>
      <c r="D59" s="133"/>
      <c r="E59" s="133">
        <v>23376</v>
      </c>
      <c r="F59" s="915">
        <v>42080</v>
      </c>
      <c r="G59" s="915">
        <v>42129</v>
      </c>
    </row>
    <row r="60" spans="1:7" s="95" customFormat="1" ht="11.25" x14ac:dyDescent="0.2">
      <c r="A60" s="902" t="s">
        <v>413</v>
      </c>
      <c r="B60" s="929"/>
      <c r="C60" s="423" t="s">
        <v>372</v>
      </c>
      <c r="D60" s="136">
        <v>625669</v>
      </c>
      <c r="E60" s="430"/>
      <c r="F60" s="912">
        <v>42107</v>
      </c>
      <c r="G60" s="912">
        <v>42129</v>
      </c>
    </row>
    <row r="61" spans="1:7" s="95" customFormat="1" ht="11.25" x14ac:dyDescent="0.2">
      <c r="A61" s="930"/>
      <c r="B61" s="931"/>
      <c r="C61" s="424" t="s">
        <v>373</v>
      </c>
      <c r="D61" s="133"/>
      <c r="E61" s="133">
        <v>625669</v>
      </c>
      <c r="F61" s="915">
        <v>42107</v>
      </c>
      <c r="G61" s="915">
        <v>42129</v>
      </c>
    </row>
    <row r="62" spans="1:7" s="95" customFormat="1" ht="11.25" x14ac:dyDescent="0.2">
      <c r="A62" s="902" t="s">
        <v>414</v>
      </c>
      <c r="B62" s="929"/>
      <c r="C62" s="425" t="s">
        <v>369</v>
      </c>
      <c r="D62" s="101">
        <v>3913</v>
      </c>
      <c r="E62" s="431"/>
      <c r="F62" s="912">
        <v>42136</v>
      </c>
      <c r="G62" s="912">
        <v>42139</v>
      </c>
    </row>
    <row r="63" spans="1:7" s="95" customFormat="1" ht="11.25" x14ac:dyDescent="0.2">
      <c r="A63" s="930"/>
      <c r="B63" s="931"/>
      <c r="C63" s="422" t="s">
        <v>374</v>
      </c>
      <c r="D63" s="429"/>
      <c r="E63" s="429">
        <v>3913</v>
      </c>
      <c r="F63" s="915">
        <v>42136</v>
      </c>
      <c r="G63" s="915">
        <v>42139</v>
      </c>
    </row>
    <row r="64" spans="1:7" s="95" customFormat="1" ht="11.25" x14ac:dyDescent="0.2">
      <c r="A64" s="902" t="s">
        <v>415</v>
      </c>
      <c r="B64" s="903"/>
      <c r="C64" s="420" t="s">
        <v>375</v>
      </c>
      <c r="D64" s="136">
        <v>-7000</v>
      </c>
      <c r="E64" s="136"/>
      <c r="F64" s="912">
        <v>42185</v>
      </c>
      <c r="G64" s="912">
        <v>42185</v>
      </c>
    </row>
    <row r="65" spans="1:7" s="95" customFormat="1" ht="11.25" x14ac:dyDescent="0.2">
      <c r="A65" s="918"/>
      <c r="B65" s="909"/>
      <c r="C65" s="420" t="s">
        <v>376</v>
      </c>
      <c r="D65" s="136">
        <v>6600</v>
      </c>
      <c r="E65" s="136"/>
      <c r="F65" s="920"/>
      <c r="G65" s="920"/>
    </row>
    <row r="66" spans="1:7" s="95" customFormat="1" ht="11.25" x14ac:dyDescent="0.2">
      <c r="A66" s="918"/>
      <c r="B66" s="919"/>
      <c r="C66" s="420" t="s">
        <v>377</v>
      </c>
      <c r="D66" s="136">
        <v>300</v>
      </c>
      <c r="E66" s="136"/>
      <c r="F66" s="920"/>
      <c r="G66" s="920"/>
    </row>
    <row r="67" spans="1:7" s="95" customFormat="1" ht="11.25" x14ac:dyDescent="0.2">
      <c r="A67" s="910"/>
      <c r="B67" s="911"/>
      <c r="C67" s="422" t="s">
        <v>378</v>
      </c>
      <c r="D67" s="429">
        <v>100</v>
      </c>
      <c r="E67" s="429"/>
      <c r="F67" s="915"/>
      <c r="G67" s="915"/>
    </row>
    <row r="68" spans="1:7" s="95" customFormat="1" ht="11.25" x14ac:dyDescent="0.2">
      <c r="A68" s="902" t="s">
        <v>416</v>
      </c>
      <c r="B68" s="903"/>
      <c r="C68" s="425" t="s">
        <v>366</v>
      </c>
      <c r="D68" s="101">
        <v>97847</v>
      </c>
      <c r="E68" s="431"/>
      <c r="F68" s="912">
        <v>42213</v>
      </c>
      <c r="G68" s="912">
        <v>42263</v>
      </c>
    </row>
    <row r="69" spans="1:7" s="95" customFormat="1" ht="24" customHeight="1" x14ac:dyDescent="0.2">
      <c r="A69" s="910"/>
      <c r="B69" s="911"/>
      <c r="C69" s="422" t="s">
        <v>379</v>
      </c>
      <c r="D69" s="429"/>
      <c r="E69" s="429">
        <v>97847</v>
      </c>
      <c r="F69" s="915"/>
      <c r="G69" s="915"/>
    </row>
    <row r="70" spans="1:7" s="95" customFormat="1" ht="11.25" x14ac:dyDescent="0.2">
      <c r="A70" s="902" t="s">
        <v>417</v>
      </c>
      <c r="B70" s="903"/>
      <c r="C70" s="425" t="s">
        <v>366</v>
      </c>
      <c r="D70" s="101">
        <v>36070</v>
      </c>
      <c r="E70" s="431"/>
      <c r="F70" s="912">
        <v>42216</v>
      </c>
      <c r="G70" s="912">
        <v>42216</v>
      </c>
    </row>
    <row r="71" spans="1:7" s="95" customFormat="1" ht="11.25" x14ac:dyDescent="0.2">
      <c r="A71" s="910"/>
      <c r="B71" s="911"/>
      <c r="C71" s="422" t="s">
        <v>380</v>
      </c>
      <c r="D71" s="429"/>
      <c r="E71" s="429">
        <f>D70</f>
        <v>36070</v>
      </c>
      <c r="F71" s="915"/>
      <c r="G71" s="915"/>
    </row>
    <row r="72" spans="1:7" s="95" customFormat="1" ht="11.25" x14ac:dyDescent="0.2">
      <c r="A72" s="902" t="s">
        <v>418</v>
      </c>
      <c r="B72" s="903"/>
      <c r="C72" s="425" t="s">
        <v>381</v>
      </c>
      <c r="D72" s="101"/>
      <c r="E72" s="136">
        <v>8000</v>
      </c>
      <c r="F72" s="912">
        <v>42283</v>
      </c>
      <c r="G72" s="912">
        <v>42290</v>
      </c>
    </row>
    <row r="73" spans="1:7" s="95" customFormat="1" ht="24" customHeight="1" x14ac:dyDescent="0.2">
      <c r="A73" s="910"/>
      <c r="B73" s="911"/>
      <c r="C73" s="422" t="s">
        <v>382</v>
      </c>
      <c r="D73" s="429"/>
      <c r="E73" s="429">
        <v>-8000</v>
      </c>
      <c r="F73" s="915"/>
      <c r="G73" s="915"/>
    </row>
    <row r="74" spans="1:7" s="95" customFormat="1" ht="11.25" x14ac:dyDescent="0.2">
      <c r="A74" s="902" t="s">
        <v>419</v>
      </c>
      <c r="B74" s="903"/>
      <c r="C74" s="420" t="s">
        <v>369</v>
      </c>
      <c r="D74" s="136">
        <f>E75+E76</f>
        <v>3999</v>
      </c>
      <c r="E74" s="428"/>
      <c r="F74" s="912">
        <v>42297</v>
      </c>
      <c r="G74" s="912">
        <v>42303</v>
      </c>
    </row>
    <row r="75" spans="1:7" s="95" customFormat="1" ht="11.25" x14ac:dyDescent="0.2">
      <c r="A75" s="908"/>
      <c r="B75" s="909"/>
      <c r="C75" s="420" t="s">
        <v>383</v>
      </c>
      <c r="D75" s="136"/>
      <c r="E75" s="136">
        <v>2000</v>
      </c>
      <c r="F75" s="913"/>
      <c r="G75" s="913"/>
    </row>
    <row r="76" spans="1:7" s="95" customFormat="1" ht="11.25" x14ac:dyDescent="0.2">
      <c r="A76" s="910"/>
      <c r="B76" s="911"/>
      <c r="C76" s="422" t="s">
        <v>370</v>
      </c>
      <c r="D76" s="429"/>
      <c r="E76" s="133">
        <v>1999</v>
      </c>
      <c r="F76" s="914"/>
      <c r="G76" s="914"/>
    </row>
    <row r="77" spans="1:7" s="95" customFormat="1" ht="11.25" x14ac:dyDescent="0.2">
      <c r="A77" s="902" t="s">
        <v>420</v>
      </c>
      <c r="B77" s="903"/>
      <c r="C77" s="425" t="s">
        <v>373</v>
      </c>
      <c r="D77" s="101"/>
      <c r="E77" s="101">
        <v>3700</v>
      </c>
      <c r="F77" s="912">
        <v>42297</v>
      </c>
      <c r="G77" s="912">
        <v>42303</v>
      </c>
    </row>
    <row r="78" spans="1:7" s="95" customFormat="1" ht="34.5" customHeight="1" x14ac:dyDescent="0.2">
      <c r="A78" s="910"/>
      <c r="B78" s="911"/>
      <c r="C78" s="422" t="s">
        <v>384</v>
      </c>
      <c r="D78" s="429"/>
      <c r="E78" s="429">
        <v>-3700</v>
      </c>
      <c r="F78" s="915"/>
      <c r="G78" s="915"/>
    </row>
    <row r="79" spans="1:7" s="95" customFormat="1" ht="11.25" x14ac:dyDescent="0.2">
      <c r="A79" s="902" t="s">
        <v>421</v>
      </c>
      <c r="B79" s="903"/>
      <c r="C79" s="420" t="s">
        <v>385</v>
      </c>
      <c r="D79" s="136"/>
      <c r="E79" s="136">
        <v>-250000</v>
      </c>
      <c r="F79" s="912">
        <v>42312</v>
      </c>
      <c r="G79" s="912">
        <f>F79</f>
        <v>42312</v>
      </c>
    </row>
    <row r="80" spans="1:7" s="95" customFormat="1" ht="11.25" x14ac:dyDescent="0.2">
      <c r="A80" s="908"/>
      <c r="B80" s="909"/>
      <c r="C80" s="420" t="s">
        <v>370</v>
      </c>
      <c r="D80" s="136"/>
      <c r="E80" s="136">
        <v>50000</v>
      </c>
      <c r="F80" s="913"/>
      <c r="G80" s="913"/>
    </row>
    <row r="81" spans="1:7" s="95" customFormat="1" ht="11.25" x14ac:dyDescent="0.2">
      <c r="A81" s="910"/>
      <c r="B81" s="911"/>
      <c r="C81" s="422" t="s">
        <v>374</v>
      </c>
      <c r="D81" s="429"/>
      <c r="E81" s="133">
        <v>200000</v>
      </c>
      <c r="F81" s="914"/>
      <c r="G81" s="914"/>
    </row>
    <row r="82" spans="1:7" s="95" customFormat="1" ht="11.25" x14ac:dyDescent="0.2">
      <c r="A82" s="902" t="s">
        <v>422</v>
      </c>
      <c r="B82" s="923"/>
      <c r="C82" s="420" t="s">
        <v>385</v>
      </c>
      <c r="D82" s="136"/>
      <c r="E82" s="136">
        <v>-350000</v>
      </c>
      <c r="F82" s="912">
        <v>42321</v>
      </c>
      <c r="G82" s="912">
        <f>F82</f>
        <v>42321</v>
      </c>
    </row>
    <row r="83" spans="1:7" s="95" customFormat="1" ht="11.25" x14ac:dyDescent="0.2">
      <c r="A83" s="918"/>
      <c r="B83" s="924"/>
      <c r="C83" s="420" t="s">
        <v>370</v>
      </c>
      <c r="D83" s="136"/>
      <c r="E83" s="136">
        <v>250000</v>
      </c>
      <c r="F83" s="927"/>
      <c r="G83" s="927"/>
    </row>
    <row r="84" spans="1:7" s="95" customFormat="1" ht="11.25" x14ac:dyDescent="0.2">
      <c r="A84" s="925"/>
      <c r="B84" s="926"/>
      <c r="C84" s="422" t="s">
        <v>374</v>
      </c>
      <c r="D84" s="429"/>
      <c r="E84" s="133">
        <v>100000</v>
      </c>
      <c r="F84" s="928"/>
      <c r="G84" s="928"/>
    </row>
    <row r="85" spans="1:7" s="95" customFormat="1" ht="11.25" x14ac:dyDescent="0.2">
      <c r="A85" s="902" t="s">
        <v>423</v>
      </c>
      <c r="B85" s="903"/>
      <c r="C85" s="420" t="s">
        <v>386</v>
      </c>
      <c r="D85" s="136"/>
      <c r="E85" s="136">
        <v>-15600</v>
      </c>
      <c r="F85" s="912">
        <v>42346</v>
      </c>
      <c r="G85" s="912">
        <v>42359</v>
      </c>
    </row>
    <row r="86" spans="1:7" s="95" customFormat="1" ht="11.25" x14ac:dyDescent="0.2">
      <c r="A86" s="908"/>
      <c r="B86" s="909"/>
      <c r="C86" s="420" t="s">
        <v>373</v>
      </c>
      <c r="D86" s="136"/>
      <c r="E86" s="136">
        <v>-12464</v>
      </c>
      <c r="F86" s="913"/>
      <c r="G86" s="913"/>
    </row>
    <row r="87" spans="1:7" s="95" customFormat="1" ht="23.25" customHeight="1" x14ac:dyDescent="0.2">
      <c r="A87" s="910"/>
      <c r="B87" s="911"/>
      <c r="C87" s="422" t="s">
        <v>374</v>
      </c>
      <c r="D87" s="429"/>
      <c r="E87" s="133">
        <v>28064</v>
      </c>
      <c r="F87" s="914"/>
      <c r="G87" s="914"/>
    </row>
    <row r="88" spans="1:7" s="95" customFormat="1" ht="11.25" x14ac:dyDescent="0.2">
      <c r="A88" s="902" t="s">
        <v>424</v>
      </c>
      <c r="B88" s="903"/>
      <c r="C88" s="425" t="s">
        <v>379</v>
      </c>
      <c r="D88" s="136"/>
      <c r="E88" s="136">
        <v>-39930</v>
      </c>
      <c r="F88" s="912">
        <v>42360</v>
      </c>
      <c r="G88" s="912">
        <v>42360</v>
      </c>
    </row>
    <row r="89" spans="1:7" s="95" customFormat="1" ht="22.5" customHeight="1" x14ac:dyDescent="0.2">
      <c r="A89" s="910"/>
      <c r="B89" s="911"/>
      <c r="C89" s="422" t="s">
        <v>387</v>
      </c>
      <c r="D89" s="429"/>
      <c r="E89" s="133">
        <v>39930</v>
      </c>
      <c r="F89" s="915"/>
      <c r="G89" s="915"/>
    </row>
    <row r="90" spans="1:7" s="95" customFormat="1" ht="11.25" x14ac:dyDescent="0.2">
      <c r="A90" s="902" t="s">
        <v>425</v>
      </c>
      <c r="B90" s="903"/>
      <c r="C90" s="425" t="s">
        <v>368</v>
      </c>
      <c r="D90" s="136"/>
      <c r="E90" s="136">
        <v>-200</v>
      </c>
      <c r="F90" s="912">
        <v>42369</v>
      </c>
      <c r="G90" s="912">
        <v>42369</v>
      </c>
    </row>
    <row r="91" spans="1:7" s="95" customFormat="1" ht="11.25" x14ac:dyDescent="0.2">
      <c r="A91" s="910"/>
      <c r="B91" s="911"/>
      <c r="C91" s="422" t="s">
        <v>388</v>
      </c>
      <c r="D91" s="429"/>
      <c r="E91" s="133">
        <v>200</v>
      </c>
      <c r="F91" s="915"/>
      <c r="G91" s="915"/>
    </row>
    <row r="92" spans="1:7" s="95" customFormat="1" ht="11.25" x14ac:dyDescent="0.2">
      <c r="A92" s="902" t="s">
        <v>426</v>
      </c>
      <c r="B92" s="903"/>
      <c r="C92" s="420" t="s">
        <v>384</v>
      </c>
      <c r="D92" s="136"/>
      <c r="E92" s="136">
        <v>-16500</v>
      </c>
      <c r="F92" s="912">
        <v>42369</v>
      </c>
      <c r="G92" s="912">
        <v>42369</v>
      </c>
    </row>
    <row r="93" spans="1:7" s="95" customFormat="1" ht="11.25" x14ac:dyDescent="0.2">
      <c r="A93" s="918"/>
      <c r="B93" s="909"/>
      <c r="C93" s="420" t="s">
        <v>389</v>
      </c>
      <c r="D93" s="136"/>
      <c r="E93" s="136">
        <v>-39300</v>
      </c>
      <c r="F93" s="920"/>
      <c r="G93" s="920"/>
    </row>
    <row r="94" spans="1:7" s="95" customFormat="1" ht="11.25" x14ac:dyDescent="0.2">
      <c r="A94" s="918"/>
      <c r="B94" s="919"/>
      <c r="C94" s="420" t="s">
        <v>390</v>
      </c>
      <c r="D94" s="136"/>
      <c r="E94" s="136">
        <v>-2200</v>
      </c>
      <c r="F94" s="920"/>
      <c r="G94" s="920"/>
    </row>
    <row r="95" spans="1:7" s="95" customFormat="1" ht="11.25" x14ac:dyDescent="0.2">
      <c r="A95" s="910"/>
      <c r="B95" s="911"/>
      <c r="C95" s="421" t="s">
        <v>374</v>
      </c>
      <c r="D95" s="133"/>
      <c r="E95" s="133">
        <v>58000</v>
      </c>
      <c r="F95" s="915"/>
      <c r="G95" s="915"/>
    </row>
    <row r="96" spans="1:7" s="95" customFormat="1" ht="11.25" x14ac:dyDescent="0.2">
      <c r="A96" s="902" t="s">
        <v>427</v>
      </c>
      <c r="B96" s="903"/>
      <c r="C96" s="420" t="s">
        <v>391</v>
      </c>
      <c r="D96" s="136">
        <v>22470</v>
      </c>
      <c r="E96" s="136"/>
      <c r="F96" s="912">
        <v>42369</v>
      </c>
      <c r="G96" s="912">
        <v>42369</v>
      </c>
    </row>
    <row r="97" spans="1:9" s="95" customFormat="1" ht="11.25" x14ac:dyDescent="0.2">
      <c r="A97" s="918"/>
      <c r="B97" s="909"/>
      <c r="C97" s="420" t="s">
        <v>376</v>
      </c>
      <c r="D97" s="136">
        <v>26150</v>
      </c>
      <c r="E97" s="136"/>
      <c r="F97" s="920"/>
      <c r="G97" s="920"/>
    </row>
    <row r="98" spans="1:9" s="95" customFormat="1" ht="11.25" x14ac:dyDescent="0.2">
      <c r="A98" s="918"/>
      <c r="B98" s="919"/>
      <c r="C98" s="420" t="s">
        <v>377</v>
      </c>
      <c r="D98" s="136">
        <v>600</v>
      </c>
      <c r="E98" s="136"/>
      <c r="F98" s="920"/>
      <c r="G98" s="920"/>
    </row>
    <row r="99" spans="1:9" s="95" customFormat="1" ht="11.25" x14ac:dyDescent="0.2">
      <c r="A99" s="918"/>
      <c r="B99" s="919"/>
      <c r="C99" s="420" t="s">
        <v>392</v>
      </c>
      <c r="D99" s="136">
        <v>12000</v>
      </c>
      <c r="E99" s="136"/>
      <c r="F99" s="920"/>
      <c r="G99" s="920"/>
    </row>
    <row r="100" spans="1:9" s="95" customFormat="1" ht="11.25" x14ac:dyDescent="0.2">
      <c r="A100" s="918"/>
      <c r="B100" s="919"/>
      <c r="C100" s="426" t="s">
        <v>378</v>
      </c>
      <c r="D100" s="432">
        <v>900</v>
      </c>
      <c r="E100" s="136"/>
      <c r="F100" s="920"/>
      <c r="G100" s="920"/>
    </row>
    <row r="101" spans="1:9" s="95" customFormat="1" ht="11.25" x14ac:dyDescent="0.2">
      <c r="A101" s="910"/>
      <c r="B101" s="911"/>
      <c r="C101" s="421"/>
      <c r="D101" s="133"/>
      <c r="E101" s="429">
        <f>D96+D97+D98+D99+D100</f>
        <v>62120</v>
      </c>
      <c r="F101" s="915"/>
      <c r="G101" s="915"/>
    </row>
    <row r="102" spans="1:9" s="95" customFormat="1" ht="11.25" x14ac:dyDescent="0.2">
      <c r="A102" s="884" t="s">
        <v>111</v>
      </c>
      <c r="B102" s="885"/>
      <c r="C102" s="427"/>
      <c r="D102" s="366">
        <f>SUM(D51:D101)</f>
        <v>863021</v>
      </c>
      <c r="E102" s="366">
        <f>SUM(E51:E101)</f>
        <v>863021</v>
      </c>
      <c r="F102" s="921"/>
      <c r="G102" s="922"/>
    </row>
    <row r="103" spans="1:9" s="95" customFormat="1" ht="11.25" x14ac:dyDescent="0.2">
      <c r="C103" s="97"/>
    </row>
    <row r="104" spans="1:9" s="95" customFormat="1" ht="11.25" x14ac:dyDescent="0.2">
      <c r="A104" s="901" t="s">
        <v>211</v>
      </c>
      <c r="B104" s="901"/>
      <c r="C104" s="901"/>
      <c r="D104" s="901"/>
      <c r="E104" s="901"/>
      <c r="F104" s="901"/>
      <c r="G104" s="901"/>
      <c r="H104" s="901"/>
      <c r="I104" s="901"/>
    </row>
    <row r="105" spans="1:9" s="95" customFormat="1" ht="11.25" x14ac:dyDescent="0.2">
      <c r="C105" s="97"/>
    </row>
    <row r="106" spans="1:9" s="121" customFormat="1" ht="31.5" x14ac:dyDescent="0.25">
      <c r="A106" s="916" t="s">
        <v>101</v>
      </c>
      <c r="B106" s="917"/>
      <c r="C106" s="413" t="s">
        <v>102</v>
      </c>
      <c r="D106" s="413" t="s">
        <v>103</v>
      </c>
      <c r="E106" s="413" t="s">
        <v>104</v>
      </c>
      <c r="F106" s="413" t="s">
        <v>105</v>
      </c>
      <c r="G106" s="413" t="s">
        <v>94</v>
      </c>
    </row>
    <row r="107" spans="1:9" s="95" customFormat="1" ht="11.25" x14ac:dyDescent="0.2">
      <c r="A107" s="902" t="s">
        <v>428</v>
      </c>
      <c r="B107" s="903"/>
      <c r="C107" s="425" t="s">
        <v>394</v>
      </c>
      <c r="D107" s="101"/>
      <c r="E107" s="101">
        <v>-5000</v>
      </c>
      <c r="F107" s="912">
        <v>42369</v>
      </c>
      <c r="G107" s="912">
        <f>F107</f>
        <v>42369</v>
      </c>
    </row>
    <row r="108" spans="1:9" s="95" customFormat="1" ht="11.25" x14ac:dyDescent="0.2">
      <c r="A108" s="910" t="s">
        <v>393</v>
      </c>
      <c r="B108" s="911"/>
      <c r="C108" s="422" t="s">
        <v>395</v>
      </c>
      <c r="D108" s="429"/>
      <c r="E108" s="133">
        <v>-4000</v>
      </c>
      <c r="F108" s="915"/>
      <c r="G108" s="915"/>
    </row>
    <row r="109" spans="1:9" s="95" customFormat="1" ht="11.25" x14ac:dyDescent="0.2">
      <c r="A109" s="902" t="s">
        <v>1215</v>
      </c>
      <c r="B109" s="903"/>
      <c r="C109" s="420" t="s">
        <v>396</v>
      </c>
      <c r="D109" s="136"/>
      <c r="E109" s="136">
        <v>14300</v>
      </c>
      <c r="F109" s="912">
        <v>42369</v>
      </c>
      <c r="G109" s="912">
        <v>42369</v>
      </c>
    </row>
    <row r="110" spans="1:9" s="95" customFormat="1" ht="11.25" x14ac:dyDescent="0.2">
      <c r="A110" s="908"/>
      <c r="B110" s="909"/>
      <c r="C110" s="420" t="s">
        <v>397</v>
      </c>
      <c r="D110" s="136"/>
      <c r="E110" s="136">
        <v>9200</v>
      </c>
      <c r="F110" s="913"/>
      <c r="G110" s="913"/>
    </row>
    <row r="111" spans="1:9" s="95" customFormat="1" ht="11.25" x14ac:dyDescent="0.2">
      <c r="A111" s="910"/>
      <c r="B111" s="911"/>
      <c r="C111" s="422" t="s">
        <v>398</v>
      </c>
      <c r="D111" s="429"/>
      <c r="E111" s="133">
        <v>7500</v>
      </c>
      <c r="F111" s="914"/>
      <c r="G111" s="914"/>
    </row>
    <row r="112" spans="1:9" s="95" customFormat="1" ht="11.25" x14ac:dyDescent="0.2">
      <c r="A112" s="902" t="s">
        <v>429</v>
      </c>
      <c r="B112" s="903"/>
      <c r="C112" s="425" t="s">
        <v>399</v>
      </c>
      <c r="D112" s="136"/>
      <c r="E112" s="136">
        <v>33700</v>
      </c>
      <c r="F112" s="912">
        <v>42369</v>
      </c>
      <c r="G112" s="912">
        <f>F112</f>
        <v>42369</v>
      </c>
    </row>
    <row r="113" spans="1:9" s="95" customFormat="1" ht="11.25" x14ac:dyDescent="0.2">
      <c r="A113" s="910"/>
      <c r="B113" s="911"/>
      <c r="C113" s="422" t="s">
        <v>400</v>
      </c>
      <c r="D113" s="429"/>
      <c r="E113" s="133">
        <v>-700</v>
      </c>
      <c r="F113" s="915"/>
      <c r="G113" s="915"/>
    </row>
    <row r="114" spans="1:9" s="95" customFormat="1" ht="11.25" x14ac:dyDescent="0.2">
      <c r="A114" s="902" t="s">
        <v>430</v>
      </c>
      <c r="B114" s="903"/>
      <c r="C114" s="425" t="s">
        <v>401</v>
      </c>
      <c r="D114" s="433"/>
      <c r="E114" s="433">
        <v>6500</v>
      </c>
      <c r="F114" s="659">
        <v>42369</v>
      </c>
      <c r="G114" s="659">
        <v>42369</v>
      </c>
    </row>
    <row r="115" spans="1:9" s="95" customFormat="1" ht="23.25" customHeight="1" x14ac:dyDescent="0.2">
      <c r="A115" s="904" t="s">
        <v>431</v>
      </c>
      <c r="B115" s="905"/>
      <c r="C115" s="662" t="s">
        <v>402</v>
      </c>
      <c r="D115" s="429"/>
      <c r="E115" s="429">
        <v>12464</v>
      </c>
      <c r="F115" s="663">
        <v>42369</v>
      </c>
      <c r="G115" s="663">
        <v>42369</v>
      </c>
    </row>
    <row r="116" spans="1:9" s="95" customFormat="1" ht="11.25" x14ac:dyDescent="0.2">
      <c r="A116" s="884" t="s">
        <v>111</v>
      </c>
      <c r="B116" s="885"/>
      <c r="C116" s="427"/>
      <c r="D116" s="366">
        <f>SUM(D107:D115)</f>
        <v>0</v>
      </c>
      <c r="E116" s="366">
        <f>SUM(E107:E115)</f>
        <v>73964</v>
      </c>
      <c r="F116" s="906"/>
      <c r="G116" s="907"/>
    </row>
    <row r="117" spans="1:9" s="95" customFormat="1" ht="11.25" x14ac:dyDescent="0.2">
      <c r="C117" s="97"/>
    </row>
    <row r="118" spans="1:9" s="95" customFormat="1" ht="11.25" x14ac:dyDescent="0.2">
      <c r="A118" s="738" t="s">
        <v>212</v>
      </c>
      <c r="B118" s="738"/>
      <c r="C118" s="738"/>
      <c r="D118" s="738"/>
      <c r="E118" s="738"/>
      <c r="F118" s="738"/>
      <c r="G118" s="738"/>
      <c r="H118" s="738"/>
      <c r="I118" s="738"/>
    </row>
    <row r="119" spans="1:9" s="95" customFormat="1" ht="11.25" x14ac:dyDescent="0.2"/>
    <row r="120" spans="1:9" s="66" customFormat="1" ht="11.25" x14ac:dyDescent="0.2">
      <c r="A120" s="781" t="s">
        <v>432</v>
      </c>
      <c r="B120" s="782"/>
      <c r="C120" s="782"/>
      <c r="D120" s="782"/>
      <c r="E120" s="782"/>
      <c r="F120" s="782"/>
      <c r="G120" s="782"/>
      <c r="H120" s="782"/>
      <c r="I120" s="783"/>
    </row>
    <row r="121" spans="1:9" s="95" customFormat="1" ht="11.25" x14ac:dyDescent="0.2"/>
    <row r="122" spans="1:9" s="96" customFormat="1" ht="10.5" x14ac:dyDescent="0.15">
      <c r="A122" s="901" t="s">
        <v>213</v>
      </c>
      <c r="B122" s="901"/>
      <c r="C122" s="901"/>
      <c r="D122" s="901"/>
      <c r="E122" s="901"/>
      <c r="F122" s="901"/>
      <c r="G122" s="901"/>
      <c r="H122" s="901"/>
      <c r="I122" s="901"/>
    </row>
    <row r="123" spans="1:9" s="95" customFormat="1" ht="11.25" x14ac:dyDescent="0.2"/>
    <row r="124" spans="1:9" s="66" customFormat="1" ht="25.5" customHeight="1" x14ac:dyDescent="0.2">
      <c r="A124" s="781" t="s">
        <v>1216</v>
      </c>
      <c r="B124" s="782"/>
      <c r="C124" s="782"/>
      <c r="D124" s="782"/>
      <c r="E124" s="782"/>
      <c r="F124" s="782"/>
      <c r="G124" s="782"/>
      <c r="H124" s="782"/>
      <c r="I124" s="783"/>
    </row>
    <row r="125" spans="1:9" s="66" customFormat="1" ht="11.25" x14ac:dyDescent="0.2">
      <c r="A125" s="781" t="s">
        <v>433</v>
      </c>
      <c r="B125" s="782"/>
      <c r="C125" s="782"/>
      <c r="D125" s="782"/>
      <c r="E125" s="782"/>
      <c r="F125" s="782"/>
      <c r="G125" s="782"/>
      <c r="H125" s="782"/>
      <c r="I125" s="783"/>
    </row>
    <row r="126" spans="1:9" s="61" customFormat="1" x14ac:dyDescent="0.2"/>
    <row r="127" spans="1:9" s="61" customFormat="1" x14ac:dyDescent="0.2"/>
    <row r="128" spans="1:9"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sheetData>
  <mergeCells count="115">
    <mergeCell ref="A6:B6"/>
    <mergeCell ref="A3:I3"/>
    <mergeCell ref="A5:B5"/>
    <mergeCell ref="D5:I5"/>
    <mergeCell ref="D6:I6"/>
    <mergeCell ref="A7:B7"/>
    <mergeCell ref="D7:I7"/>
    <mergeCell ref="A8:B8"/>
    <mergeCell ref="D8:I8"/>
    <mergeCell ref="A58:B59"/>
    <mergeCell ref="F58:F59"/>
    <mergeCell ref="G58:G59"/>
    <mergeCell ref="C44:I44"/>
    <mergeCell ref="C45:I45"/>
    <mergeCell ref="C46:I46"/>
    <mergeCell ref="A48:I48"/>
    <mergeCell ref="A50:B50"/>
    <mergeCell ref="A51:B52"/>
    <mergeCell ref="F51:F52"/>
    <mergeCell ref="G51:G52"/>
    <mergeCell ref="A53:B55"/>
    <mergeCell ref="F53:F55"/>
    <mergeCell ref="G53:G55"/>
    <mergeCell ref="A56:B57"/>
    <mergeCell ref="F56:F57"/>
    <mergeCell ref="G56:G57"/>
    <mergeCell ref="A40:I40"/>
    <mergeCell ref="C42:I42"/>
    <mergeCell ref="C43:I43"/>
    <mergeCell ref="A9:B9"/>
    <mergeCell ref="D9:I9"/>
    <mergeCell ref="A11:I11"/>
    <mergeCell ref="A28:I28"/>
    <mergeCell ref="F24:I24"/>
    <mergeCell ref="F25:I25"/>
    <mergeCell ref="F26:I26"/>
    <mergeCell ref="A15:A16"/>
    <mergeCell ref="A19:I19"/>
    <mergeCell ref="F21:I21"/>
    <mergeCell ref="F22:I22"/>
    <mergeCell ref="F23:I23"/>
    <mergeCell ref="D30:I30"/>
    <mergeCell ref="D31:I31"/>
    <mergeCell ref="C32:I32"/>
    <mergeCell ref="A34:I34"/>
    <mergeCell ref="D36:I36"/>
    <mergeCell ref="D37:I37"/>
    <mergeCell ref="C38:I38"/>
    <mergeCell ref="A64:B67"/>
    <mergeCell ref="F64:F67"/>
    <mergeCell ref="G64:G67"/>
    <mergeCell ref="A68:B69"/>
    <mergeCell ref="F68:F69"/>
    <mergeCell ref="G68:G69"/>
    <mergeCell ref="A60:B61"/>
    <mergeCell ref="F60:F61"/>
    <mergeCell ref="G60:G61"/>
    <mergeCell ref="A62:B63"/>
    <mergeCell ref="F62:F63"/>
    <mergeCell ref="G62:G63"/>
    <mergeCell ref="A74:B76"/>
    <mergeCell ref="F74:F76"/>
    <mergeCell ref="G74:G76"/>
    <mergeCell ref="A77:B78"/>
    <mergeCell ref="F77:F78"/>
    <mergeCell ref="G77:G78"/>
    <mergeCell ref="A70:B71"/>
    <mergeCell ref="F70:F71"/>
    <mergeCell ref="G70:G71"/>
    <mergeCell ref="A72:B73"/>
    <mergeCell ref="F72:F73"/>
    <mergeCell ref="G72:G73"/>
    <mergeCell ref="A85:B87"/>
    <mergeCell ref="F85:F87"/>
    <mergeCell ref="G85:G87"/>
    <mergeCell ref="A88:B89"/>
    <mergeCell ref="F88:F89"/>
    <mergeCell ref="G88:G89"/>
    <mergeCell ref="A79:B81"/>
    <mergeCell ref="F79:F81"/>
    <mergeCell ref="G79:G81"/>
    <mergeCell ref="A82:B84"/>
    <mergeCell ref="F82:F84"/>
    <mergeCell ref="G82:G84"/>
    <mergeCell ref="A96:B101"/>
    <mergeCell ref="F96:F101"/>
    <mergeCell ref="G96:G101"/>
    <mergeCell ref="A102:B102"/>
    <mergeCell ref="F102:G102"/>
    <mergeCell ref="A90:B91"/>
    <mergeCell ref="F90:F91"/>
    <mergeCell ref="G90:G91"/>
    <mergeCell ref="A92:B95"/>
    <mergeCell ref="F92:F95"/>
    <mergeCell ref="G92:G95"/>
    <mergeCell ref="A109:B111"/>
    <mergeCell ref="F109:F111"/>
    <mergeCell ref="G109:G111"/>
    <mergeCell ref="A112:B113"/>
    <mergeCell ref="F112:F113"/>
    <mergeCell ref="G112:G113"/>
    <mergeCell ref="A104:I104"/>
    <mergeCell ref="A106:B106"/>
    <mergeCell ref="A107:B108"/>
    <mergeCell ref="F107:F108"/>
    <mergeCell ref="G107:G108"/>
    <mergeCell ref="A120:I120"/>
    <mergeCell ref="A122:I122"/>
    <mergeCell ref="A124:I124"/>
    <mergeCell ref="A125:I125"/>
    <mergeCell ref="A114:B114"/>
    <mergeCell ref="A115:B115"/>
    <mergeCell ref="A116:B116"/>
    <mergeCell ref="F116:G116"/>
    <mergeCell ref="A118:I118"/>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15">
      <c r="A1" s="967" t="s">
        <v>79</v>
      </c>
      <c r="B1" s="967"/>
      <c r="C1" s="967"/>
      <c r="D1" s="967"/>
      <c r="E1" s="967"/>
      <c r="F1" s="967"/>
      <c r="G1" s="967"/>
      <c r="H1" s="967"/>
      <c r="I1" s="967"/>
      <c r="J1" s="967"/>
      <c r="K1" s="967"/>
      <c r="L1" s="967"/>
      <c r="M1" s="967"/>
      <c r="N1" s="967"/>
      <c r="O1" s="967"/>
      <c r="P1" s="967"/>
      <c r="Q1" s="967"/>
      <c r="R1" s="967"/>
      <c r="S1" s="967"/>
      <c r="T1" s="967"/>
      <c r="U1" s="967"/>
      <c r="V1" s="967"/>
      <c r="W1" s="967"/>
      <c r="X1" s="967"/>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32765742</v>
      </c>
      <c r="F6" s="29">
        <f>SUM(F7:F9)</f>
        <v>34658879</v>
      </c>
      <c r="G6" s="29">
        <f>SUM(G7:G9)</f>
        <v>34658449</v>
      </c>
      <c r="H6" s="24">
        <f t="shared" ref="H6:H33" si="0">G6/F6*100</f>
        <v>99.998759336676756</v>
      </c>
      <c r="I6" s="29">
        <f>SUM(I7:I9)</f>
        <v>32752252</v>
      </c>
      <c r="J6" s="29">
        <f>SUM(J7:J9)</f>
        <v>4783000</v>
      </c>
      <c r="K6" s="29">
        <f t="shared" ref="K6:X6" si="1">SUM(K7:K9)</f>
        <v>5639021</v>
      </c>
      <c r="L6" s="29">
        <f t="shared" si="1"/>
        <v>5638591</v>
      </c>
      <c r="M6" s="24">
        <f t="shared" ref="M6:M26" si="2">L6/K6*100</f>
        <v>99.992374562889552</v>
      </c>
      <c r="N6" s="30">
        <f t="shared" si="1"/>
        <v>5041475</v>
      </c>
      <c r="O6" s="29">
        <f t="shared" si="1"/>
        <v>27982742</v>
      </c>
      <c r="P6" s="29">
        <f t="shared" si="1"/>
        <v>29019858</v>
      </c>
      <c r="Q6" s="29">
        <f t="shared" si="1"/>
        <v>29019858</v>
      </c>
      <c r="R6" s="24">
        <f t="shared" ref="R6:R26" si="3">Q6/P6*100</f>
        <v>100</v>
      </c>
      <c r="S6" s="29">
        <f t="shared" si="1"/>
        <v>27710777</v>
      </c>
      <c r="T6" s="29">
        <f t="shared" si="1"/>
        <v>400000</v>
      </c>
      <c r="U6" s="29">
        <f t="shared" si="1"/>
        <v>500735</v>
      </c>
      <c r="V6" s="29">
        <f t="shared" si="1"/>
        <v>500735</v>
      </c>
      <c r="W6" s="24">
        <f t="shared" ref="W6:W26" si="4">V6/U6*100</f>
        <v>100</v>
      </c>
      <c r="X6" s="29">
        <f t="shared" si="1"/>
        <v>503603</v>
      </c>
    </row>
    <row r="7" spans="1:24" s="6" customFormat="1" ht="9.9499999999999993" customHeight="1" x14ac:dyDescent="0.2">
      <c r="A7" s="169" t="s">
        <v>2</v>
      </c>
      <c r="B7" s="823" t="s">
        <v>44</v>
      </c>
      <c r="C7" s="824"/>
      <c r="D7" s="238" t="s">
        <v>25</v>
      </c>
      <c r="E7" s="32">
        <f t="shared" ref="E7:G10" si="5">SUM(J7,O7)</f>
        <v>410000</v>
      </c>
      <c r="F7" s="33">
        <f t="shared" si="5"/>
        <v>623976</v>
      </c>
      <c r="G7" s="33">
        <f>SUM(L7,Q7)</f>
        <v>623976</v>
      </c>
      <c r="H7" s="9">
        <f t="shared" si="0"/>
        <v>100</v>
      </c>
      <c r="I7" s="34">
        <f>SUM(N7,S7)</f>
        <v>606523</v>
      </c>
      <c r="J7" s="193">
        <v>410000</v>
      </c>
      <c r="K7" s="35">
        <f>623976</f>
        <v>623976</v>
      </c>
      <c r="L7" s="157">
        <f>459220+164756</f>
        <v>623976</v>
      </c>
      <c r="M7" s="9">
        <f t="shared" si="2"/>
        <v>100</v>
      </c>
      <c r="N7" s="194">
        <v>606523</v>
      </c>
      <c r="O7" s="195"/>
      <c r="P7" s="35"/>
      <c r="Q7" s="35"/>
      <c r="R7" s="9" t="e">
        <f t="shared" si="3"/>
        <v>#DIV/0!</v>
      </c>
      <c r="S7" s="194"/>
      <c r="T7" s="195">
        <v>400000</v>
      </c>
      <c r="U7" s="35">
        <v>500735</v>
      </c>
      <c r="V7" s="35">
        <v>500735</v>
      </c>
      <c r="W7" s="9">
        <f t="shared" si="4"/>
        <v>100</v>
      </c>
      <c r="X7" s="59">
        <v>503603</v>
      </c>
    </row>
    <row r="8" spans="1:24" s="6" customFormat="1" ht="9.9499999999999993" customHeight="1" x14ac:dyDescent="0.2">
      <c r="A8" s="171" t="s">
        <v>3</v>
      </c>
      <c r="B8" s="825" t="s">
        <v>45</v>
      </c>
      <c r="C8" s="826"/>
      <c r="D8" s="172" t="s">
        <v>25</v>
      </c>
      <c r="E8" s="38">
        <f t="shared" si="5"/>
        <v>10000</v>
      </c>
      <c r="F8" s="39">
        <f t="shared" si="5"/>
        <v>3000</v>
      </c>
      <c r="G8" s="39">
        <f t="shared" si="5"/>
        <v>2570</v>
      </c>
      <c r="H8" s="10">
        <f t="shared" si="0"/>
        <v>85.666666666666671</v>
      </c>
      <c r="I8" s="40">
        <f>SUM(N8,S8)</f>
        <v>8068</v>
      </c>
      <c r="J8" s="196">
        <v>10000</v>
      </c>
      <c r="K8" s="157">
        <v>3000</v>
      </c>
      <c r="L8" s="157">
        <v>2570</v>
      </c>
      <c r="M8" s="158">
        <f t="shared" si="2"/>
        <v>85.666666666666671</v>
      </c>
      <c r="N8" s="198">
        <v>8068</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32345742</v>
      </c>
      <c r="F9" s="43">
        <f t="shared" si="5"/>
        <v>34031903</v>
      </c>
      <c r="G9" s="43">
        <f t="shared" si="5"/>
        <v>34031903</v>
      </c>
      <c r="H9" s="26">
        <f t="shared" si="0"/>
        <v>100</v>
      </c>
      <c r="I9" s="44">
        <f>SUM(N9,S9)</f>
        <v>32137661</v>
      </c>
      <c r="J9" s="199">
        <v>4363000</v>
      </c>
      <c r="K9" s="203">
        <v>5012045</v>
      </c>
      <c r="L9" s="157">
        <v>5012045</v>
      </c>
      <c r="M9" s="201">
        <f t="shared" si="2"/>
        <v>100</v>
      </c>
      <c r="N9" s="202">
        <v>4426884</v>
      </c>
      <c r="O9" s="160">
        <v>27982742</v>
      </c>
      <c r="P9" s="203">
        <v>29019858</v>
      </c>
      <c r="Q9" s="203">
        <v>29019858</v>
      </c>
      <c r="R9" s="201">
        <f t="shared" si="3"/>
        <v>100</v>
      </c>
      <c r="S9" s="202">
        <v>27710777</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32765742</v>
      </c>
      <c r="F11" s="29">
        <f>SUM(F12:F31)</f>
        <v>34792565</v>
      </c>
      <c r="G11" s="29">
        <f>SUM(G12:G31)</f>
        <v>34751144.030000001</v>
      </c>
      <c r="H11" s="24">
        <f t="shared" si="0"/>
        <v>99.880948788915106</v>
      </c>
      <c r="I11" s="30">
        <f>SUM(I12:I31)</f>
        <v>33018358</v>
      </c>
      <c r="J11" s="29">
        <f>SUM(J12:J30)</f>
        <v>4783000</v>
      </c>
      <c r="K11" s="29">
        <f>SUM(K12:K30)</f>
        <v>5772707</v>
      </c>
      <c r="L11" s="29">
        <f>SUM(L12:L30)</f>
        <v>5731286.0299999993</v>
      </c>
      <c r="M11" s="24">
        <f t="shared" si="2"/>
        <v>99.28246886599301</v>
      </c>
      <c r="N11" s="30">
        <f>SUM(N12:N30)</f>
        <v>5307581</v>
      </c>
      <c r="O11" s="29">
        <f>SUM(O12:O30)</f>
        <v>27982742</v>
      </c>
      <c r="P11" s="29">
        <f>SUM(P12:P30)</f>
        <v>29019858</v>
      </c>
      <c r="Q11" s="29">
        <f>SUM(Q12:Q30)</f>
        <v>29019858</v>
      </c>
      <c r="R11" s="24">
        <f t="shared" si="3"/>
        <v>100</v>
      </c>
      <c r="S11" s="30">
        <f>SUM(S12:S30)</f>
        <v>27710777</v>
      </c>
      <c r="T11" s="29">
        <f>SUM(T12:T30)</f>
        <v>203400</v>
      </c>
      <c r="U11" s="29">
        <f>SUM(U12:U30)</f>
        <v>277364</v>
      </c>
      <c r="V11" s="29">
        <f>SUM(V12:V30)</f>
        <v>275940</v>
      </c>
      <c r="W11" s="24">
        <f t="shared" si="4"/>
        <v>99.486595232257969</v>
      </c>
      <c r="X11" s="29">
        <f>SUM(X12:X30)</f>
        <v>202725</v>
      </c>
    </row>
    <row r="12" spans="1:24" s="6" customFormat="1" ht="9.9499999999999993" customHeight="1" x14ac:dyDescent="0.2">
      <c r="A12" s="178" t="s">
        <v>8</v>
      </c>
      <c r="B12" s="827" t="s">
        <v>28</v>
      </c>
      <c r="C12" s="828"/>
      <c r="D12" s="238" t="s">
        <v>25</v>
      </c>
      <c r="E12" s="32">
        <f t="shared" ref="E12:I29" si="6">SUM(J12,O12)</f>
        <v>696867</v>
      </c>
      <c r="F12" s="33">
        <f t="shared" si="6"/>
        <v>1162218</v>
      </c>
      <c r="G12" s="33">
        <f t="shared" si="6"/>
        <v>1162218.0699999998</v>
      </c>
      <c r="H12" s="9">
        <f t="shared" si="0"/>
        <v>100.00000602296642</v>
      </c>
      <c r="I12" s="34">
        <f t="shared" si="6"/>
        <v>953118</v>
      </c>
      <c r="J12" s="108">
        <v>375000</v>
      </c>
      <c r="K12" s="157">
        <v>807699</v>
      </c>
      <c r="L12" s="157">
        <v>807699.07</v>
      </c>
      <c r="M12" s="9">
        <f t="shared" si="2"/>
        <v>100.00000866659484</v>
      </c>
      <c r="N12" s="48">
        <v>760687</v>
      </c>
      <c r="O12" s="49">
        <v>321867</v>
      </c>
      <c r="P12" s="157">
        <v>354519</v>
      </c>
      <c r="Q12" s="157">
        <v>354519</v>
      </c>
      <c r="R12" s="9">
        <f t="shared" si="3"/>
        <v>100</v>
      </c>
      <c r="S12" s="50">
        <v>192431</v>
      </c>
      <c r="T12" s="49">
        <v>20000</v>
      </c>
      <c r="U12" s="47">
        <v>11000</v>
      </c>
      <c r="V12" s="157">
        <v>10480</v>
      </c>
      <c r="W12" s="9">
        <f t="shared" si="4"/>
        <v>95.27272727272728</v>
      </c>
      <c r="X12" s="51">
        <v>8696</v>
      </c>
    </row>
    <row r="13" spans="1:24" s="6" customFormat="1" ht="9.9499999999999993" customHeight="1" x14ac:dyDescent="0.2">
      <c r="A13" s="180" t="s">
        <v>10</v>
      </c>
      <c r="B13" s="820" t="s">
        <v>29</v>
      </c>
      <c r="C13" s="821"/>
      <c r="D13" s="172" t="s">
        <v>25</v>
      </c>
      <c r="E13" s="38">
        <f t="shared" si="6"/>
        <v>3150000</v>
      </c>
      <c r="F13" s="39">
        <f t="shared" si="6"/>
        <v>2550000</v>
      </c>
      <c r="G13" s="39">
        <f t="shared" si="6"/>
        <v>2508828.14</v>
      </c>
      <c r="H13" s="10">
        <f t="shared" si="0"/>
        <v>98.385417254901967</v>
      </c>
      <c r="I13" s="40">
        <f t="shared" si="6"/>
        <v>2763232</v>
      </c>
      <c r="J13" s="208">
        <v>3150000</v>
      </c>
      <c r="K13" s="157">
        <v>2550000</v>
      </c>
      <c r="L13" s="157">
        <v>2508828.14</v>
      </c>
      <c r="M13" s="158">
        <f t="shared" si="2"/>
        <v>98.385417254901967</v>
      </c>
      <c r="N13" s="198">
        <v>2763232</v>
      </c>
      <c r="O13" s="156"/>
      <c r="P13" s="157"/>
      <c r="Q13" s="157"/>
      <c r="R13" s="158" t="e">
        <f t="shared" si="3"/>
        <v>#DIV/0!</v>
      </c>
      <c r="S13" s="198"/>
      <c r="T13" s="156">
        <v>134000</v>
      </c>
      <c r="U13" s="157">
        <v>165000</v>
      </c>
      <c r="V13" s="157">
        <v>164684</v>
      </c>
      <c r="W13" s="158">
        <f t="shared" si="4"/>
        <v>99.808484848484852</v>
      </c>
      <c r="X13" s="159">
        <v>154497</v>
      </c>
    </row>
    <row r="14" spans="1:24" s="6" customFormat="1" ht="9.9499999999999993" customHeight="1" x14ac:dyDescent="0.2">
      <c r="A14" s="180" t="s">
        <v>11</v>
      </c>
      <c r="B14" s="234" t="s">
        <v>60</v>
      </c>
      <c r="C14" s="235"/>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530000</v>
      </c>
      <c r="F15" s="39">
        <f t="shared" si="6"/>
        <v>562898</v>
      </c>
      <c r="G15" s="39">
        <f t="shared" si="6"/>
        <v>562897.92000000004</v>
      </c>
      <c r="H15" s="10">
        <f t="shared" si="0"/>
        <v>99.99998578783368</v>
      </c>
      <c r="I15" s="40">
        <f t="shared" si="6"/>
        <v>457251</v>
      </c>
      <c r="J15" s="208">
        <v>530000</v>
      </c>
      <c r="K15" s="157">
        <v>562898</v>
      </c>
      <c r="L15" s="157">
        <v>562897.92000000004</v>
      </c>
      <c r="M15" s="158">
        <f t="shared" si="2"/>
        <v>99.99998578783368</v>
      </c>
      <c r="N15" s="198">
        <v>457251</v>
      </c>
      <c r="O15" s="156"/>
      <c r="P15" s="157"/>
      <c r="Q15" s="157"/>
      <c r="R15" s="158" t="e">
        <f t="shared" si="3"/>
        <v>#DIV/0!</v>
      </c>
      <c r="S15" s="198"/>
      <c r="T15" s="156">
        <v>2000</v>
      </c>
      <c r="U15" s="157">
        <v>35000</v>
      </c>
      <c r="V15" s="157">
        <v>34505</v>
      </c>
      <c r="W15" s="158">
        <f t="shared" si="4"/>
        <v>98.585714285714289</v>
      </c>
      <c r="X15" s="159">
        <v>33</v>
      </c>
    </row>
    <row r="16" spans="1:24" s="6" customFormat="1" ht="9.9499999999999993" customHeight="1" x14ac:dyDescent="0.2">
      <c r="A16" s="180" t="s">
        <v>13</v>
      </c>
      <c r="B16" s="820" t="s">
        <v>30</v>
      </c>
      <c r="C16" s="821"/>
      <c r="D16" s="172" t="s">
        <v>25</v>
      </c>
      <c r="E16" s="38">
        <f t="shared" si="6"/>
        <v>32000</v>
      </c>
      <c r="F16" s="39">
        <f t="shared" si="6"/>
        <v>31326</v>
      </c>
      <c r="G16" s="39">
        <f t="shared" si="6"/>
        <v>31294</v>
      </c>
      <c r="H16" s="10">
        <f t="shared" si="0"/>
        <v>99.897848432611895</v>
      </c>
      <c r="I16" s="40">
        <f t="shared" si="6"/>
        <v>29650</v>
      </c>
      <c r="J16" s="208">
        <v>2000</v>
      </c>
      <c r="K16" s="157">
        <v>450</v>
      </c>
      <c r="L16" s="157">
        <v>418</v>
      </c>
      <c r="M16" s="158">
        <f t="shared" si="2"/>
        <v>92.888888888888886</v>
      </c>
      <c r="N16" s="198">
        <v>2024</v>
      </c>
      <c r="O16" s="156">
        <v>30000</v>
      </c>
      <c r="P16" s="157">
        <v>30876</v>
      </c>
      <c r="Q16" s="157">
        <v>30876</v>
      </c>
      <c r="R16" s="158">
        <f t="shared" si="3"/>
        <v>100</v>
      </c>
      <c r="S16" s="198">
        <v>27626</v>
      </c>
      <c r="T16" s="156"/>
      <c r="U16" s="157"/>
      <c r="V16" s="157"/>
      <c r="W16" s="158" t="e">
        <f t="shared" si="4"/>
        <v>#DIV/0!</v>
      </c>
      <c r="X16" s="159"/>
    </row>
    <row r="17" spans="1:24" s="6" customFormat="1" ht="9.9499999999999993" customHeight="1" x14ac:dyDescent="0.2">
      <c r="A17" s="180" t="s">
        <v>14</v>
      </c>
      <c r="B17" s="234" t="s">
        <v>46</v>
      </c>
      <c r="C17" s="235"/>
      <c r="D17" s="172" t="s">
        <v>25</v>
      </c>
      <c r="E17" s="38">
        <f t="shared" si="6"/>
        <v>2000</v>
      </c>
      <c r="F17" s="39">
        <f t="shared" si="6"/>
        <v>2000</v>
      </c>
      <c r="G17" s="39">
        <f t="shared" si="6"/>
        <v>1994</v>
      </c>
      <c r="H17" s="10">
        <f t="shared" si="0"/>
        <v>99.7</v>
      </c>
      <c r="I17" s="40">
        <f t="shared" si="6"/>
        <v>1678</v>
      </c>
      <c r="J17" s="208">
        <v>2000</v>
      </c>
      <c r="K17" s="157">
        <v>2000</v>
      </c>
      <c r="L17" s="157">
        <v>1994</v>
      </c>
      <c r="M17" s="158">
        <f t="shared" si="2"/>
        <v>99.7</v>
      </c>
      <c r="N17" s="198">
        <v>1678</v>
      </c>
      <c r="O17" s="156"/>
      <c r="P17" s="157"/>
      <c r="Q17" s="157"/>
      <c r="R17" s="158" t="e">
        <f t="shared" si="3"/>
        <v>#DIV/0!</v>
      </c>
      <c r="S17" s="198"/>
      <c r="T17" s="156"/>
      <c r="U17" s="157">
        <v>6500</v>
      </c>
      <c r="V17" s="157">
        <v>6409</v>
      </c>
      <c r="W17" s="158">
        <f t="shared" si="4"/>
        <v>98.6</v>
      </c>
      <c r="X17" s="159"/>
    </row>
    <row r="18" spans="1:24" s="6" customFormat="1" ht="9.9499999999999993" customHeight="1" x14ac:dyDescent="0.2">
      <c r="A18" s="180" t="s">
        <v>15</v>
      </c>
      <c r="B18" s="820" t="s">
        <v>31</v>
      </c>
      <c r="C18" s="821"/>
      <c r="D18" s="172" t="s">
        <v>25</v>
      </c>
      <c r="E18" s="38">
        <f t="shared" si="6"/>
        <v>471900</v>
      </c>
      <c r="F18" s="39">
        <f t="shared" si="6"/>
        <v>435917</v>
      </c>
      <c r="G18" s="39">
        <f t="shared" si="6"/>
        <v>435828.68</v>
      </c>
      <c r="H18" s="10">
        <f t="shared" si="0"/>
        <v>99.979739262290764</v>
      </c>
      <c r="I18" s="40">
        <f t="shared" si="6"/>
        <v>475502</v>
      </c>
      <c r="J18" s="208">
        <v>371900</v>
      </c>
      <c r="K18" s="157">
        <v>330400</v>
      </c>
      <c r="L18" s="157">
        <v>330311.67999999999</v>
      </c>
      <c r="M18" s="158">
        <f t="shared" si="2"/>
        <v>99.97326876513317</v>
      </c>
      <c r="N18" s="198">
        <v>389538</v>
      </c>
      <c r="O18" s="156">
        <v>100000</v>
      </c>
      <c r="P18" s="157">
        <v>105517</v>
      </c>
      <c r="Q18" s="157">
        <v>105517</v>
      </c>
      <c r="R18" s="158">
        <f t="shared" si="3"/>
        <v>100</v>
      </c>
      <c r="S18" s="198">
        <v>85964</v>
      </c>
      <c r="T18" s="156"/>
      <c r="U18" s="157"/>
      <c r="V18" s="157"/>
      <c r="W18" s="158" t="e">
        <f t="shared" si="4"/>
        <v>#DIV/0!</v>
      </c>
      <c r="X18" s="159"/>
    </row>
    <row r="19" spans="1:24" s="11" customFormat="1" ht="9.9499999999999993" customHeight="1" x14ac:dyDescent="0.2">
      <c r="A19" s="180" t="s">
        <v>16</v>
      </c>
      <c r="B19" s="820" t="s">
        <v>32</v>
      </c>
      <c r="C19" s="821"/>
      <c r="D19" s="172" t="s">
        <v>25</v>
      </c>
      <c r="E19" s="38">
        <f t="shared" si="6"/>
        <v>20429557</v>
      </c>
      <c r="F19" s="39">
        <f t="shared" si="6"/>
        <v>21209432</v>
      </c>
      <c r="G19" s="39">
        <f t="shared" si="6"/>
        <v>21209432</v>
      </c>
      <c r="H19" s="10">
        <f t="shared" si="0"/>
        <v>100</v>
      </c>
      <c r="I19" s="40">
        <f t="shared" si="6"/>
        <v>20208371</v>
      </c>
      <c r="J19" s="209">
        <v>166600</v>
      </c>
      <c r="K19" s="157">
        <v>187070</v>
      </c>
      <c r="L19" s="157">
        <v>187070</v>
      </c>
      <c r="M19" s="158">
        <f t="shared" si="2"/>
        <v>100</v>
      </c>
      <c r="N19" s="198">
        <v>150000</v>
      </c>
      <c r="O19" s="156">
        <v>20262957</v>
      </c>
      <c r="P19" s="157">
        <v>21022362</v>
      </c>
      <c r="Q19" s="157">
        <v>21022362</v>
      </c>
      <c r="R19" s="158">
        <f t="shared" si="3"/>
        <v>100</v>
      </c>
      <c r="S19" s="198">
        <v>20058371</v>
      </c>
      <c r="T19" s="156">
        <v>35000</v>
      </c>
      <c r="U19" s="211">
        <v>35000</v>
      </c>
      <c r="V19" s="157">
        <v>35000</v>
      </c>
      <c r="W19" s="158">
        <f t="shared" si="4"/>
        <v>100</v>
      </c>
      <c r="X19" s="159">
        <v>29167</v>
      </c>
    </row>
    <row r="20" spans="1:24" s="6" customFormat="1" ht="9.9499999999999993" customHeight="1" x14ac:dyDescent="0.2">
      <c r="A20" s="180" t="s">
        <v>17</v>
      </c>
      <c r="B20" s="820" t="s">
        <v>47</v>
      </c>
      <c r="C20" s="821"/>
      <c r="D20" s="172" t="s">
        <v>25</v>
      </c>
      <c r="E20" s="38">
        <f t="shared" si="6"/>
        <v>6943778</v>
      </c>
      <c r="F20" s="39">
        <f t="shared" si="6"/>
        <v>7194272</v>
      </c>
      <c r="G20" s="39">
        <f t="shared" si="6"/>
        <v>7194272</v>
      </c>
      <c r="H20" s="10">
        <f t="shared" si="0"/>
        <v>100</v>
      </c>
      <c r="I20" s="40">
        <f t="shared" si="6"/>
        <v>6836918</v>
      </c>
      <c r="J20" s="208"/>
      <c r="K20" s="157">
        <v>12415</v>
      </c>
      <c r="L20" s="157">
        <f>12264+151</f>
        <v>12415</v>
      </c>
      <c r="M20" s="158">
        <f t="shared" si="2"/>
        <v>100</v>
      </c>
      <c r="N20" s="198"/>
      <c r="O20" s="156">
        <v>6943778</v>
      </c>
      <c r="P20" s="157">
        <v>7181857</v>
      </c>
      <c r="Q20" s="157">
        <f>7094248+87609</f>
        <v>7181857</v>
      </c>
      <c r="R20" s="158">
        <f t="shared" si="3"/>
        <v>100</v>
      </c>
      <c r="S20" s="198">
        <v>6836918</v>
      </c>
      <c r="T20" s="156">
        <v>12050</v>
      </c>
      <c r="U20" s="157">
        <v>12050</v>
      </c>
      <c r="V20" s="157">
        <f>11900+148</f>
        <v>12048</v>
      </c>
      <c r="W20" s="158">
        <f t="shared" si="4"/>
        <v>99.983402489626556</v>
      </c>
      <c r="X20" s="159">
        <v>10040</v>
      </c>
    </row>
    <row r="21" spans="1:24" s="6" customFormat="1" ht="9.9499999999999993" customHeight="1" x14ac:dyDescent="0.2">
      <c r="A21" s="180" t="s">
        <v>18</v>
      </c>
      <c r="B21" s="820" t="s">
        <v>48</v>
      </c>
      <c r="C21" s="821"/>
      <c r="D21" s="172" t="s">
        <v>25</v>
      </c>
      <c r="E21" s="38">
        <f t="shared" si="6"/>
        <v>244140</v>
      </c>
      <c r="F21" s="39">
        <f t="shared" si="6"/>
        <v>241245</v>
      </c>
      <c r="G21" s="39">
        <f t="shared" si="6"/>
        <v>241245</v>
      </c>
      <c r="H21" s="10">
        <f t="shared" si="0"/>
        <v>100</v>
      </c>
      <c r="I21" s="40">
        <f t="shared" si="6"/>
        <v>221790</v>
      </c>
      <c r="J21" s="208">
        <v>20000</v>
      </c>
      <c r="K21" s="157">
        <v>12361</v>
      </c>
      <c r="L21" s="157">
        <v>12361</v>
      </c>
      <c r="M21" s="158">
        <f t="shared" si="2"/>
        <v>100</v>
      </c>
      <c r="N21" s="198">
        <v>13579</v>
      </c>
      <c r="O21" s="156">
        <v>224140</v>
      </c>
      <c r="P21" s="157">
        <v>228884</v>
      </c>
      <c r="Q21" s="157">
        <v>228884</v>
      </c>
      <c r="R21" s="158">
        <f t="shared" si="3"/>
        <v>100</v>
      </c>
      <c r="S21" s="198">
        <v>208211</v>
      </c>
      <c r="T21" s="156">
        <v>350</v>
      </c>
      <c r="U21" s="157">
        <v>350</v>
      </c>
      <c r="V21" s="157">
        <v>350</v>
      </c>
      <c r="W21" s="158">
        <f t="shared" si="4"/>
        <v>100</v>
      </c>
      <c r="X21" s="159">
        <v>292</v>
      </c>
    </row>
    <row r="22" spans="1:24" s="6" customFormat="1" ht="9.9499999999999993" customHeight="1" x14ac:dyDescent="0.2">
      <c r="A22" s="671" t="s">
        <v>19</v>
      </c>
      <c r="B22" s="839" t="s">
        <v>61</v>
      </c>
      <c r="C22" s="840"/>
      <c r="D22" s="672" t="s">
        <v>25</v>
      </c>
      <c r="E22" s="673">
        <f t="shared" si="6"/>
        <v>0</v>
      </c>
      <c r="F22" s="674">
        <f t="shared" si="6"/>
        <v>200</v>
      </c>
      <c r="G22" s="674">
        <f t="shared" si="6"/>
        <v>200</v>
      </c>
      <c r="H22" s="675">
        <f t="shared" si="0"/>
        <v>100</v>
      </c>
      <c r="I22" s="676">
        <f t="shared" si="6"/>
        <v>0</v>
      </c>
      <c r="J22" s="208"/>
      <c r="K22" s="157">
        <v>200</v>
      </c>
      <c r="L22" s="157">
        <v>200</v>
      </c>
      <c r="M22" s="158">
        <f t="shared" si="2"/>
        <v>100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0</v>
      </c>
      <c r="J25" s="208"/>
      <c r="K25" s="157"/>
      <c r="L25" s="157"/>
      <c r="M25" s="158" t="e">
        <f t="shared" si="2"/>
        <v>#DIV/0!</v>
      </c>
      <c r="N25" s="214"/>
      <c r="O25" s="215"/>
      <c r="P25" s="157"/>
      <c r="Q25" s="157"/>
      <c r="R25" s="158" t="e">
        <f t="shared" si="3"/>
        <v>#DIV/0!</v>
      </c>
      <c r="S25" s="216"/>
      <c r="T25" s="156"/>
      <c r="U25" s="213"/>
      <c r="V25" s="213"/>
      <c r="W25" s="158" t="e">
        <f t="shared" si="4"/>
        <v>#DIV/0!</v>
      </c>
      <c r="X25" s="159"/>
    </row>
    <row r="26" spans="1:24" s="6" customFormat="1" ht="9.9499999999999993" customHeight="1" x14ac:dyDescent="0.2">
      <c r="A26" s="671" t="s">
        <v>23</v>
      </c>
      <c r="B26" s="839" t="s">
        <v>63</v>
      </c>
      <c r="C26" s="840"/>
      <c r="D26" s="672" t="s">
        <v>25</v>
      </c>
      <c r="E26" s="673">
        <f t="shared" si="6"/>
        <v>89500</v>
      </c>
      <c r="F26" s="674">
        <f t="shared" si="6"/>
        <v>729781</v>
      </c>
      <c r="G26" s="674">
        <f t="shared" si="6"/>
        <v>729781</v>
      </c>
      <c r="H26" s="675">
        <f t="shared" si="0"/>
        <v>100</v>
      </c>
      <c r="I26" s="676">
        <f t="shared" si="6"/>
        <v>78868</v>
      </c>
      <c r="J26" s="208">
        <v>89500</v>
      </c>
      <c r="K26" s="157">
        <v>729781</v>
      </c>
      <c r="L26" s="157">
        <v>729781</v>
      </c>
      <c r="M26" s="158">
        <f t="shared" si="2"/>
        <v>100</v>
      </c>
      <c r="N26" s="198">
        <v>78868</v>
      </c>
      <c r="O26" s="218"/>
      <c r="P26" s="157"/>
      <c r="Q26" s="157"/>
      <c r="R26" s="158" t="e">
        <f t="shared" si="3"/>
        <v>#DIV/0!</v>
      </c>
      <c r="S26" s="214"/>
      <c r="T26" s="156"/>
      <c r="U26" s="213"/>
      <c r="V26" s="213"/>
      <c r="W26" s="158" t="e">
        <f t="shared" si="4"/>
        <v>#DIV/0!</v>
      </c>
      <c r="X26" s="159"/>
    </row>
    <row r="27" spans="1:24" s="13" customFormat="1" ht="9.9499999999999993" customHeight="1" x14ac:dyDescent="0.2">
      <c r="A27" s="180" t="s">
        <v>43</v>
      </c>
      <c r="B27" s="234" t="s">
        <v>64</v>
      </c>
      <c r="C27" s="235"/>
      <c r="D27" s="172" t="s">
        <v>25</v>
      </c>
      <c r="E27" s="38">
        <f t="shared" si="6"/>
        <v>0</v>
      </c>
      <c r="F27" s="39">
        <f t="shared" si="6"/>
        <v>0</v>
      </c>
      <c r="G27" s="39">
        <f t="shared" si="6"/>
        <v>0</v>
      </c>
      <c r="H27" s="14" t="e">
        <f t="shared" si="0"/>
        <v>#DIV/0!</v>
      </c>
      <c r="I27" s="40">
        <f t="shared" si="6"/>
        <v>0</v>
      </c>
      <c r="J27" s="109"/>
      <c r="K27" s="54"/>
      <c r="L27" s="54"/>
      <c r="M27" s="10" t="e">
        <f t="shared" ref="M27:M33" si="7">L27/K27*100</f>
        <v>#DIV/0!</v>
      </c>
      <c r="N27" s="40"/>
      <c r="O27" s="109"/>
      <c r="P27" s="111"/>
      <c r="Q27" s="54"/>
      <c r="R27" s="10" t="e">
        <f t="shared" ref="R27:R33" si="8">Q27/P27*100</f>
        <v>#DIV/0!</v>
      </c>
      <c r="S27" s="52"/>
      <c r="T27" s="109"/>
      <c r="U27" s="110"/>
      <c r="V27" s="39"/>
      <c r="W27" s="10" t="e">
        <f t="shared" ref="W27:W33" si="9">V27/U27*100</f>
        <v>#DIV/0!</v>
      </c>
      <c r="X27" s="41"/>
    </row>
    <row r="28" spans="1:24" s="13" customFormat="1" ht="9.9499999999999993" customHeight="1" x14ac:dyDescent="0.2">
      <c r="A28" s="180" t="s">
        <v>49</v>
      </c>
      <c r="B28" s="234" t="s">
        <v>92</v>
      </c>
      <c r="C28" s="235"/>
      <c r="D28" s="172" t="s">
        <v>25</v>
      </c>
      <c r="E28" s="38">
        <f>SUM(J28,O28)</f>
        <v>175000</v>
      </c>
      <c r="F28" s="39">
        <f>SUM(K28,P28)</f>
        <v>627686</v>
      </c>
      <c r="G28" s="39">
        <f>SUM(L28,Q28)</f>
        <v>627686</v>
      </c>
      <c r="H28" s="14">
        <f>G28/F28*100</f>
        <v>100</v>
      </c>
      <c r="I28" s="40">
        <f>SUM(N28,S28)</f>
        <v>953671</v>
      </c>
      <c r="J28" s="208">
        <v>75000</v>
      </c>
      <c r="K28" s="157">
        <v>531843</v>
      </c>
      <c r="L28" s="157">
        <v>531843</v>
      </c>
      <c r="M28" s="158">
        <f t="shared" si="7"/>
        <v>100</v>
      </c>
      <c r="N28" s="214">
        <v>652415</v>
      </c>
      <c r="O28" s="218">
        <v>100000</v>
      </c>
      <c r="P28" s="157">
        <v>95843</v>
      </c>
      <c r="Q28" s="157">
        <v>95843</v>
      </c>
      <c r="R28" s="158">
        <f t="shared" si="8"/>
        <v>100</v>
      </c>
      <c r="S28" s="214">
        <v>301256</v>
      </c>
      <c r="T28" s="156"/>
      <c r="U28" s="213">
        <v>12464</v>
      </c>
      <c r="V28" s="213">
        <v>12464</v>
      </c>
      <c r="W28" s="158">
        <f t="shared" si="9"/>
        <v>100</v>
      </c>
      <c r="X28" s="159"/>
    </row>
    <row r="29" spans="1:24" s="15" customFormat="1" ht="9.9499999999999993" customHeight="1" x14ac:dyDescent="0.2">
      <c r="A29" s="180" t="s">
        <v>50</v>
      </c>
      <c r="B29" s="820" t="s">
        <v>65</v>
      </c>
      <c r="C29" s="821"/>
      <c r="D29" s="172" t="s">
        <v>25</v>
      </c>
      <c r="E29" s="38">
        <f t="shared" si="6"/>
        <v>1000</v>
      </c>
      <c r="F29" s="39">
        <f t="shared" si="6"/>
        <v>45590</v>
      </c>
      <c r="G29" s="39">
        <f t="shared" si="6"/>
        <v>45467.22</v>
      </c>
      <c r="H29" s="14">
        <f t="shared" si="0"/>
        <v>99.730686554068882</v>
      </c>
      <c r="I29" s="40">
        <f t="shared" si="6"/>
        <v>38309</v>
      </c>
      <c r="J29" s="208">
        <v>1000</v>
      </c>
      <c r="K29" s="157">
        <v>45590</v>
      </c>
      <c r="L29" s="157">
        <v>45467.22</v>
      </c>
      <c r="M29" s="158">
        <f t="shared" si="7"/>
        <v>99.730686554068882</v>
      </c>
      <c r="N29" s="214">
        <v>38309</v>
      </c>
      <c r="O29" s="218"/>
      <c r="P29" s="157"/>
      <c r="Q29" s="197"/>
      <c r="R29" s="158" t="e">
        <f t="shared" si="8"/>
        <v>#DIV/0!</v>
      </c>
      <c r="S29" s="214"/>
      <c r="T29" s="156"/>
      <c r="U29" s="213"/>
      <c r="V29" s="213"/>
      <c r="W29" s="158" t="e">
        <f t="shared" si="9"/>
        <v>#DIV/0!</v>
      </c>
      <c r="X29" s="159"/>
    </row>
    <row r="30" spans="1:24" s="6" customFormat="1" ht="9.75" x14ac:dyDescent="0.2">
      <c r="A30" s="180" t="s">
        <v>52</v>
      </c>
      <c r="B30" s="234" t="s">
        <v>51</v>
      </c>
      <c r="C30" s="235"/>
      <c r="D30" s="172" t="s">
        <v>25</v>
      </c>
      <c r="E30" s="38">
        <f t="shared" ref="E30:G31" si="10">SUM(J30,O30)</f>
        <v>0</v>
      </c>
      <c r="F30" s="39">
        <f t="shared" si="10"/>
        <v>0</v>
      </c>
      <c r="G30" s="39">
        <f t="shared" si="10"/>
        <v>0</v>
      </c>
      <c r="H30" s="14" t="e">
        <f t="shared" si="0"/>
        <v>#DIV/0!</v>
      </c>
      <c r="I30" s="40">
        <f>SUM(N30,S30)</f>
        <v>0</v>
      </c>
      <c r="J30" s="208"/>
      <c r="K30" s="197"/>
      <c r="L30" s="157"/>
      <c r="M30" s="158" t="e">
        <f t="shared" si="7"/>
        <v>#DIV/0!</v>
      </c>
      <c r="N30" s="214"/>
      <c r="O30" s="218"/>
      <c r="P30" s="157"/>
      <c r="Q30" s="197"/>
      <c r="R30" s="158" t="e">
        <f t="shared" si="8"/>
        <v>#DIV/0!</v>
      </c>
      <c r="S30" s="214"/>
      <c r="T30" s="156"/>
      <c r="U30" s="213"/>
      <c r="V30" s="213"/>
      <c r="W30" s="158" t="e">
        <f t="shared" si="9"/>
        <v>#DIV/0!</v>
      </c>
      <c r="X30" s="159"/>
    </row>
    <row r="31" spans="1:24" s="23" customFormat="1" ht="9.75" x14ac:dyDescent="0.2">
      <c r="A31" s="180" t="s">
        <v>53</v>
      </c>
      <c r="B31" s="335" t="s">
        <v>66</v>
      </c>
      <c r="C31" s="336"/>
      <c r="D31" s="172" t="s">
        <v>25</v>
      </c>
      <c r="E31" s="156">
        <f t="shared" si="10"/>
        <v>0</v>
      </c>
      <c r="F31" s="157">
        <f t="shared" si="10"/>
        <v>0</v>
      </c>
      <c r="G31" s="157">
        <f t="shared" si="10"/>
        <v>0</v>
      </c>
      <c r="H31" s="232" t="e">
        <f t="shared" si="0"/>
        <v>#DIV/0!</v>
      </c>
      <c r="I31" s="198">
        <f>SUM(N31,S31)</f>
        <v>0</v>
      </c>
      <c r="J31" s="208"/>
      <c r="K31" s="224"/>
      <c r="L31" s="224"/>
      <c r="M31" s="158" t="e">
        <f t="shared" si="7"/>
        <v>#DIV/0!</v>
      </c>
      <c r="N31" s="225"/>
      <c r="O31" s="226"/>
      <c r="P31" s="157"/>
      <c r="Q31" s="224"/>
      <c r="R31" s="158" t="e">
        <f t="shared" si="8"/>
        <v>#DIV/0!</v>
      </c>
      <c r="S31" s="225"/>
      <c r="T31" s="156"/>
      <c r="U31" s="228"/>
      <c r="V31" s="228"/>
      <c r="W31" s="158" t="e">
        <f t="shared" si="9"/>
        <v>#DIV/0!</v>
      </c>
      <c r="X31" s="159"/>
    </row>
    <row r="32" spans="1:24" s="23" customFormat="1" ht="9.75" x14ac:dyDescent="0.2">
      <c r="A32" s="183" t="s">
        <v>54</v>
      </c>
      <c r="B32" s="184" t="s">
        <v>67</v>
      </c>
      <c r="C32" s="185"/>
      <c r="D32" s="186" t="s">
        <v>25</v>
      </c>
      <c r="E32" s="160">
        <f>SUM(J32,O32)</f>
        <v>0</v>
      </c>
      <c r="F32" s="203">
        <f>SUM(K32,P32)</f>
        <v>0</v>
      </c>
      <c r="G32" s="203">
        <f>SUM(L32,Q32)</f>
        <v>0</v>
      </c>
      <c r="H32" s="233" t="e">
        <f t="shared" si="0"/>
        <v>#DIV/0!</v>
      </c>
      <c r="I32" s="202">
        <f>SUM(N32,S32)</f>
        <v>0</v>
      </c>
      <c r="J32" s="239"/>
      <c r="K32" s="222"/>
      <c r="L32" s="222"/>
      <c r="M32" s="201" t="e">
        <f t="shared" si="7"/>
        <v>#DIV/0!</v>
      </c>
      <c r="N32" s="231"/>
      <c r="O32" s="239"/>
      <c r="P32" s="240"/>
      <c r="Q32" s="222"/>
      <c r="R32" s="201" t="e">
        <f t="shared" si="8"/>
        <v>#DIV/0!</v>
      </c>
      <c r="S32" s="231"/>
      <c r="T32" s="239"/>
      <c r="U32" s="241"/>
      <c r="V32" s="222"/>
      <c r="W32" s="201" t="e">
        <f t="shared" si="9"/>
        <v>#DIV/0!</v>
      </c>
      <c r="X32" s="161"/>
    </row>
    <row r="33" spans="1:24" s="23" customFormat="1" ht="9.75" x14ac:dyDescent="0.2">
      <c r="A33" s="168" t="s">
        <v>55</v>
      </c>
      <c r="B33" s="21" t="s">
        <v>174</v>
      </c>
      <c r="C33" s="22"/>
      <c r="D33" s="20" t="s">
        <v>25</v>
      </c>
      <c r="E33" s="29">
        <f>E6-E11</f>
        <v>0</v>
      </c>
      <c r="F33" s="29">
        <f>F6-F11</f>
        <v>-133686</v>
      </c>
      <c r="G33" s="29">
        <f>G6-G11</f>
        <v>-92695.030000001192</v>
      </c>
      <c r="H33" s="25">
        <f t="shared" si="0"/>
        <v>69.337873823737112</v>
      </c>
      <c r="I33" s="29">
        <f>I6-I11</f>
        <v>-266106</v>
      </c>
      <c r="J33" s="29">
        <f>J6-J11</f>
        <v>0</v>
      </c>
      <c r="K33" s="29">
        <f>K6-K11</f>
        <v>-133686</v>
      </c>
      <c r="L33" s="29">
        <f>L6-L11</f>
        <v>-92695.029999999329</v>
      </c>
      <c r="M33" s="19">
        <f t="shared" si="7"/>
        <v>69.33787382373572</v>
      </c>
      <c r="N33" s="29">
        <f>N6-N11</f>
        <v>-266106</v>
      </c>
      <c r="O33" s="112">
        <f>O6-O11</f>
        <v>0</v>
      </c>
      <c r="P33" s="29">
        <f>P6-P11</f>
        <v>0</v>
      </c>
      <c r="Q33" s="29">
        <f>Q6-Q11</f>
        <v>0</v>
      </c>
      <c r="R33" s="19" t="e">
        <f t="shared" si="8"/>
        <v>#DIV/0!</v>
      </c>
      <c r="S33" s="29">
        <f>S6-S11</f>
        <v>0</v>
      </c>
      <c r="T33" s="112">
        <f>T6-T11</f>
        <v>196600</v>
      </c>
      <c r="U33" s="29">
        <f>U6-U11</f>
        <v>223371</v>
      </c>
      <c r="V33" s="29">
        <f>V6-V11</f>
        <v>224795</v>
      </c>
      <c r="W33" s="19">
        <f t="shared" si="9"/>
        <v>100.63750442089618</v>
      </c>
      <c r="X33" s="29">
        <f>X6-X11</f>
        <v>300878</v>
      </c>
    </row>
    <row r="34" spans="1:24" s="4" customFormat="1" ht="9" x14ac:dyDescent="0.2">
      <c r="A34" s="187" t="s">
        <v>56</v>
      </c>
      <c r="B34" s="841" t="s">
        <v>24</v>
      </c>
      <c r="C34" s="842"/>
      <c r="D34" s="188" t="s">
        <v>25</v>
      </c>
      <c r="E34" s="434">
        <v>23978</v>
      </c>
      <c r="F34" s="273">
        <v>23884</v>
      </c>
      <c r="G34" s="273">
        <v>23884</v>
      </c>
      <c r="H34" s="12">
        <v>100</v>
      </c>
      <c r="I34" s="435">
        <v>23705</v>
      </c>
      <c r="J34" s="968"/>
      <c r="K34" s="969"/>
      <c r="L34" s="969"/>
      <c r="M34" s="969"/>
      <c r="N34" s="969"/>
      <c r="O34" s="969"/>
      <c r="P34" s="969"/>
      <c r="Q34" s="969"/>
      <c r="R34" s="969"/>
      <c r="S34" s="969"/>
      <c r="T34" s="969"/>
      <c r="U34" s="969"/>
      <c r="V34" s="969"/>
      <c r="W34" s="969"/>
      <c r="X34" s="970"/>
    </row>
    <row r="35" spans="1:24" s="4" customFormat="1" ht="9" x14ac:dyDescent="0.2">
      <c r="A35" s="189" t="s">
        <v>57</v>
      </c>
      <c r="B35" s="829" t="s">
        <v>33</v>
      </c>
      <c r="C35" s="830"/>
      <c r="D35" s="190" t="s">
        <v>26</v>
      </c>
      <c r="E35" s="144">
        <v>71</v>
      </c>
      <c r="F35" s="145">
        <v>74</v>
      </c>
      <c r="G35" s="145">
        <v>74</v>
      </c>
      <c r="H35" s="232">
        <v>100</v>
      </c>
      <c r="I35" s="248">
        <v>71</v>
      </c>
      <c r="J35" s="968"/>
      <c r="K35" s="969"/>
      <c r="L35" s="969"/>
      <c r="M35" s="969"/>
      <c r="N35" s="969"/>
      <c r="O35" s="969"/>
      <c r="P35" s="969"/>
      <c r="Q35" s="969"/>
      <c r="R35" s="969"/>
      <c r="S35" s="969"/>
      <c r="T35" s="969"/>
      <c r="U35" s="969"/>
      <c r="V35" s="969"/>
      <c r="W35" s="969"/>
      <c r="X35" s="970"/>
    </row>
    <row r="36" spans="1:24" s="4" customFormat="1" ht="9" x14ac:dyDescent="0.2">
      <c r="A36" s="191" t="s">
        <v>58</v>
      </c>
      <c r="B36" s="831" t="s">
        <v>27</v>
      </c>
      <c r="C36" s="832"/>
      <c r="D36" s="192" t="s">
        <v>26</v>
      </c>
      <c r="E36" s="146">
        <v>80</v>
      </c>
      <c r="F36" s="249">
        <v>85</v>
      </c>
      <c r="G36" s="249">
        <v>85</v>
      </c>
      <c r="H36" s="233">
        <v>100</v>
      </c>
      <c r="I36" s="250">
        <v>80</v>
      </c>
      <c r="J36" s="971"/>
      <c r="K36" s="972"/>
      <c r="L36" s="972"/>
      <c r="M36" s="972"/>
      <c r="N36" s="972"/>
      <c r="O36" s="972"/>
      <c r="P36" s="972"/>
      <c r="Q36" s="972"/>
      <c r="R36" s="972"/>
      <c r="S36" s="972"/>
      <c r="T36" s="972"/>
      <c r="U36" s="972"/>
      <c r="V36" s="972"/>
      <c r="W36" s="972"/>
      <c r="X36" s="973"/>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5"/>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15">
      <c r="A1" s="989" t="s">
        <v>80</v>
      </c>
      <c r="B1" s="989"/>
      <c r="C1" s="989"/>
      <c r="D1" s="989"/>
      <c r="E1" s="989"/>
      <c r="F1" s="989"/>
      <c r="G1" s="989"/>
      <c r="H1" s="989"/>
      <c r="I1" s="989"/>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331" t="s">
        <v>25</v>
      </c>
      <c r="D5" s="788" t="s">
        <v>176</v>
      </c>
      <c r="E5" s="788"/>
      <c r="F5" s="788"/>
      <c r="G5" s="788"/>
      <c r="H5" s="788"/>
      <c r="I5" s="788"/>
    </row>
    <row r="6" spans="1:9" s="87" customFormat="1" ht="11.25" x14ac:dyDescent="0.2">
      <c r="A6" s="792" t="s">
        <v>177</v>
      </c>
      <c r="B6" s="792"/>
      <c r="C6" s="283">
        <f>SUM(C7:C9)</f>
        <v>253762.25</v>
      </c>
      <c r="D6" s="990"/>
      <c r="E6" s="991"/>
      <c r="F6" s="991"/>
      <c r="G6" s="991"/>
      <c r="H6" s="991"/>
      <c r="I6" s="992"/>
    </row>
    <row r="7" spans="1:9" s="87" customFormat="1" ht="11.25" x14ac:dyDescent="0.2">
      <c r="A7" s="796" t="s">
        <v>69</v>
      </c>
      <c r="B7" s="797"/>
      <c r="C7" s="284">
        <v>189664.25</v>
      </c>
      <c r="D7" s="798" t="s">
        <v>434</v>
      </c>
      <c r="E7" s="798"/>
      <c r="F7" s="798"/>
      <c r="G7" s="798"/>
      <c r="H7" s="798"/>
      <c r="I7" s="798"/>
    </row>
    <row r="8" spans="1:9" s="88" customFormat="1" ht="21.75" customHeight="1" x14ac:dyDescent="0.15">
      <c r="A8" s="757" t="s">
        <v>178</v>
      </c>
      <c r="B8" s="758"/>
      <c r="C8" s="285">
        <v>64098</v>
      </c>
      <c r="D8" s="737" t="s">
        <v>445</v>
      </c>
      <c r="E8" s="737"/>
      <c r="F8" s="737"/>
      <c r="G8" s="737"/>
      <c r="H8" s="737"/>
      <c r="I8" s="737"/>
    </row>
    <row r="9" spans="1:9" s="88" customFormat="1" ht="10.5" x14ac:dyDescent="0.15">
      <c r="A9" s="757" t="s">
        <v>179</v>
      </c>
      <c r="B9" s="758"/>
      <c r="C9" s="285">
        <v>0</v>
      </c>
      <c r="D9" s="980"/>
      <c r="E9" s="981"/>
      <c r="F9" s="981"/>
      <c r="G9" s="981"/>
      <c r="H9" s="981"/>
      <c r="I9" s="982"/>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331" t="s">
        <v>68</v>
      </c>
      <c r="B13" s="331" t="s">
        <v>181</v>
      </c>
      <c r="C13" s="331"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253762.25</v>
      </c>
      <c r="D15" s="295"/>
      <c r="E15" s="296"/>
      <c r="F15" s="296"/>
      <c r="G15" s="296"/>
      <c r="H15" s="296"/>
      <c r="I15" s="296"/>
    </row>
    <row r="16" spans="1:9" s="87" customFormat="1" ht="11.25" x14ac:dyDescent="0.2">
      <c r="A16" s="763"/>
      <c r="B16" s="297" t="s">
        <v>71</v>
      </c>
      <c r="C16" s="298">
        <v>0</v>
      </c>
      <c r="D16" s="299"/>
      <c r="E16" s="300"/>
      <c r="F16" s="300"/>
      <c r="G16" s="300"/>
      <c r="H16" s="300"/>
      <c r="I16" s="300"/>
    </row>
    <row r="17" spans="1:9" s="87" customFormat="1" ht="11.25" x14ac:dyDescent="0.2">
      <c r="A17" s="334" t="s">
        <v>177</v>
      </c>
      <c r="B17" s="302"/>
      <c r="C17" s="283">
        <f>SUM(C14:C16)</f>
        <v>253762.25</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32" t="s">
        <v>181</v>
      </c>
      <c r="B21" s="332" t="s">
        <v>185</v>
      </c>
      <c r="C21" s="307" t="s">
        <v>186</v>
      </c>
      <c r="D21" s="332" t="s">
        <v>187</v>
      </c>
      <c r="E21" s="332" t="s">
        <v>188</v>
      </c>
      <c r="F21" s="764" t="s">
        <v>189</v>
      </c>
      <c r="G21" s="764"/>
      <c r="H21" s="764"/>
      <c r="I21" s="764"/>
    </row>
    <row r="22" spans="1:9" s="87" customFormat="1" ht="11.25" x14ac:dyDescent="0.2">
      <c r="A22" s="310" t="s">
        <v>190</v>
      </c>
      <c r="B22" s="93">
        <v>133585.47</v>
      </c>
      <c r="C22" s="93">
        <v>198096</v>
      </c>
      <c r="D22" s="93">
        <v>107100</v>
      </c>
      <c r="E22" s="93">
        <f>B22+C22-D22</f>
        <v>224581.46999999997</v>
      </c>
      <c r="F22" s="752" t="s">
        <v>1217</v>
      </c>
      <c r="G22" s="752"/>
      <c r="H22" s="752"/>
      <c r="I22" s="752"/>
    </row>
    <row r="23" spans="1:9" s="87" customFormat="1" ht="11.25" x14ac:dyDescent="0.2">
      <c r="A23" s="293" t="s">
        <v>191</v>
      </c>
      <c r="B23" s="148">
        <v>128909.94</v>
      </c>
      <c r="C23" s="148">
        <v>563842</v>
      </c>
      <c r="D23" s="148">
        <v>536734</v>
      </c>
      <c r="E23" s="148">
        <f>B23+C23-D23</f>
        <v>156017.93999999994</v>
      </c>
      <c r="F23" s="737" t="s">
        <v>169</v>
      </c>
      <c r="G23" s="737"/>
      <c r="H23" s="737"/>
      <c r="I23" s="737"/>
    </row>
    <row r="24" spans="1:9" s="87" customFormat="1" ht="11.25" x14ac:dyDescent="0.2">
      <c r="A24" s="293" t="s">
        <v>71</v>
      </c>
      <c r="B24" s="148">
        <v>73787.149999999994</v>
      </c>
      <c r="C24" s="148">
        <v>0</v>
      </c>
      <c r="D24" s="148">
        <v>4210</v>
      </c>
      <c r="E24" s="148">
        <f>B24+C24-D24</f>
        <v>69577.149999999994</v>
      </c>
      <c r="F24" s="737" t="s">
        <v>446</v>
      </c>
      <c r="G24" s="737"/>
      <c r="H24" s="737"/>
      <c r="I24" s="737"/>
    </row>
    <row r="25" spans="1:9" s="87" customFormat="1" ht="21.75" customHeight="1" x14ac:dyDescent="0.2">
      <c r="A25" s="293" t="s">
        <v>193</v>
      </c>
      <c r="B25" s="148">
        <v>215119.31</v>
      </c>
      <c r="C25" s="148">
        <v>145043</v>
      </c>
      <c r="D25" s="148">
        <v>122867</v>
      </c>
      <c r="E25" s="148">
        <f>B25+C25-D25</f>
        <v>237295.31</v>
      </c>
      <c r="F25" s="737" t="s">
        <v>447</v>
      </c>
      <c r="G25" s="737"/>
      <c r="H25" s="737"/>
      <c r="I25" s="737"/>
    </row>
    <row r="26" spans="1:9" s="88" customFormat="1" ht="10.5" x14ac:dyDescent="0.15">
      <c r="A26" s="436" t="s">
        <v>34</v>
      </c>
      <c r="B26" s="437">
        <f>SUM(B22:B25)</f>
        <v>551401.87000000011</v>
      </c>
      <c r="C26" s="437">
        <f t="shared" ref="C26:E26" si="0">SUM(C22:C25)</f>
        <v>906981</v>
      </c>
      <c r="D26" s="437">
        <f t="shared" si="0"/>
        <v>770911</v>
      </c>
      <c r="E26" s="437">
        <f t="shared" si="0"/>
        <v>687471.86999999988</v>
      </c>
      <c r="F26" s="983"/>
      <c r="G26" s="983"/>
      <c r="H26" s="983"/>
      <c r="I26" s="984"/>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331" t="s">
        <v>72</v>
      </c>
      <c r="B30" s="331" t="s">
        <v>25</v>
      </c>
      <c r="C30" s="333" t="s">
        <v>73</v>
      </c>
      <c r="D30" s="788" t="s">
        <v>196</v>
      </c>
      <c r="E30" s="788"/>
      <c r="F30" s="788"/>
      <c r="G30" s="788"/>
      <c r="H30" s="788"/>
      <c r="I30" s="788"/>
    </row>
    <row r="31" spans="1:9" s="87" customFormat="1" ht="11.25" x14ac:dyDescent="0.2">
      <c r="A31" s="153"/>
      <c r="B31" s="132">
        <v>0</v>
      </c>
      <c r="C31" s="337"/>
      <c r="D31" s="856"/>
      <c r="E31" s="857"/>
      <c r="F31" s="857"/>
      <c r="G31" s="857"/>
      <c r="H31" s="857"/>
      <c r="I31" s="858"/>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331" t="s">
        <v>72</v>
      </c>
      <c r="B36" s="331" t="s">
        <v>25</v>
      </c>
      <c r="C36" s="333" t="s">
        <v>73</v>
      </c>
      <c r="D36" s="788" t="s">
        <v>196</v>
      </c>
      <c r="E36" s="788"/>
      <c r="F36" s="788"/>
      <c r="G36" s="788"/>
      <c r="H36" s="788"/>
      <c r="I36" s="788"/>
    </row>
    <row r="37" spans="1:9" s="87" customFormat="1" ht="11.25" x14ac:dyDescent="0.2">
      <c r="A37" s="153"/>
      <c r="B37" s="132">
        <v>0</v>
      </c>
      <c r="C37" s="337"/>
      <c r="D37" s="856"/>
      <c r="E37" s="857"/>
      <c r="F37" s="857"/>
      <c r="G37" s="857"/>
      <c r="H37" s="857"/>
      <c r="I37" s="858"/>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11.25" x14ac:dyDescent="0.2">
      <c r="A42" s="331" t="s">
        <v>25</v>
      </c>
      <c r="B42" s="333" t="s">
        <v>435</v>
      </c>
      <c r="C42" s="765" t="s">
        <v>74</v>
      </c>
      <c r="D42" s="765"/>
      <c r="E42" s="765"/>
      <c r="F42" s="765"/>
      <c r="G42" s="765"/>
      <c r="H42" s="765"/>
      <c r="I42" s="765"/>
    </row>
    <row r="43" spans="1:9" s="87" customFormat="1" ht="11.25" x14ac:dyDescent="0.2">
      <c r="A43" s="124">
        <v>1400</v>
      </c>
      <c r="B43" s="124">
        <v>1400</v>
      </c>
      <c r="C43" s="847" t="s">
        <v>448</v>
      </c>
      <c r="D43" s="847"/>
      <c r="E43" s="847"/>
      <c r="F43" s="847"/>
      <c r="G43" s="847"/>
      <c r="H43" s="847"/>
      <c r="I43" s="847"/>
    </row>
    <row r="44" spans="1:9" s="87" customFormat="1" ht="11.25" x14ac:dyDescent="0.2">
      <c r="A44" s="338">
        <v>13500</v>
      </c>
      <c r="B44" s="338">
        <v>13500</v>
      </c>
      <c r="C44" s="985" t="s">
        <v>449</v>
      </c>
      <c r="D44" s="986"/>
      <c r="E44" s="986"/>
      <c r="F44" s="986"/>
      <c r="G44" s="986"/>
      <c r="H44" s="986"/>
      <c r="I44" s="987"/>
    </row>
    <row r="45" spans="1:9" s="87" customFormat="1" ht="11.25" x14ac:dyDescent="0.2">
      <c r="A45" s="338">
        <v>14700</v>
      </c>
      <c r="B45" s="338">
        <v>14700</v>
      </c>
      <c r="C45" s="862" t="s">
        <v>450</v>
      </c>
      <c r="D45" s="863"/>
      <c r="E45" s="863"/>
      <c r="F45" s="863"/>
      <c r="G45" s="863"/>
      <c r="H45" s="863"/>
      <c r="I45" s="988"/>
    </row>
    <row r="46" spans="1:9" s="87" customFormat="1" ht="11.25" x14ac:dyDescent="0.2">
      <c r="A46" s="338">
        <v>1575</v>
      </c>
      <c r="B46" s="338">
        <v>1575</v>
      </c>
      <c r="C46" s="771" t="s">
        <v>451</v>
      </c>
      <c r="D46" s="772"/>
      <c r="E46" s="772"/>
      <c r="F46" s="772"/>
      <c r="G46" s="772"/>
      <c r="H46" s="772"/>
      <c r="I46" s="773"/>
    </row>
    <row r="47" spans="1:9" s="87" customFormat="1" ht="11.25" x14ac:dyDescent="0.2">
      <c r="A47" s="126">
        <v>36312</v>
      </c>
      <c r="B47" s="126">
        <v>36312</v>
      </c>
      <c r="C47" s="846" t="s">
        <v>452</v>
      </c>
      <c r="D47" s="846"/>
      <c r="E47" s="846"/>
      <c r="F47" s="846"/>
      <c r="G47" s="846"/>
      <c r="H47" s="846"/>
      <c r="I47" s="846"/>
    </row>
    <row r="48" spans="1:9" s="88" customFormat="1" ht="10.5" x14ac:dyDescent="0.15">
      <c r="A48" s="283">
        <f>SUM(A43:A47)</f>
        <v>67487</v>
      </c>
      <c r="B48" s="283">
        <f>SUM(B43:B47)</f>
        <v>67487</v>
      </c>
      <c r="C48" s="767" t="s">
        <v>34</v>
      </c>
      <c r="D48" s="767"/>
      <c r="E48" s="767"/>
      <c r="F48" s="767"/>
      <c r="G48" s="767"/>
      <c r="H48" s="767"/>
      <c r="I48" s="767"/>
    </row>
    <row r="49" spans="1:9" s="87" customFormat="1" ht="11.25" x14ac:dyDescent="0.2">
      <c r="C49" s="89"/>
    </row>
    <row r="50" spans="1:9" s="87" customFormat="1" ht="11.25" x14ac:dyDescent="0.2">
      <c r="A50" s="742" t="s">
        <v>199</v>
      </c>
      <c r="B50" s="742"/>
      <c r="C50" s="742"/>
      <c r="D50" s="742"/>
      <c r="E50" s="742"/>
      <c r="F50" s="742"/>
      <c r="G50" s="742"/>
      <c r="H50" s="742"/>
      <c r="I50" s="742"/>
    </row>
    <row r="51" spans="1:9" s="87" customFormat="1" ht="11.25" x14ac:dyDescent="0.2">
      <c r="C51" s="89"/>
    </row>
    <row r="52" spans="1:9" s="151" customFormat="1" ht="31.5" x14ac:dyDescent="0.25">
      <c r="A52" s="743" t="s">
        <v>101</v>
      </c>
      <c r="B52" s="744"/>
      <c r="C52" s="332" t="s">
        <v>102</v>
      </c>
      <c r="D52" s="332" t="s">
        <v>103</v>
      </c>
      <c r="E52" s="332" t="s">
        <v>104</v>
      </c>
      <c r="F52" s="332" t="s">
        <v>105</v>
      </c>
      <c r="G52" s="332" t="s">
        <v>94</v>
      </c>
    </row>
    <row r="53" spans="1:9" s="87" customFormat="1" ht="11.25" x14ac:dyDescent="0.2">
      <c r="A53" s="778" t="s">
        <v>457</v>
      </c>
      <c r="B53" s="780"/>
      <c r="C53" s="318" t="s">
        <v>436</v>
      </c>
      <c r="D53" s="591">
        <v>1400</v>
      </c>
      <c r="E53" s="591">
        <v>1400</v>
      </c>
      <c r="F53" s="324">
        <v>42026</v>
      </c>
      <c r="G53" s="324">
        <v>42035</v>
      </c>
    </row>
    <row r="54" spans="1:9" s="87" customFormat="1" ht="11.25" x14ac:dyDescent="0.2">
      <c r="A54" s="781" t="s">
        <v>458</v>
      </c>
      <c r="B54" s="783"/>
      <c r="C54" s="350" t="s">
        <v>437</v>
      </c>
      <c r="D54" s="351">
        <v>13500</v>
      </c>
      <c r="E54" s="351">
        <v>13500</v>
      </c>
      <c r="F54" s="327">
        <v>42024</v>
      </c>
      <c r="G54" s="327">
        <v>42034</v>
      </c>
    </row>
    <row r="55" spans="1:9" s="87" customFormat="1" ht="11.25" x14ac:dyDescent="0.2">
      <c r="A55" s="781" t="s">
        <v>459</v>
      </c>
      <c r="B55" s="783"/>
      <c r="C55" s="350" t="s">
        <v>148</v>
      </c>
      <c r="D55" s="351">
        <v>13108</v>
      </c>
      <c r="E55" s="351">
        <v>13108</v>
      </c>
      <c r="F55" s="327">
        <v>42080</v>
      </c>
      <c r="G55" s="327">
        <v>42094</v>
      </c>
    </row>
    <row r="56" spans="1:9" s="87" customFormat="1" ht="11.25" x14ac:dyDescent="0.2">
      <c r="A56" s="978" t="s">
        <v>460</v>
      </c>
      <c r="B56" s="979"/>
      <c r="C56" s="350" t="s">
        <v>148</v>
      </c>
      <c r="D56" s="351">
        <v>442134</v>
      </c>
      <c r="E56" s="351">
        <v>442134</v>
      </c>
      <c r="F56" s="327">
        <v>42107</v>
      </c>
      <c r="G56" s="327">
        <v>42124</v>
      </c>
    </row>
    <row r="57" spans="1:9" s="87" customFormat="1" ht="11.25" x14ac:dyDescent="0.2">
      <c r="A57" s="781" t="s">
        <v>461</v>
      </c>
      <c r="B57" s="783"/>
      <c r="C57" s="350" t="s">
        <v>436</v>
      </c>
      <c r="D57" s="351">
        <v>4210</v>
      </c>
      <c r="E57" s="351">
        <v>4210</v>
      </c>
      <c r="F57" s="327">
        <v>42185</v>
      </c>
      <c r="G57" s="327">
        <v>42216</v>
      </c>
    </row>
    <row r="58" spans="1:9" s="87" customFormat="1" ht="11.25" x14ac:dyDescent="0.2">
      <c r="A58" s="978" t="s">
        <v>462</v>
      </c>
      <c r="B58" s="979"/>
      <c r="C58" s="350" t="s">
        <v>438</v>
      </c>
      <c r="D58" s="351">
        <v>0</v>
      </c>
      <c r="E58" s="351">
        <v>0</v>
      </c>
      <c r="F58" s="327">
        <v>42185</v>
      </c>
      <c r="G58" s="327">
        <v>42216</v>
      </c>
    </row>
    <row r="59" spans="1:9" s="87" customFormat="1" ht="11.25" x14ac:dyDescent="0.2">
      <c r="A59" s="781" t="s">
        <v>453</v>
      </c>
      <c r="B59" s="783"/>
      <c r="C59" s="350" t="s">
        <v>439</v>
      </c>
      <c r="D59" s="351">
        <v>133000</v>
      </c>
      <c r="E59" s="351">
        <v>133000</v>
      </c>
      <c r="F59" s="327">
        <v>42185</v>
      </c>
      <c r="G59" s="327">
        <v>42277</v>
      </c>
    </row>
    <row r="60" spans="1:9" s="87" customFormat="1" ht="11.25" x14ac:dyDescent="0.2">
      <c r="A60" s="781" t="s">
        <v>454</v>
      </c>
      <c r="B60" s="783"/>
      <c r="C60" s="350" t="s">
        <v>142</v>
      </c>
      <c r="D60" s="351">
        <v>5000</v>
      </c>
      <c r="E60" s="351">
        <v>5000</v>
      </c>
      <c r="F60" s="327">
        <v>42187</v>
      </c>
      <c r="G60" s="327">
        <v>42254</v>
      </c>
    </row>
    <row r="61" spans="1:9" s="87" customFormat="1" ht="11.25" x14ac:dyDescent="0.2">
      <c r="A61" s="781" t="s">
        <v>463</v>
      </c>
      <c r="B61" s="783"/>
      <c r="C61" s="350" t="s">
        <v>440</v>
      </c>
      <c r="D61" s="351">
        <v>244800</v>
      </c>
      <c r="E61" s="351">
        <v>244800</v>
      </c>
      <c r="F61" s="327">
        <v>42213</v>
      </c>
      <c r="G61" s="327">
        <v>42338</v>
      </c>
    </row>
    <row r="62" spans="1:9" s="87" customFormat="1" ht="11.25" x14ac:dyDescent="0.2">
      <c r="A62" s="781" t="s">
        <v>464</v>
      </c>
      <c r="B62" s="783"/>
      <c r="C62" s="350" t="s">
        <v>441</v>
      </c>
      <c r="D62" s="351">
        <v>0</v>
      </c>
      <c r="E62" s="351">
        <v>0</v>
      </c>
      <c r="F62" s="327">
        <v>42213</v>
      </c>
      <c r="G62" s="327">
        <v>42216</v>
      </c>
    </row>
    <row r="63" spans="1:9" s="87" customFormat="1" ht="11.25" x14ac:dyDescent="0.2">
      <c r="A63" s="781" t="s">
        <v>455</v>
      </c>
      <c r="B63" s="783"/>
      <c r="C63" s="350" t="s">
        <v>442</v>
      </c>
      <c r="D63" s="351">
        <v>0</v>
      </c>
      <c r="E63" s="351">
        <v>0</v>
      </c>
      <c r="F63" s="327">
        <v>42247</v>
      </c>
      <c r="G63" s="327">
        <v>42247</v>
      </c>
    </row>
    <row r="64" spans="1:9" s="87" customFormat="1" ht="11.25" x14ac:dyDescent="0.2">
      <c r="A64" s="781" t="s">
        <v>465</v>
      </c>
      <c r="B64" s="783"/>
      <c r="C64" s="350" t="s">
        <v>436</v>
      </c>
      <c r="D64" s="351">
        <v>16950</v>
      </c>
      <c r="E64" s="351">
        <v>16950</v>
      </c>
      <c r="F64" s="327">
        <v>42278</v>
      </c>
      <c r="G64" s="327">
        <v>42278</v>
      </c>
    </row>
    <row r="65" spans="1:13" s="87" customFormat="1" ht="11.25" x14ac:dyDescent="0.2">
      <c r="A65" s="976" t="s">
        <v>456</v>
      </c>
      <c r="B65" s="977"/>
      <c r="C65" s="339" t="s">
        <v>437</v>
      </c>
      <c r="D65" s="340">
        <v>36312</v>
      </c>
      <c r="E65" s="340">
        <v>36312</v>
      </c>
      <c r="F65" s="330">
        <v>42278</v>
      </c>
      <c r="G65" s="330">
        <v>42278</v>
      </c>
    </row>
    <row r="66" spans="1:13" s="87" customFormat="1" ht="11.25" x14ac:dyDescent="0.2">
      <c r="A66" s="870" t="s">
        <v>111</v>
      </c>
      <c r="B66" s="871"/>
      <c r="C66" s="355"/>
      <c r="D66" s="129">
        <f>SUM(D53:D65)</f>
        <v>910414</v>
      </c>
      <c r="E66" s="129">
        <f>SUM(E53:E65)</f>
        <v>910414</v>
      </c>
      <c r="F66" s="872"/>
      <c r="G66" s="873"/>
    </row>
    <row r="67" spans="1:13" s="87" customFormat="1" ht="11.25" x14ac:dyDescent="0.2">
      <c r="C67" s="89"/>
    </row>
    <row r="68" spans="1:13" s="87" customFormat="1" ht="11.25" x14ac:dyDescent="0.2">
      <c r="A68" s="742" t="s">
        <v>211</v>
      </c>
      <c r="B68" s="742"/>
      <c r="C68" s="742"/>
      <c r="D68" s="742"/>
      <c r="E68" s="742"/>
      <c r="F68" s="742"/>
      <c r="G68" s="742"/>
      <c r="H68" s="742"/>
      <c r="I68" s="742"/>
    </row>
    <row r="69" spans="1:13" s="87" customFormat="1" ht="11.25" x14ac:dyDescent="0.2">
      <c r="C69" s="89"/>
    </row>
    <row r="70" spans="1:13" s="151" customFormat="1" ht="31.5" x14ac:dyDescent="0.25">
      <c r="A70" s="743" t="s">
        <v>101</v>
      </c>
      <c r="B70" s="744"/>
      <c r="C70" s="332" t="s">
        <v>102</v>
      </c>
      <c r="D70" s="332" t="s">
        <v>103</v>
      </c>
      <c r="E70" s="332" t="s">
        <v>104</v>
      </c>
      <c r="F70" s="332" t="s">
        <v>105</v>
      </c>
      <c r="G70" s="332" t="s">
        <v>94</v>
      </c>
    </row>
    <row r="71" spans="1:13" s="87" customFormat="1" ht="11.25" x14ac:dyDescent="0.2">
      <c r="A71" s="751" t="s">
        <v>466</v>
      </c>
      <c r="B71" s="752"/>
      <c r="C71" s="318" t="s">
        <v>443</v>
      </c>
      <c r="D71" s="319">
        <v>28000</v>
      </c>
      <c r="E71" s="319">
        <v>28000</v>
      </c>
      <c r="F71" s="155">
        <v>42185</v>
      </c>
      <c r="G71" s="155">
        <v>42185</v>
      </c>
    </row>
    <row r="72" spans="1:13" s="87" customFormat="1" ht="11.25" x14ac:dyDescent="0.2">
      <c r="A72" s="737" t="s">
        <v>467</v>
      </c>
      <c r="B72" s="737"/>
      <c r="C72" s="350" t="s">
        <v>444</v>
      </c>
      <c r="D72" s="351">
        <v>5000</v>
      </c>
      <c r="E72" s="351">
        <v>5000</v>
      </c>
      <c r="F72" s="140">
        <v>42185</v>
      </c>
      <c r="G72" s="140">
        <v>42185</v>
      </c>
    </row>
    <row r="73" spans="1:13" s="87" customFormat="1" ht="11.25" x14ac:dyDescent="0.2">
      <c r="A73" s="975" t="s">
        <v>468</v>
      </c>
      <c r="B73" s="975"/>
      <c r="C73" s="438">
        <v>511</v>
      </c>
      <c r="D73" s="351"/>
      <c r="E73" s="351">
        <v>-4000</v>
      </c>
      <c r="F73" s="140">
        <v>42185</v>
      </c>
      <c r="G73" s="140">
        <v>42185</v>
      </c>
    </row>
    <row r="74" spans="1:13" s="87" customFormat="1" ht="11.25" x14ac:dyDescent="0.2">
      <c r="A74" s="974"/>
      <c r="B74" s="974"/>
      <c r="C74" s="439">
        <v>518</v>
      </c>
      <c r="D74" s="340"/>
      <c r="E74" s="340">
        <v>4000</v>
      </c>
      <c r="F74" s="141">
        <v>42185</v>
      </c>
      <c r="G74" s="141">
        <v>42185</v>
      </c>
    </row>
    <row r="75" spans="1:13" s="87" customFormat="1" ht="11.25" x14ac:dyDescent="0.2">
      <c r="A75" s="747" t="s">
        <v>111</v>
      </c>
      <c r="B75" s="748"/>
      <c r="C75" s="320"/>
      <c r="D75" s="90">
        <f>SUM(D71:D74)</f>
        <v>33000</v>
      </c>
      <c r="E75" s="90">
        <f>SUM(E71:E74)</f>
        <v>33000</v>
      </c>
      <c r="F75" s="749"/>
      <c r="G75" s="750"/>
    </row>
    <row r="76" spans="1:13" s="87" customFormat="1" ht="11.25" x14ac:dyDescent="0.2">
      <c r="A76" s="162"/>
      <c r="B76" s="162"/>
      <c r="C76" s="162"/>
      <c r="D76" s="162"/>
      <c r="E76" s="162"/>
      <c r="F76" s="162"/>
      <c r="G76" s="162"/>
      <c r="H76" s="162"/>
      <c r="I76" s="162"/>
      <c r="J76" s="162"/>
      <c r="K76" s="162"/>
      <c r="L76" s="162"/>
      <c r="M76" s="162"/>
    </row>
    <row r="77" spans="1:13" s="87" customFormat="1" ht="11.25" x14ac:dyDescent="0.2">
      <c r="A77" s="738" t="s">
        <v>212</v>
      </c>
      <c r="B77" s="738"/>
      <c r="C77" s="738"/>
      <c r="D77" s="738"/>
      <c r="E77" s="738"/>
      <c r="F77" s="738"/>
      <c r="G77" s="738"/>
      <c r="H77" s="738"/>
      <c r="I77" s="738"/>
    </row>
    <row r="78" spans="1:13" s="87" customFormat="1" ht="11.25" x14ac:dyDescent="0.2">
      <c r="A78" s="782"/>
      <c r="B78" s="782"/>
      <c r="C78" s="782"/>
      <c r="D78" s="782"/>
      <c r="E78" s="782"/>
      <c r="F78" s="782"/>
      <c r="G78" s="782"/>
      <c r="H78" s="782"/>
      <c r="I78" s="782"/>
      <c r="J78" s="162"/>
      <c r="K78" s="162"/>
      <c r="L78" s="162"/>
    </row>
    <row r="79" spans="1:13" s="87" customFormat="1" ht="23.25" customHeight="1" x14ac:dyDescent="0.2">
      <c r="A79" s="781" t="s">
        <v>469</v>
      </c>
      <c r="B79" s="782"/>
      <c r="C79" s="782"/>
      <c r="D79" s="782"/>
      <c r="E79" s="782"/>
      <c r="F79" s="782"/>
      <c r="G79" s="782"/>
      <c r="H79" s="782"/>
      <c r="I79" s="783"/>
    </row>
    <row r="80" spans="1:13" s="87" customFormat="1" ht="11.25" x14ac:dyDescent="0.2">
      <c r="A80" s="440"/>
      <c r="B80" s="440"/>
      <c r="C80" s="440"/>
      <c r="D80" s="440"/>
      <c r="E80" s="440"/>
      <c r="F80" s="440"/>
      <c r="G80" s="440"/>
      <c r="H80" s="440"/>
      <c r="I80" s="441"/>
      <c r="J80" s="441"/>
      <c r="K80" s="441"/>
      <c r="L80" s="441"/>
      <c r="M80" s="441"/>
    </row>
    <row r="81" spans="1:9" s="88" customFormat="1" ht="10.5" x14ac:dyDescent="0.15">
      <c r="A81" s="742" t="s">
        <v>213</v>
      </c>
      <c r="B81" s="742"/>
      <c r="C81" s="742"/>
      <c r="D81" s="742"/>
      <c r="E81" s="742"/>
      <c r="F81" s="742"/>
      <c r="G81" s="742"/>
      <c r="H81" s="742"/>
      <c r="I81" s="742"/>
    </row>
    <row r="82" spans="1:9" s="28" customFormat="1" x14ac:dyDescent="0.2"/>
    <row r="83" spans="1:9" ht="58.5" customHeight="1" x14ac:dyDescent="0.15">
      <c r="A83" s="732" t="s">
        <v>470</v>
      </c>
      <c r="B83" s="733"/>
      <c r="C83" s="733"/>
      <c r="D83" s="733"/>
      <c r="E83" s="733"/>
      <c r="F83" s="733"/>
      <c r="G83" s="733"/>
      <c r="H83" s="733"/>
      <c r="I83" s="734"/>
    </row>
    <row r="84" spans="1:9" ht="24.75" customHeight="1" x14ac:dyDescent="0.15">
      <c r="A84" s="732" t="s">
        <v>1218</v>
      </c>
      <c r="B84" s="733"/>
      <c r="C84" s="733"/>
      <c r="D84" s="733"/>
      <c r="E84" s="733"/>
      <c r="F84" s="733"/>
      <c r="G84" s="733"/>
      <c r="H84" s="733"/>
      <c r="I84" s="734"/>
    </row>
    <row r="85" spans="1:9" ht="11.25" x14ac:dyDescent="0.15">
      <c r="A85" s="732" t="s">
        <v>471</v>
      </c>
      <c r="B85" s="733"/>
      <c r="C85" s="733"/>
      <c r="D85" s="733"/>
      <c r="E85" s="733"/>
      <c r="F85" s="733"/>
      <c r="G85" s="733"/>
      <c r="H85" s="733"/>
      <c r="I85" s="734"/>
    </row>
  </sheetData>
  <mergeCells count="69">
    <mergeCell ref="A7:B7"/>
    <mergeCell ref="D7:I7"/>
    <mergeCell ref="A8:B8"/>
    <mergeCell ref="D8:I8"/>
    <mergeCell ref="A1:I1"/>
    <mergeCell ref="A3:I3"/>
    <mergeCell ref="A5:B5"/>
    <mergeCell ref="D5:I5"/>
    <mergeCell ref="A6:B6"/>
    <mergeCell ref="D6:I6"/>
    <mergeCell ref="C44:I44"/>
    <mergeCell ref="C45:I45"/>
    <mergeCell ref="C46:I46"/>
    <mergeCell ref="A53:B53"/>
    <mergeCell ref="A54:B54"/>
    <mergeCell ref="A57:B57"/>
    <mergeCell ref="C47:I47"/>
    <mergeCell ref="C48:I48"/>
    <mergeCell ref="A50:I50"/>
    <mergeCell ref="A52:B52"/>
    <mergeCell ref="A55:B55"/>
    <mergeCell ref="A56:B56"/>
    <mergeCell ref="A9:B9"/>
    <mergeCell ref="D9:I9"/>
    <mergeCell ref="A11:I11"/>
    <mergeCell ref="A15:A16"/>
    <mergeCell ref="C38:I38"/>
    <mergeCell ref="C32:I32"/>
    <mergeCell ref="D31:I31"/>
    <mergeCell ref="A34:I34"/>
    <mergeCell ref="D36:I36"/>
    <mergeCell ref="D37:I37"/>
    <mergeCell ref="F25:I25"/>
    <mergeCell ref="F26:I26"/>
    <mergeCell ref="A28:I28"/>
    <mergeCell ref="D30:I30"/>
    <mergeCell ref="A19:I19"/>
    <mergeCell ref="F21:I21"/>
    <mergeCell ref="F22:I22"/>
    <mergeCell ref="F23:I23"/>
    <mergeCell ref="F24:I24"/>
    <mergeCell ref="C42:I42"/>
    <mergeCell ref="C43:I43"/>
    <mergeCell ref="A40:I40"/>
    <mergeCell ref="A58:B58"/>
    <mergeCell ref="A59:B59"/>
    <mergeCell ref="A60:B60"/>
    <mergeCell ref="A61:B61"/>
    <mergeCell ref="A62:B62"/>
    <mergeCell ref="A63:B63"/>
    <mergeCell ref="A64:B64"/>
    <mergeCell ref="A65:B65"/>
    <mergeCell ref="A66:B66"/>
    <mergeCell ref="F66:G66"/>
    <mergeCell ref="A68:I68"/>
    <mergeCell ref="A70:B70"/>
    <mergeCell ref="A71:B71"/>
    <mergeCell ref="A72:B72"/>
    <mergeCell ref="A73:B73"/>
    <mergeCell ref="A74:B74"/>
    <mergeCell ref="A83:I83"/>
    <mergeCell ref="A85:I85"/>
    <mergeCell ref="A84:I84"/>
    <mergeCell ref="A81:I81"/>
    <mergeCell ref="A75:B75"/>
    <mergeCell ref="F75:G75"/>
    <mergeCell ref="A77:I77"/>
    <mergeCell ref="A78:I78"/>
    <mergeCell ref="A79:I79"/>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15">
      <c r="A1" s="967" t="s">
        <v>80</v>
      </c>
      <c r="B1" s="967"/>
      <c r="C1" s="967"/>
      <c r="D1" s="967"/>
      <c r="E1" s="967"/>
      <c r="F1" s="967"/>
      <c r="G1" s="967"/>
      <c r="H1" s="967"/>
      <c r="I1" s="967"/>
      <c r="J1" s="967"/>
      <c r="K1" s="967"/>
      <c r="L1" s="967"/>
      <c r="M1" s="967"/>
      <c r="N1" s="967"/>
      <c r="O1" s="967"/>
      <c r="P1" s="967"/>
      <c r="Q1" s="967"/>
      <c r="R1" s="967"/>
      <c r="S1" s="967"/>
      <c r="T1" s="967"/>
      <c r="U1" s="967"/>
      <c r="V1" s="967"/>
      <c r="W1" s="967"/>
      <c r="X1" s="967"/>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22672743</v>
      </c>
      <c r="F6" s="29">
        <f>SUM(F7:F9)</f>
        <v>25135797</v>
      </c>
      <c r="G6" s="29">
        <f>SUM(G7:G9)</f>
        <v>25127844</v>
      </c>
      <c r="H6" s="24">
        <f t="shared" ref="H6:H36" si="0">G6/F6*100</f>
        <v>99.968359865414257</v>
      </c>
      <c r="I6" s="29">
        <f>SUM(I7:I9)</f>
        <v>21930251</v>
      </c>
      <c r="J6" s="29">
        <f>SUM(J7:J9)</f>
        <v>3316000</v>
      </c>
      <c r="K6" s="29">
        <f t="shared" ref="K6:X6" si="1">SUM(K7:K9)</f>
        <v>4226414</v>
      </c>
      <c r="L6" s="29">
        <f t="shared" si="1"/>
        <v>4218461</v>
      </c>
      <c r="M6" s="24">
        <f t="shared" ref="M6:M33" si="2">L6/K6*100</f>
        <v>99.811826290562166</v>
      </c>
      <c r="N6" s="30">
        <f t="shared" si="1"/>
        <v>3168217</v>
      </c>
      <c r="O6" s="29">
        <f t="shared" si="1"/>
        <v>19356743</v>
      </c>
      <c r="P6" s="29">
        <f t="shared" si="1"/>
        <v>20909383</v>
      </c>
      <c r="Q6" s="29">
        <f t="shared" si="1"/>
        <v>20909383</v>
      </c>
      <c r="R6" s="24">
        <f t="shared" ref="R6:R33" si="3">Q6/P6*100</f>
        <v>100</v>
      </c>
      <c r="S6" s="29">
        <f t="shared" si="1"/>
        <v>18762034</v>
      </c>
      <c r="T6" s="29">
        <f t="shared" si="1"/>
        <v>60000</v>
      </c>
      <c r="U6" s="29">
        <f t="shared" si="1"/>
        <v>93000</v>
      </c>
      <c r="V6" s="29">
        <f t="shared" si="1"/>
        <v>114042</v>
      </c>
      <c r="W6" s="24">
        <f t="shared" ref="W6:W33" si="4">V6/U6*100</f>
        <v>122.6258064516129</v>
      </c>
      <c r="X6" s="29">
        <f t="shared" si="1"/>
        <v>72335</v>
      </c>
    </row>
    <row r="7" spans="1:24" s="6" customFormat="1" ht="9.9499999999999993" customHeight="1" x14ac:dyDescent="0.2">
      <c r="A7" s="169" t="s">
        <v>2</v>
      </c>
      <c r="B7" s="823" t="s">
        <v>44</v>
      </c>
      <c r="C7" s="824"/>
      <c r="D7" s="238" t="s">
        <v>25</v>
      </c>
      <c r="E7" s="32">
        <f t="shared" ref="E7:G10" si="5">SUM(J7,O7)</f>
        <v>255000</v>
      </c>
      <c r="F7" s="33">
        <f t="shared" si="5"/>
        <v>465372</v>
      </c>
      <c r="G7" s="33">
        <f t="shared" si="5"/>
        <v>461372</v>
      </c>
      <c r="H7" s="9">
        <f t="shared" si="0"/>
        <v>99.14047256818202</v>
      </c>
      <c r="I7" s="34">
        <f>SUM(N7,S7)</f>
        <v>508991</v>
      </c>
      <c r="J7" s="193">
        <v>255000</v>
      </c>
      <c r="K7" s="35">
        <v>465372</v>
      </c>
      <c r="L7" s="35">
        <v>461372</v>
      </c>
      <c r="M7" s="9">
        <f t="shared" si="2"/>
        <v>99.14047256818202</v>
      </c>
      <c r="N7" s="194">
        <v>508991</v>
      </c>
      <c r="O7" s="195"/>
      <c r="P7" s="35"/>
      <c r="Q7" s="35"/>
      <c r="R7" s="9" t="e">
        <f t="shared" si="3"/>
        <v>#DIV/0!</v>
      </c>
      <c r="S7" s="194"/>
      <c r="T7" s="195">
        <v>60000</v>
      </c>
      <c r="U7" s="35">
        <v>93000</v>
      </c>
      <c r="V7" s="35">
        <v>114042</v>
      </c>
      <c r="W7" s="9">
        <f t="shared" si="4"/>
        <v>122.6258064516129</v>
      </c>
      <c r="X7" s="59">
        <v>72335</v>
      </c>
    </row>
    <row r="8" spans="1:24" s="6" customFormat="1" ht="9.9499999999999993" customHeight="1" x14ac:dyDescent="0.2">
      <c r="A8" s="171" t="s">
        <v>3</v>
      </c>
      <c r="B8" s="825" t="s">
        <v>45</v>
      </c>
      <c r="C8" s="826"/>
      <c r="D8" s="172" t="s">
        <v>25</v>
      </c>
      <c r="E8" s="38">
        <f t="shared" si="5"/>
        <v>6000</v>
      </c>
      <c r="F8" s="39">
        <f t="shared" si="5"/>
        <v>6000</v>
      </c>
      <c r="G8" s="39">
        <f t="shared" si="5"/>
        <v>2047</v>
      </c>
      <c r="H8" s="10">
        <f t="shared" si="0"/>
        <v>34.116666666666667</v>
      </c>
      <c r="I8" s="40">
        <f>SUM(N8,S8)</f>
        <v>5526</v>
      </c>
      <c r="J8" s="196">
        <v>6000</v>
      </c>
      <c r="K8" s="157">
        <v>6000</v>
      </c>
      <c r="L8" s="157">
        <v>2047</v>
      </c>
      <c r="M8" s="158">
        <f t="shared" si="2"/>
        <v>34.116666666666667</v>
      </c>
      <c r="N8" s="198">
        <v>5526</v>
      </c>
      <c r="O8" s="156"/>
      <c r="P8" s="157"/>
      <c r="Q8" s="157"/>
      <c r="R8" s="158" t="e">
        <f t="shared" si="3"/>
        <v>#DIV/0!</v>
      </c>
      <c r="S8" s="198"/>
      <c r="T8" s="156"/>
      <c r="U8" s="157"/>
      <c r="V8" s="157">
        <v>0</v>
      </c>
      <c r="W8" s="158" t="e">
        <f t="shared" si="4"/>
        <v>#DIV/0!</v>
      </c>
      <c r="X8" s="159"/>
    </row>
    <row r="9" spans="1:24" s="6" customFormat="1" ht="9.9499999999999993" customHeight="1" x14ac:dyDescent="0.2">
      <c r="A9" s="173" t="s">
        <v>4</v>
      </c>
      <c r="B9" s="449" t="s">
        <v>59</v>
      </c>
      <c r="C9" s="450"/>
      <c r="D9" s="186" t="s">
        <v>25</v>
      </c>
      <c r="E9" s="42">
        <f t="shared" si="5"/>
        <v>22411743</v>
      </c>
      <c r="F9" s="43">
        <f t="shared" si="5"/>
        <v>24664425</v>
      </c>
      <c r="G9" s="43">
        <f t="shared" si="5"/>
        <v>24664425</v>
      </c>
      <c r="H9" s="26">
        <f t="shared" si="0"/>
        <v>100</v>
      </c>
      <c r="I9" s="44">
        <f>SUM(N9,S9)</f>
        <v>21415734</v>
      </c>
      <c r="J9" s="199">
        <v>3055000</v>
      </c>
      <c r="K9" s="203">
        <v>3755042</v>
      </c>
      <c r="L9" s="203">
        <v>3755042</v>
      </c>
      <c r="M9" s="201">
        <f t="shared" si="2"/>
        <v>100</v>
      </c>
      <c r="N9" s="202">
        <v>2653700</v>
      </c>
      <c r="O9" s="160">
        <v>19356743</v>
      </c>
      <c r="P9" s="203">
        <v>20909383</v>
      </c>
      <c r="Q9" s="203">
        <v>20909383</v>
      </c>
      <c r="R9" s="201">
        <f t="shared" si="3"/>
        <v>100</v>
      </c>
      <c r="S9" s="202">
        <v>18762034</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22672743</v>
      </c>
      <c r="F11" s="29">
        <f>SUM(F12:F31)</f>
        <v>25135797</v>
      </c>
      <c r="G11" s="29">
        <f>SUM(G12:G31)</f>
        <v>24938180</v>
      </c>
      <c r="H11" s="24">
        <f t="shared" si="0"/>
        <v>99.213802530311639</v>
      </c>
      <c r="I11" s="30">
        <f>SUM(I12:I31)</f>
        <v>21797243</v>
      </c>
      <c r="J11" s="30">
        <f>SUM(J12:J32)</f>
        <v>3316000</v>
      </c>
      <c r="K11" s="30">
        <f>SUM(K12:K32)</f>
        <v>4226414</v>
      </c>
      <c r="L11" s="30">
        <f>SUM(L12:L32)</f>
        <v>4028797</v>
      </c>
      <c r="M11" s="24">
        <f t="shared" si="2"/>
        <v>95.32423941431199</v>
      </c>
      <c r="N11" s="30">
        <f>SUM(N12:N32)</f>
        <v>3035209</v>
      </c>
      <c r="O11" s="30">
        <f>SUM(O12:O32)</f>
        <v>19356743</v>
      </c>
      <c r="P11" s="30">
        <f>SUM(P12:P32)</f>
        <v>20909383</v>
      </c>
      <c r="Q11" s="30">
        <f>SUM(Q12:Q32)</f>
        <v>20909383</v>
      </c>
      <c r="R11" s="24">
        <f t="shared" si="3"/>
        <v>100</v>
      </c>
      <c r="S11" s="30">
        <f>SUM(S12:S32)</f>
        <v>18762034</v>
      </c>
      <c r="T11" s="30">
        <f>SUM(T12:T32)</f>
        <v>23100</v>
      </c>
      <c r="U11" s="30">
        <f>SUM(U12:U32)</f>
        <v>56100</v>
      </c>
      <c r="V11" s="30">
        <f>SUM(V12:V32)</f>
        <v>49944</v>
      </c>
      <c r="W11" s="24">
        <f t="shared" si="4"/>
        <v>89.026737967914443</v>
      </c>
      <c r="X11" s="30">
        <f>SUM(X12:X32)</f>
        <v>19747</v>
      </c>
    </row>
    <row r="12" spans="1:24" s="6" customFormat="1" ht="9.9499999999999993" customHeight="1" x14ac:dyDescent="0.2">
      <c r="A12" s="178" t="s">
        <v>8</v>
      </c>
      <c r="B12" s="827" t="s">
        <v>28</v>
      </c>
      <c r="C12" s="828"/>
      <c r="D12" s="238" t="s">
        <v>25</v>
      </c>
      <c r="E12" s="32">
        <f t="shared" ref="E12:I29" si="6">SUM(J12,O12)</f>
        <v>717790</v>
      </c>
      <c r="F12" s="33">
        <f t="shared" si="6"/>
        <v>889659</v>
      </c>
      <c r="G12" s="33">
        <f t="shared" si="6"/>
        <v>874931</v>
      </c>
      <c r="H12" s="9">
        <f t="shared" si="0"/>
        <v>98.344534254135567</v>
      </c>
      <c r="I12" s="34">
        <f t="shared" si="6"/>
        <v>832157</v>
      </c>
      <c r="J12" s="204">
        <v>389000</v>
      </c>
      <c r="K12" s="47">
        <v>394000</v>
      </c>
      <c r="L12" s="47">
        <v>379272</v>
      </c>
      <c r="M12" s="9">
        <f t="shared" si="2"/>
        <v>96.261928934010157</v>
      </c>
      <c r="N12" s="205">
        <v>596478</v>
      </c>
      <c r="O12" s="206">
        <v>328790</v>
      </c>
      <c r="P12" s="47">
        <v>495659</v>
      </c>
      <c r="Q12" s="47">
        <v>495659</v>
      </c>
      <c r="R12" s="9">
        <f t="shared" si="3"/>
        <v>100</v>
      </c>
      <c r="S12" s="207">
        <v>235679</v>
      </c>
      <c r="T12" s="206">
        <v>800</v>
      </c>
      <c r="U12" s="47">
        <v>800</v>
      </c>
      <c r="V12" s="47">
        <v>3513</v>
      </c>
      <c r="W12" s="9">
        <f t="shared" si="4"/>
        <v>439.12500000000006</v>
      </c>
      <c r="X12" s="51">
        <v>1028</v>
      </c>
    </row>
    <row r="13" spans="1:24" s="6" customFormat="1" ht="9.9499999999999993" customHeight="1" x14ac:dyDescent="0.2">
      <c r="A13" s="180" t="s">
        <v>10</v>
      </c>
      <c r="B13" s="820" t="s">
        <v>29</v>
      </c>
      <c r="C13" s="821"/>
      <c r="D13" s="172" t="s">
        <v>25</v>
      </c>
      <c r="E13" s="38">
        <f t="shared" si="6"/>
        <v>1760000</v>
      </c>
      <c r="F13" s="39">
        <f t="shared" si="6"/>
        <v>1760000</v>
      </c>
      <c r="G13" s="39">
        <f t="shared" si="6"/>
        <v>1521570</v>
      </c>
      <c r="H13" s="10">
        <f t="shared" si="0"/>
        <v>86.452840909090909</v>
      </c>
      <c r="I13" s="40">
        <f t="shared" si="6"/>
        <v>739098</v>
      </c>
      <c r="J13" s="208">
        <v>1760000</v>
      </c>
      <c r="K13" s="157">
        <v>1760000</v>
      </c>
      <c r="L13" s="157">
        <v>1521570</v>
      </c>
      <c r="M13" s="158">
        <f t="shared" si="2"/>
        <v>86.452840909090909</v>
      </c>
      <c r="N13" s="198">
        <v>739098</v>
      </c>
      <c r="O13" s="156"/>
      <c r="P13" s="157"/>
      <c r="Q13" s="157"/>
      <c r="R13" s="158" t="e">
        <f t="shared" si="3"/>
        <v>#DIV/0!</v>
      </c>
      <c r="S13" s="198" t="s">
        <v>93</v>
      </c>
      <c r="T13" s="156">
        <v>7400</v>
      </c>
      <c r="U13" s="157">
        <v>12400</v>
      </c>
      <c r="V13" s="157">
        <v>13654</v>
      </c>
      <c r="W13" s="158">
        <f t="shared" si="4"/>
        <v>110.11290322580645</v>
      </c>
      <c r="X13" s="159">
        <v>8880</v>
      </c>
    </row>
    <row r="14" spans="1:24" s="6" customFormat="1" ht="9.9499999999999993" customHeight="1" x14ac:dyDescent="0.2">
      <c r="A14" s="180" t="s">
        <v>11</v>
      </c>
      <c r="B14" s="335" t="s">
        <v>60</v>
      </c>
      <c r="C14" s="336"/>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t="s">
        <v>93</v>
      </c>
    </row>
    <row r="15" spans="1:24" s="6" customFormat="1" ht="9.9499999999999993" customHeight="1" x14ac:dyDescent="0.2">
      <c r="A15" s="180" t="s">
        <v>12</v>
      </c>
      <c r="B15" s="820" t="s">
        <v>171</v>
      </c>
      <c r="C15" s="821"/>
      <c r="D15" s="172" t="s">
        <v>25</v>
      </c>
      <c r="E15" s="38">
        <f t="shared" si="6"/>
        <v>380000</v>
      </c>
      <c r="F15" s="39">
        <f t="shared" si="6"/>
        <v>474600</v>
      </c>
      <c r="G15" s="39">
        <f t="shared" si="6"/>
        <v>482111</v>
      </c>
      <c r="H15" s="10">
        <f t="shared" si="0"/>
        <v>101.58259587020649</v>
      </c>
      <c r="I15" s="40">
        <f t="shared" si="6"/>
        <v>549953</v>
      </c>
      <c r="J15" s="208">
        <v>380000</v>
      </c>
      <c r="K15" s="157">
        <v>474600</v>
      </c>
      <c r="L15" s="157">
        <v>482111</v>
      </c>
      <c r="M15" s="158">
        <f t="shared" si="2"/>
        <v>101.58259587020649</v>
      </c>
      <c r="N15" s="198">
        <v>549953</v>
      </c>
      <c r="O15" s="156"/>
      <c r="P15" s="157"/>
      <c r="Q15" s="157"/>
      <c r="R15" s="158" t="e">
        <f t="shared" si="3"/>
        <v>#DIV/0!</v>
      </c>
      <c r="S15" s="198"/>
      <c r="T15" s="156">
        <v>10850</v>
      </c>
      <c r="U15" s="157">
        <v>6850</v>
      </c>
      <c r="V15" s="157">
        <v>1014</v>
      </c>
      <c r="W15" s="158">
        <f t="shared" si="4"/>
        <v>14.802919708029197</v>
      </c>
      <c r="X15" s="159">
        <v>231</v>
      </c>
    </row>
    <row r="16" spans="1:24" s="6" customFormat="1" ht="9.9499999999999993" customHeight="1" x14ac:dyDescent="0.2">
      <c r="A16" s="180" t="s">
        <v>13</v>
      </c>
      <c r="B16" s="820" t="s">
        <v>30</v>
      </c>
      <c r="C16" s="821"/>
      <c r="D16" s="172" t="s">
        <v>25</v>
      </c>
      <c r="E16" s="38">
        <f t="shared" si="6"/>
        <v>45000</v>
      </c>
      <c r="F16" s="39">
        <f t="shared" si="6"/>
        <v>60331</v>
      </c>
      <c r="G16" s="39">
        <f t="shared" si="6"/>
        <v>57560</v>
      </c>
      <c r="H16" s="10">
        <f t="shared" si="0"/>
        <v>95.407004690789137</v>
      </c>
      <c r="I16" s="40">
        <f t="shared" si="6"/>
        <v>37233</v>
      </c>
      <c r="J16" s="208">
        <v>5000</v>
      </c>
      <c r="K16" s="157">
        <v>5000</v>
      </c>
      <c r="L16" s="157">
        <v>2229</v>
      </c>
      <c r="M16" s="158">
        <f t="shared" si="2"/>
        <v>44.58</v>
      </c>
      <c r="N16" s="198">
        <v>2282</v>
      </c>
      <c r="O16" s="156">
        <v>40000</v>
      </c>
      <c r="P16" s="157">
        <v>55331</v>
      </c>
      <c r="Q16" s="157">
        <v>55331</v>
      </c>
      <c r="R16" s="158">
        <f t="shared" si="3"/>
        <v>100</v>
      </c>
      <c r="S16" s="198">
        <v>34951</v>
      </c>
      <c r="T16" s="156"/>
      <c r="U16" s="157"/>
      <c r="V16" s="157"/>
      <c r="W16" s="158" t="e">
        <f t="shared" si="4"/>
        <v>#DIV/0!</v>
      </c>
      <c r="X16" s="159"/>
    </row>
    <row r="17" spans="1:24" s="6" customFormat="1" ht="9.9499999999999993" customHeight="1" x14ac:dyDescent="0.2">
      <c r="A17" s="180" t="s">
        <v>14</v>
      </c>
      <c r="B17" s="335" t="s">
        <v>46</v>
      </c>
      <c r="C17" s="336"/>
      <c r="D17" s="172" t="s">
        <v>25</v>
      </c>
      <c r="E17" s="38">
        <f t="shared" si="6"/>
        <v>5000</v>
      </c>
      <c r="F17" s="39">
        <f t="shared" si="6"/>
        <v>5000</v>
      </c>
      <c r="G17" s="39">
        <f t="shared" si="6"/>
        <v>4354</v>
      </c>
      <c r="H17" s="10">
        <f t="shared" si="0"/>
        <v>87.08</v>
      </c>
      <c r="I17" s="40">
        <f t="shared" si="6"/>
        <v>3999</v>
      </c>
      <c r="J17" s="208">
        <v>5000</v>
      </c>
      <c r="K17" s="157">
        <v>5000</v>
      </c>
      <c r="L17" s="157">
        <v>4354</v>
      </c>
      <c r="M17" s="158">
        <f t="shared" si="2"/>
        <v>87.08</v>
      </c>
      <c r="N17" s="198">
        <v>3999</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341000</v>
      </c>
      <c r="F18" s="39">
        <f t="shared" si="6"/>
        <v>547755</v>
      </c>
      <c r="G18" s="39">
        <f t="shared" si="6"/>
        <v>545513</v>
      </c>
      <c r="H18" s="10">
        <f t="shared" si="0"/>
        <v>99.590692919279604</v>
      </c>
      <c r="I18" s="40">
        <f t="shared" si="6"/>
        <v>297449</v>
      </c>
      <c r="J18" s="208">
        <v>306000</v>
      </c>
      <c r="K18" s="157">
        <v>294755</v>
      </c>
      <c r="L18" s="157">
        <v>292513</v>
      </c>
      <c r="M18" s="158">
        <f t="shared" si="2"/>
        <v>99.239368288917916</v>
      </c>
      <c r="N18" s="198">
        <v>261656</v>
      </c>
      <c r="O18" s="156">
        <v>35000</v>
      </c>
      <c r="P18" s="157">
        <v>253000</v>
      </c>
      <c r="Q18" s="157">
        <v>253000</v>
      </c>
      <c r="R18" s="158">
        <f t="shared" si="3"/>
        <v>100</v>
      </c>
      <c r="S18" s="198">
        <v>35793</v>
      </c>
      <c r="T18" s="156"/>
      <c r="U18" s="157">
        <v>32000</v>
      </c>
      <c r="V18" s="157">
        <v>30976</v>
      </c>
      <c r="W18" s="158">
        <f t="shared" si="4"/>
        <v>96.8</v>
      </c>
      <c r="X18" s="159">
        <v>2200</v>
      </c>
    </row>
    <row r="19" spans="1:24" s="11" customFormat="1" ht="9.9499999999999993" customHeight="1" x14ac:dyDescent="0.2">
      <c r="A19" s="180" t="s">
        <v>16</v>
      </c>
      <c r="B19" s="820" t="s">
        <v>32</v>
      </c>
      <c r="C19" s="821"/>
      <c r="D19" s="172" t="s">
        <v>25</v>
      </c>
      <c r="E19" s="38">
        <f t="shared" si="6"/>
        <v>14191948</v>
      </c>
      <c r="F19" s="39">
        <f t="shared" si="6"/>
        <v>15019978</v>
      </c>
      <c r="G19" s="39">
        <f t="shared" si="6"/>
        <v>15009272</v>
      </c>
      <c r="H19" s="10">
        <f t="shared" si="0"/>
        <v>99.92872159999169</v>
      </c>
      <c r="I19" s="40">
        <f t="shared" si="6"/>
        <v>13929668</v>
      </c>
      <c r="J19" s="209">
        <v>345000</v>
      </c>
      <c r="K19" s="157">
        <v>377110</v>
      </c>
      <c r="L19" s="157">
        <v>366404</v>
      </c>
      <c r="M19" s="158">
        <f t="shared" si="2"/>
        <v>97.161040545199015</v>
      </c>
      <c r="N19" s="198">
        <v>360842</v>
      </c>
      <c r="O19" s="156">
        <v>13846948</v>
      </c>
      <c r="P19" s="157">
        <v>14642868</v>
      </c>
      <c r="Q19" s="157">
        <v>14642868</v>
      </c>
      <c r="R19" s="158">
        <f t="shared" si="3"/>
        <v>100</v>
      </c>
      <c r="S19" s="198">
        <v>13568826</v>
      </c>
      <c r="T19" s="210">
        <v>3000</v>
      </c>
      <c r="U19" s="211">
        <v>3000</v>
      </c>
      <c r="V19" s="211">
        <v>580</v>
      </c>
      <c r="W19" s="158">
        <f t="shared" si="4"/>
        <v>19.333333333333332</v>
      </c>
      <c r="X19" s="212">
        <v>5478</v>
      </c>
    </row>
    <row r="20" spans="1:24" s="6" customFormat="1" ht="9.9499999999999993" customHeight="1" x14ac:dyDescent="0.2">
      <c r="A20" s="180" t="s">
        <v>17</v>
      </c>
      <c r="B20" s="820" t="s">
        <v>47</v>
      </c>
      <c r="C20" s="821"/>
      <c r="D20" s="172" t="s">
        <v>25</v>
      </c>
      <c r="E20" s="38">
        <f t="shared" si="6"/>
        <v>4719706</v>
      </c>
      <c r="F20" s="39">
        <f t="shared" si="6"/>
        <v>5027675</v>
      </c>
      <c r="G20" s="39">
        <f t="shared" si="6"/>
        <v>5026430</v>
      </c>
      <c r="H20" s="10">
        <f t="shared" si="0"/>
        <v>99.975237062857076</v>
      </c>
      <c r="I20" s="40">
        <f t="shared" si="6"/>
        <v>4707250</v>
      </c>
      <c r="J20" s="208">
        <v>51000</v>
      </c>
      <c r="K20" s="157">
        <v>52053</v>
      </c>
      <c r="L20" s="157">
        <v>50808</v>
      </c>
      <c r="M20" s="158">
        <f t="shared" si="2"/>
        <v>97.608207019768315</v>
      </c>
      <c r="N20" s="198">
        <v>47940</v>
      </c>
      <c r="O20" s="156">
        <v>4668706</v>
      </c>
      <c r="P20" s="157">
        <v>4975622</v>
      </c>
      <c r="Q20" s="157">
        <v>4975622</v>
      </c>
      <c r="R20" s="158">
        <f t="shared" si="3"/>
        <v>100</v>
      </c>
      <c r="S20" s="198">
        <v>4659310</v>
      </c>
      <c r="T20" s="156">
        <v>1000</v>
      </c>
      <c r="U20" s="157">
        <v>1000</v>
      </c>
      <c r="V20" s="157">
        <v>201</v>
      </c>
      <c r="W20" s="158">
        <f t="shared" si="4"/>
        <v>20.100000000000001</v>
      </c>
      <c r="X20" s="159">
        <v>1875</v>
      </c>
    </row>
    <row r="21" spans="1:24" s="6" customFormat="1" ht="9.9499999999999993" customHeight="1" x14ac:dyDescent="0.2">
      <c r="A21" s="180" t="s">
        <v>18</v>
      </c>
      <c r="B21" s="820" t="s">
        <v>48</v>
      </c>
      <c r="C21" s="821"/>
      <c r="D21" s="172" t="s">
        <v>25</v>
      </c>
      <c r="E21" s="38">
        <f t="shared" si="6"/>
        <v>137799</v>
      </c>
      <c r="F21" s="39">
        <f t="shared" si="6"/>
        <v>168100</v>
      </c>
      <c r="G21" s="39">
        <f t="shared" si="6"/>
        <v>167960</v>
      </c>
      <c r="H21" s="10">
        <f t="shared" si="0"/>
        <v>99.91671624033313</v>
      </c>
      <c r="I21" s="40">
        <f t="shared" si="6"/>
        <v>149182</v>
      </c>
      <c r="J21" s="208">
        <v>500</v>
      </c>
      <c r="K21" s="157">
        <v>1142</v>
      </c>
      <c r="L21" s="157">
        <v>1002</v>
      </c>
      <c r="M21" s="158">
        <f t="shared" si="2"/>
        <v>87.74080560420316</v>
      </c>
      <c r="N21" s="198">
        <v>14432</v>
      </c>
      <c r="O21" s="156">
        <v>137299</v>
      </c>
      <c r="P21" s="157">
        <v>166958</v>
      </c>
      <c r="Q21" s="157">
        <v>166958</v>
      </c>
      <c r="R21" s="158">
        <f t="shared" si="3"/>
        <v>100</v>
      </c>
      <c r="S21" s="198">
        <v>134750</v>
      </c>
      <c r="T21" s="156">
        <v>50</v>
      </c>
      <c r="U21" s="157">
        <v>50</v>
      </c>
      <c r="V21" s="157">
        <v>6</v>
      </c>
      <c r="W21" s="158">
        <f t="shared" si="4"/>
        <v>12</v>
      </c>
      <c r="X21" s="159">
        <v>55</v>
      </c>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500</v>
      </c>
      <c r="F25" s="674">
        <f t="shared" si="6"/>
        <v>500</v>
      </c>
      <c r="G25" s="674">
        <f t="shared" si="6"/>
        <v>222</v>
      </c>
      <c r="H25" s="675">
        <f>G25/F25*100</f>
        <v>44.4</v>
      </c>
      <c r="I25" s="676">
        <f>SUM(N25,S25)</f>
        <v>222</v>
      </c>
      <c r="J25" s="208">
        <v>500</v>
      </c>
      <c r="K25" s="213">
        <v>500</v>
      </c>
      <c r="L25" s="213">
        <v>222</v>
      </c>
      <c r="M25" s="158">
        <f t="shared" si="2"/>
        <v>44.4</v>
      </c>
      <c r="N25" s="214">
        <v>222</v>
      </c>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14000</v>
      </c>
      <c r="F26" s="674">
        <f t="shared" si="6"/>
        <v>469242</v>
      </c>
      <c r="G26" s="674">
        <f t="shared" si="6"/>
        <v>469242</v>
      </c>
      <c r="H26" s="675">
        <f t="shared" si="0"/>
        <v>100</v>
      </c>
      <c r="I26" s="676">
        <f t="shared" si="6"/>
        <v>6648</v>
      </c>
      <c r="J26" s="208">
        <v>14000</v>
      </c>
      <c r="K26" s="197">
        <v>469242</v>
      </c>
      <c r="L26" s="197">
        <v>469242</v>
      </c>
      <c r="M26" s="158">
        <f t="shared" si="2"/>
        <v>100</v>
      </c>
      <c r="N26" s="198">
        <v>6648</v>
      </c>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335" t="s">
        <v>64</v>
      </c>
      <c r="C27" s="336"/>
      <c r="D27" s="172" t="s">
        <v>25</v>
      </c>
      <c r="E27" s="38">
        <f t="shared" si="6"/>
        <v>0</v>
      </c>
      <c r="F27" s="39">
        <f t="shared" si="6"/>
        <v>0</v>
      </c>
      <c r="G27" s="39">
        <f t="shared" si="6"/>
        <v>0</v>
      </c>
      <c r="H27" s="14" t="e">
        <f t="shared" si="0"/>
        <v>#DIV/0!</v>
      </c>
      <c r="I27" s="40">
        <f t="shared" si="6"/>
        <v>0</v>
      </c>
      <c r="J27" s="208">
        <v>0</v>
      </c>
      <c r="K27" s="197">
        <v>0</v>
      </c>
      <c r="L27" s="197"/>
      <c r="M27" s="158" t="e">
        <f t="shared" si="2"/>
        <v>#DIV/0!</v>
      </c>
      <c r="N27" s="214"/>
      <c r="O27" s="218"/>
      <c r="P27" s="197"/>
      <c r="Q27" s="197"/>
      <c r="R27" s="158" t="e">
        <f t="shared" si="3"/>
        <v>#DIV/0!</v>
      </c>
      <c r="S27" s="214"/>
      <c r="T27" s="236"/>
      <c r="U27" s="220"/>
      <c r="V27" s="197" t="s">
        <v>93</v>
      </c>
      <c r="W27" s="158" t="e">
        <f t="shared" si="4"/>
        <v>#VALUE!</v>
      </c>
      <c r="X27" s="237"/>
    </row>
    <row r="28" spans="1:24" s="13" customFormat="1" ht="9.9499999999999993" customHeight="1" x14ac:dyDescent="0.2">
      <c r="A28" s="180" t="s">
        <v>49</v>
      </c>
      <c r="B28" s="335" t="s">
        <v>92</v>
      </c>
      <c r="C28" s="336"/>
      <c r="D28" s="172" t="s">
        <v>25</v>
      </c>
      <c r="E28" s="38">
        <f>SUM(J28,O28)</f>
        <v>360000</v>
      </c>
      <c r="F28" s="39">
        <f>SUM(K28,P28)</f>
        <v>712957</v>
      </c>
      <c r="G28" s="39">
        <f>SUM(L28,Q28)</f>
        <v>779015</v>
      </c>
      <c r="H28" s="14">
        <f>G28/F28*100</f>
        <v>109.2653554141414</v>
      </c>
      <c r="I28" s="40">
        <f>SUM(N28,S28)</f>
        <v>544384</v>
      </c>
      <c r="J28" s="208">
        <v>60000</v>
      </c>
      <c r="K28" s="197">
        <v>393012</v>
      </c>
      <c r="L28" s="197">
        <v>459070</v>
      </c>
      <c r="M28" s="158">
        <f t="shared" si="2"/>
        <v>116.80813817389799</v>
      </c>
      <c r="N28" s="214">
        <v>451659</v>
      </c>
      <c r="O28" s="218">
        <v>300000</v>
      </c>
      <c r="P28" s="197">
        <v>319945</v>
      </c>
      <c r="Q28" s="197">
        <v>319945</v>
      </c>
      <c r="R28" s="158">
        <f t="shared" si="3"/>
        <v>100</v>
      </c>
      <c r="S28" s="214">
        <v>92725</v>
      </c>
      <c r="T28" s="236"/>
      <c r="U28" s="220"/>
      <c r="V28" s="220"/>
      <c r="W28" s="158" t="e">
        <f t="shared" si="4"/>
        <v>#DIV/0!</v>
      </c>
      <c r="X28" s="237"/>
    </row>
    <row r="29" spans="1:24" s="15" customFormat="1" ht="9.9499999999999993" customHeight="1" x14ac:dyDescent="0.2">
      <c r="A29" s="180" t="s">
        <v>50</v>
      </c>
      <c r="B29" s="820" t="s">
        <v>65</v>
      </c>
      <c r="C29" s="821"/>
      <c r="D29" s="172" t="s">
        <v>25</v>
      </c>
      <c r="E29" s="38">
        <f t="shared" si="6"/>
        <v>0</v>
      </c>
      <c r="F29" s="39">
        <f t="shared" si="6"/>
        <v>0</v>
      </c>
      <c r="G29" s="39">
        <f t="shared" si="6"/>
        <v>0</v>
      </c>
      <c r="H29" s="14" t="e">
        <f t="shared" si="0"/>
        <v>#DIV/0!</v>
      </c>
      <c r="I29" s="40">
        <f t="shared" si="6"/>
        <v>0</v>
      </c>
      <c r="J29" s="208"/>
      <c r="K29" s="197"/>
      <c r="L29" s="197"/>
      <c r="M29" s="158" t="e">
        <f t="shared" si="2"/>
        <v>#DIV/0!</v>
      </c>
      <c r="N29" s="214"/>
      <c r="O29" s="218"/>
      <c r="P29" s="197"/>
      <c r="Q29" s="197"/>
      <c r="R29" s="158" t="e">
        <f t="shared" si="3"/>
        <v>#DIV/0!</v>
      </c>
      <c r="S29" s="214"/>
      <c r="T29" s="236"/>
      <c r="U29" s="220"/>
      <c r="V29" s="220"/>
      <c r="W29" s="158" t="e">
        <f t="shared" si="4"/>
        <v>#DIV/0!</v>
      </c>
      <c r="X29" s="237"/>
    </row>
    <row r="30" spans="1:24" s="6" customFormat="1" ht="9.75" x14ac:dyDescent="0.2">
      <c r="A30" s="180" t="s">
        <v>52</v>
      </c>
      <c r="B30" s="335" t="s">
        <v>51</v>
      </c>
      <c r="C30" s="336"/>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335" t="s">
        <v>66</v>
      </c>
      <c r="C31" s="336"/>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189664</v>
      </c>
      <c r="H33" s="25" t="e">
        <f t="shared" si="0"/>
        <v>#DIV/0!</v>
      </c>
      <c r="I33" s="29">
        <f>I6-I11</f>
        <v>133008</v>
      </c>
      <c r="J33" s="29">
        <f t="shared" ref="J33:L33" si="8">J6-J11</f>
        <v>0</v>
      </c>
      <c r="K33" s="29">
        <f t="shared" si="8"/>
        <v>0</v>
      </c>
      <c r="L33" s="29">
        <f t="shared" si="8"/>
        <v>189664</v>
      </c>
      <c r="M33" s="19" t="e">
        <f t="shared" si="2"/>
        <v>#DIV/0!</v>
      </c>
      <c r="N33" s="29">
        <f t="shared" ref="N33:Q33" si="9">N6-N11</f>
        <v>133008</v>
      </c>
      <c r="O33" s="29">
        <f t="shared" si="9"/>
        <v>0</v>
      </c>
      <c r="P33" s="29">
        <f t="shared" si="9"/>
        <v>0</v>
      </c>
      <c r="Q33" s="29">
        <f t="shared" si="9"/>
        <v>0</v>
      </c>
      <c r="R33" s="19" t="e">
        <f t="shared" si="3"/>
        <v>#DIV/0!</v>
      </c>
      <c r="S33" s="29">
        <f t="shared" ref="S33:V33" si="10">S6-S11</f>
        <v>0</v>
      </c>
      <c r="T33" s="29">
        <f t="shared" si="10"/>
        <v>36900</v>
      </c>
      <c r="U33" s="29">
        <f t="shared" si="10"/>
        <v>36900</v>
      </c>
      <c r="V33" s="29">
        <f t="shared" si="10"/>
        <v>64098</v>
      </c>
      <c r="W33" s="19">
        <f t="shared" si="4"/>
        <v>173.70731707317074</v>
      </c>
      <c r="X33" s="29">
        <f>X6-X11</f>
        <v>52588</v>
      </c>
    </row>
    <row r="34" spans="1:24" s="4" customFormat="1" ht="9" x14ac:dyDescent="0.2">
      <c r="A34" s="187" t="s">
        <v>56</v>
      </c>
      <c r="B34" s="841" t="s">
        <v>24</v>
      </c>
      <c r="C34" s="842"/>
      <c r="D34" s="188" t="s">
        <v>25</v>
      </c>
      <c r="E34" s="142">
        <v>24000</v>
      </c>
      <c r="F34" s="143">
        <v>24000</v>
      </c>
      <c r="G34" s="143">
        <v>25015</v>
      </c>
      <c r="H34" s="12">
        <f t="shared" si="0"/>
        <v>104.22916666666666</v>
      </c>
      <c r="I34" s="247">
        <v>24851</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50</v>
      </c>
      <c r="F35" s="145">
        <v>50</v>
      </c>
      <c r="G35" s="145">
        <v>50</v>
      </c>
      <c r="H35" s="232">
        <f t="shared" si="0"/>
        <v>100</v>
      </c>
      <c r="I35" s="248">
        <v>47</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56</v>
      </c>
      <c r="F36" s="249">
        <v>56</v>
      </c>
      <c r="G36" s="249">
        <v>57</v>
      </c>
      <c r="H36" s="233">
        <f t="shared" si="0"/>
        <v>101.78571428571428</v>
      </c>
      <c r="I36" s="250">
        <v>52</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85"/>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3">
      <c r="A1" s="60" t="s">
        <v>81</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371" t="s">
        <v>25</v>
      </c>
      <c r="D5" s="788" t="s">
        <v>176</v>
      </c>
      <c r="E5" s="788"/>
      <c r="F5" s="788"/>
      <c r="G5" s="788"/>
      <c r="H5" s="788"/>
      <c r="I5" s="788"/>
    </row>
    <row r="6" spans="1:9" s="87" customFormat="1" ht="11.25" x14ac:dyDescent="0.2">
      <c r="A6" s="792" t="s">
        <v>177</v>
      </c>
      <c r="B6" s="792"/>
      <c r="C6" s="283">
        <f>SUM(C7:C9)</f>
        <v>197707.44</v>
      </c>
      <c r="D6" s="990"/>
      <c r="E6" s="991"/>
      <c r="F6" s="991"/>
      <c r="G6" s="991"/>
      <c r="H6" s="991"/>
      <c r="I6" s="992"/>
    </row>
    <row r="7" spans="1:9" s="87" customFormat="1" ht="22.5" customHeight="1" x14ac:dyDescent="0.2">
      <c r="A7" s="796" t="s">
        <v>69</v>
      </c>
      <c r="B7" s="797"/>
      <c r="C7" s="284">
        <v>107296.2</v>
      </c>
      <c r="D7" s="798" t="s">
        <v>513</v>
      </c>
      <c r="E7" s="798"/>
      <c r="F7" s="798"/>
      <c r="G7" s="798"/>
      <c r="H7" s="798"/>
      <c r="I7" s="798"/>
    </row>
    <row r="8" spans="1:9" s="88" customFormat="1" ht="22.5" customHeight="1" x14ac:dyDescent="0.15">
      <c r="A8" s="757" t="s">
        <v>178</v>
      </c>
      <c r="B8" s="758"/>
      <c r="C8" s="285">
        <v>90411.24</v>
      </c>
      <c r="D8" s="737" t="s">
        <v>1219</v>
      </c>
      <c r="E8" s="737"/>
      <c r="F8" s="737"/>
      <c r="G8" s="737"/>
      <c r="H8" s="737"/>
      <c r="I8" s="737"/>
    </row>
    <row r="9" spans="1:9" s="88" customFormat="1" ht="10.5" x14ac:dyDescent="0.15">
      <c r="A9" s="757" t="s">
        <v>179</v>
      </c>
      <c r="B9" s="758"/>
      <c r="C9" s="285">
        <v>0</v>
      </c>
      <c r="D9" s="980"/>
      <c r="E9" s="981"/>
      <c r="F9" s="981"/>
      <c r="G9" s="981"/>
      <c r="H9" s="981"/>
      <c r="I9" s="982"/>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371" t="s">
        <v>68</v>
      </c>
      <c r="B13" s="371" t="s">
        <v>181</v>
      </c>
      <c r="C13" s="371"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187707.44</v>
      </c>
      <c r="D15" s="295"/>
      <c r="E15" s="296"/>
      <c r="F15" s="296"/>
      <c r="G15" s="296"/>
      <c r="H15" s="296"/>
      <c r="I15" s="296"/>
    </row>
    <row r="16" spans="1:9" s="87" customFormat="1" ht="11.25" x14ac:dyDescent="0.2">
      <c r="A16" s="763"/>
      <c r="B16" s="297" t="s">
        <v>71</v>
      </c>
      <c r="C16" s="298">
        <v>10000</v>
      </c>
      <c r="D16" s="299"/>
      <c r="E16" s="300"/>
      <c r="F16" s="300"/>
      <c r="G16" s="300"/>
      <c r="H16" s="300"/>
      <c r="I16" s="300"/>
    </row>
    <row r="17" spans="1:9" s="87" customFormat="1" ht="11.25" x14ac:dyDescent="0.2">
      <c r="A17" s="372" t="s">
        <v>177</v>
      </c>
      <c r="B17" s="302"/>
      <c r="C17" s="283">
        <f>SUM(C14:C16)</f>
        <v>197707.44</v>
      </c>
      <c r="D17" s="303"/>
      <c r="E17" s="303"/>
      <c r="F17" s="303"/>
      <c r="G17" s="303"/>
      <c r="H17" s="303"/>
      <c r="I17" s="303"/>
    </row>
    <row r="18" spans="1:9" s="87" customFormat="1" ht="11.25" x14ac:dyDescent="0.2">
      <c r="C18" s="89"/>
    </row>
    <row r="19" spans="1:9" s="91" customFormat="1" ht="11.25" x14ac:dyDescent="0.2">
      <c r="A19" s="742" t="s">
        <v>184</v>
      </c>
      <c r="B19" s="742"/>
      <c r="C19" s="742"/>
      <c r="D19" s="742"/>
      <c r="E19" s="742"/>
      <c r="F19" s="742"/>
      <c r="G19" s="742"/>
      <c r="H19" s="742"/>
      <c r="I19" s="742"/>
    </row>
    <row r="20" spans="1:9" s="87" customFormat="1" ht="11.25" x14ac:dyDescent="0.2">
      <c r="C20" s="89"/>
    </row>
    <row r="21" spans="1:9" s="87" customFormat="1" ht="21" x14ac:dyDescent="0.2">
      <c r="A21" s="374" t="s">
        <v>181</v>
      </c>
      <c r="B21" s="374" t="s">
        <v>185</v>
      </c>
      <c r="C21" s="307" t="s">
        <v>186</v>
      </c>
      <c r="D21" s="374" t="s">
        <v>187</v>
      </c>
      <c r="E21" s="374" t="s">
        <v>188</v>
      </c>
      <c r="F21" s="764" t="s">
        <v>189</v>
      </c>
      <c r="G21" s="764"/>
      <c r="H21" s="764"/>
      <c r="I21" s="764"/>
    </row>
    <row r="22" spans="1:9" s="309" customFormat="1" ht="36" customHeight="1" x14ac:dyDescent="0.15">
      <c r="A22" s="310" t="s">
        <v>190</v>
      </c>
      <c r="B22" s="124">
        <v>44216.35</v>
      </c>
      <c r="C22" s="124">
        <v>226170.42</v>
      </c>
      <c r="D22" s="124">
        <v>157614.79999999999</v>
      </c>
      <c r="E22" s="124">
        <f>B22+C22-D22</f>
        <v>112771.97000000003</v>
      </c>
      <c r="F22" s="778" t="s">
        <v>514</v>
      </c>
      <c r="G22" s="779"/>
      <c r="H22" s="779"/>
      <c r="I22" s="780"/>
    </row>
    <row r="23" spans="1:9" s="87" customFormat="1" ht="24.75" customHeight="1" x14ac:dyDescent="0.2">
      <c r="A23" s="293" t="s">
        <v>191</v>
      </c>
      <c r="B23" s="125">
        <v>1945.42</v>
      </c>
      <c r="C23" s="125">
        <v>1843538.5</v>
      </c>
      <c r="D23" s="125">
        <v>1618675</v>
      </c>
      <c r="E23" s="125">
        <f t="shared" ref="E23:E25" si="0">B23+C23-D23</f>
        <v>226808.91999999993</v>
      </c>
      <c r="F23" s="781" t="s">
        <v>1220</v>
      </c>
      <c r="G23" s="782"/>
      <c r="H23" s="782"/>
      <c r="I23" s="783"/>
    </row>
    <row r="24" spans="1:9" s="87" customFormat="1" ht="10.15" customHeight="1" x14ac:dyDescent="0.2">
      <c r="A24" s="293" t="s">
        <v>71</v>
      </c>
      <c r="B24" s="125">
        <v>63737</v>
      </c>
      <c r="C24" s="125">
        <v>0</v>
      </c>
      <c r="D24" s="125">
        <v>6320</v>
      </c>
      <c r="E24" s="125">
        <f t="shared" si="0"/>
        <v>57417</v>
      </c>
      <c r="F24" s="781" t="s">
        <v>515</v>
      </c>
      <c r="G24" s="782"/>
      <c r="H24" s="782"/>
      <c r="I24" s="783"/>
    </row>
    <row r="25" spans="1:9" s="87" customFormat="1" ht="23.25" customHeight="1" x14ac:dyDescent="0.2">
      <c r="A25" s="293" t="s">
        <v>193</v>
      </c>
      <c r="B25" s="125">
        <v>174901.04</v>
      </c>
      <c r="C25" s="125">
        <v>250294</v>
      </c>
      <c r="D25" s="125">
        <v>205892</v>
      </c>
      <c r="E25" s="125">
        <f t="shared" si="0"/>
        <v>219303.04000000004</v>
      </c>
      <c r="F25" s="781" t="s">
        <v>516</v>
      </c>
      <c r="G25" s="782"/>
      <c r="H25" s="782"/>
      <c r="I25" s="783"/>
    </row>
    <row r="26" spans="1:9" s="87" customFormat="1" ht="11.25" customHeight="1" x14ac:dyDescent="0.2">
      <c r="A26" s="670" t="s">
        <v>34</v>
      </c>
      <c r="B26" s="283">
        <f>SUM(B22:B25)</f>
        <v>284799.81</v>
      </c>
      <c r="C26" s="283">
        <f>SUM(C22:C25)</f>
        <v>2320002.92</v>
      </c>
      <c r="D26" s="283">
        <f>SUM(D22:D25)</f>
        <v>1988501.8</v>
      </c>
      <c r="E26" s="283">
        <f>SUM(E22:E25)</f>
        <v>616300.92999999993</v>
      </c>
      <c r="F26" s="787"/>
      <c r="G26" s="787"/>
      <c r="H26" s="787"/>
      <c r="I26" s="787"/>
    </row>
    <row r="27" spans="1:9" s="88" customFormat="1" ht="11.25" customHeight="1" x14ac:dyDescent="0.2">
      <c r="A27" s="87"/>
      <c r="B27" s="87"/>
      <c r="C27" s="89"/>
      <c r="D27" s="87"/>
      <c r="E27" s="87"/>
      <c r="F27" s="87"/>
      <c r="G27" s="87"/>
      <c r="H27" s="87"/>
      <c r="I27" s="87"/>
    </row>
    <row r="28" spans="1:9" s="88" customFormat="1" ht="11.25" customHeight="1" x14ac:dyDescent="0.15">
      <c r="A28" s="742" t="s">
        <v>195</v>
      </c>
      <c r="B28" s="742"/>
      <c r="C28" s="742"/>
      <c r="D28" s="742"/>
      <c r="E28" s="742"/>
      <c r="F28" s="742"/>
      <c r="G28" s="742"/>
      <c r="H28" s="742"/>
      <c r="I28" s="742"/>
    </row>
    <row r="29" spans="1:9" s="88" customFormat="1" ht="11.25" customHeight="1" x14ac:dyDescent="0.2">
      <c r="A29" s="87"/>
      <c r="B29" s="87"/>
      <c r="C29" s="89"/>
      <c r="D29" s="87"/>
      <c r="E29" s="87"/>
      <c r="F29" s="87"/>
      <c r="G29" s="87"/>
      <c r="H29" s="87"/>
      <c r="I29" s="87"/>
    </row>
    <row r="30" spans="1:9" s="87" customFormat="1" ht="11.25" customHeight="1" x14ac:dyDescent="0.2">
      <c r="A30" s="371" t="s">
        <v>72</v>
      </c>
      <c r="B30" s="371" t="s">
        <v>25</v>
      </c>
      <c r="C30" s="373" t="s">
        <v>73</v>
      </c>
      <c r="D30" s="788" t="s">
        <v>196</v>
      </c>
      <c r="E30" s="788"/>
      <c r="F30" s="788"/>
      <c r="G30" s="788"/>
      <c r="H30" s="788"/>
      <c r="I30" s="788"/>
    </row>
    <row r="31" spans="1:9" s="87" customFormat="1" ht="22.5" customHeight="1" x14ac:dyDescent="0.2">
      <c r="A31" s="448" t="s">
        <v>517</v>
      </c>
      <c r="B31" s="131">
        <v>4701</v>
      </c>
      <c r="C31" s="314"/>
      <c r="D31" s="778" t="s">
        <v>518</v>
      </c>
      <c r="E31" s="746"/>
      <c r="F31" s="746"/>
      <c r="G31" s="746"/>
      <c r="H31" s="746"/>
      <c r="I31" s="775"/>
    </row>
    <row r="32" spans="1:9" s="87" customFormat="1" ht="11.25" x14ac:dyDescent="0.2">
      <c r="A32" s="315" t="s">
        <v>34</v>
      </c>
      <c r="B32" s="316">
        <f>SUM(B31:B31)</f>
        <v>4701</v>
      </c>
      <c r="C32" s="777"/>
      <c r="D32" s="777"/>
      <c r="E32" s="777"/>
      <c r="F32" s="777"/>
      <c r="G32" s="777"/>
      <c r="H32" s="777"/>
      <c r="I32" s="777"/>
    </row>
    <row r="33" spans="1:9" s="88" customFormat="1" ht="11.25" customHeight="1" x14ac:dyDescent="0.2">
      <c r="A33" s="87"/>
      <c r="B33" s="87"/>
      <c r="C33" s="89"/>
      <c r="D33" s="87"/>
      <c r="E33" s="87"/>
      <c r="F33" s="87"/>
      <c r="G33" s="87"/>
      <c r="H33" s="87"/>
      <c r="I33" s="87"/>
    </row>
    <row r="34" spans="1:9" s="88" customFormat="1" ht="11.25" customHeight="1" x14ac:dyDescent="0.15">
      <c r="A34" s="742" t="s">
        <v>197</v>
      </c>
      <c r="B34" s="742"/>
      <c r="C34" s="742"/>
      <c r="D34" s="742"/>
      <c r="E34" s="742"/>
      <c r="F34" s="742"/>
      <c r="G34" s="742"/>
      <c r="H34" s="742"/>
      <c r="I34" s="742"/>
    </row>
    <row r="35" spans="1:9" s="88" customFormat="1" ht="11.25" x14ac:dyDescent="0.2">
      <c r="A35" s="87"/>
      <c r="B35" s="87"/>
      <c r="C35" s="89"/>
      <c r="D35" s="87"/>
      <c r="E35" s="87"/>
      <c r="F35" s="87"/>
      <c r="G35" s="87"/>
      <c r="H35" s="87"/>
      <c r="I35" s="87"/>
    </row>
    <row r="36" spans="1:9" s="87" customFormat="1" ht="11.25" x14ac:dyDescent="0.2">
      <c r="A36" s="371" t="s">
        <v>72</v>
      </c>
      <c r="B36" s="371" t="s">
        <v>25</v>
      </c>
      <c r="C36" s="373" t="s">
        <v>73</v>
      </c>
      <c r="D36" s="788" t="s">
        <v>196</v>
      </c>
      <c r="E36" s="788"/>
      <c r="F36" s="788"/>
      <c r="G36" s="788"/>
      <c r="H36" s="788"/>
      <c r="I36" s="788"/>
    </row>
    <row r="37" spans="1:9" s="87" customFormat="1" ht="11.25" x14ac:dyDescent="0.2">
      <c r="A37" s="448"/>
      <c r="B37" s="131">
        <v>0</v>
      </c>
      <c r="C37" s="314"/>
      <c r="D37" s="774"/>
      <c r="E37" s="746"/>
      <c r="F37" s="746"/>
      <c r="G37" s="746"/>
      <c r="H37" s="746"/>
      <c r="I37" s="775"/>
    </row>
    <row r="38" spans="1:9" s="87" customFormat="1" ht="11.25" x14ac:dyDescent="0.2">
      <c r="A38" s="315" t="s">
        <v>34</v>
      </c>
      <c r="B38" s="316">
        <f>SUM(B37:B37)</f>
        <v>0</v>
      </c>
      <c r="C38" s="776"/>
      <c r="D38" s="776"/>
      <c r="E38" s="776"/>
      <c r="F38" s="776"/>
      <c r="G38" s="776"/>
      <c r="H38" s="776"/>
      <c r="I38" s="776"/>
    </row>
    <row r="39" spans="1:9" s="88" customFormat="1" ht="11.25" x14ac:dyDescent="0.2">
      <c r="A39" s="87"/>
      <c r="B39" s="87"/>
      <c r="C39" s="89"/>
      <c r="D39" s="87"/>
      <c r="E39" s="87"/>
      <c r="F39" s="87"/>
      <c r="G39" s="87"/>
      <c r="H39" s="87"/>
      <c r="I39" s="87"/>
    </row>
    <row r="40" spans="1:9" s="88" customFormat="1" ht="10.5" x14ac:dyDescent="0.15">
      <c r="A40" s="742" t="s">
        <v>198</v>
      </c>
      <c r="B40" s="742"/>
      <c r="C40" s="742"/>
      <c r="D40" s="742"/>
      <c r="E40" s="742"/>
      <c r="F40" s="742"/>
      <c r="G40" s="742"/>
      <c r="H40" s="742"/>
      <c r="I40" s="742"/>
    </row>
    <row r="41" spans="1:9" s="88" customFormat="1" ht="11.25" x14ac:dyDescent="0.2">
      <c r="A41" s="87"/>
      <c r="B41" s="87"/>
      <c r="C41" s="89"/>
      <c r="D41" s="87"/>
      <c r="E41" s="87"/>
      <c r="F41" s="87"/>
      <c r="G41" s="87"/>
      <c r="H41" s="87"/>
      <c r="I41" s="87"/>
    </row>
    <row r="42" spans="1:9" s="87" customFormat="1" ht="21" x14ac:dyDescent="0.2">
      <c r="A42" s="371" t="s">
        <v>25</v>
      </c>
      <c r="B42" s="344" t="s">
        <v>100</v>
      </c>
      <c r="C42" s="765" t="s">
        <v>74</v>
      </c>
      <c r="D42" s="765"/>
      <c r="E42" s="765"/>
      <c r="F42" s="765"/>
      <c r="G42" s="765"/>
      <c r="H42" s="765"/>
      <c r="I42" s="765"/>
    </row>
    <row r="43" spans="1:9" s="87" customFormat="1" ht="11.25" customHeight="1" x14ac:dyDescent="0.2">
      <c r="A43" s="124">
        <v>40000</v>
      </c>
      <c r="B43" s="124">
        <v>40000</v>
      </c>
      <c r="C43" s="768" t="s">
        <v>1221</v>
      </c>
      <c r="D43" s="769"/>
      <c r="E43" s="769"/>
      <c r="F43" s="769"/>
      <c r="G43" s="769"/>
      <c r="H43" s="769"/>
      <c r="I43" s="770"/>
    </row>
    <row r="44" spans="1:9" s="87" customFormat="1" ht="11.25" customHeight="1" x14ac:dyDescent="0.2">
      <c r="A44" s="125">
        <v>3000</v>
      </c>
      <c r="B44" s="125">
        <v>3000</v>
      </c>
      <c r="C44" s="862"/>
      <c r="D44" s="863"/>
      <c r="E44" s="863"/>
      <c r="F44" s="863"/>
      <c r="G44" s="863"/>
      <c r="H44" s="863"/>
      <c r="I44" s="988"/>
    </row>
    <row r="45" spans="1:9" s="87" customFormat="1" ht="11.25" customHeight="1" x14ac:dyDescent="0.2">
      <c r="A45" s="125">
        <v>2038</v>
      </c>
      <c r="B45" s="125">
        <v>2038</v>
      </c>
      <c r="C45" s="862"/>
      <c r="D45" s="863"/>
      <c r="E45" s="863"/>
      <c r="F45" s="863"/>
      <c r="G45" s="863"/>
      <c r="H45" s="863"/>
      <c r="I45" s="988"/>
    </row>
    <row r="46" spans="1:9" s="87" customFormat="1" ht="11.25" customHeight="1" x14ac:dyDescent="0.2">
      <c r="A46" s="125">
        <v>43551</v>
      </c>
      <c r="B46" s="125">
        <v>43551</v>
      </c>
      <c r="C46" s="862"/>
      <c r="D46" s="863"/>
      <c r="E46" s="863"/>
      <c r="F46" s="863"/>
      <c r="G46" s="863"/>
      <c r="H46" s="863"/>
      <c r="I46" s="988"/>
    </row>
    <row r="47" spans="1:9" s="87" customFormat="1" ht="11.25" customHeight="1" x14ac:dyDescent="0.2">
      <c r="A47" s="126">
        <v>12500</v>
      </c>
      <c r="B47" s="126">
        <v>12500</v>
      </c>
      <c r="C47" s="864"/>
      <c r="D47" s="865"/>
      <c r="E47" s="865"/>
      <c r="F47" s="865"/>
      <c r="G47" s="865"/>
      <c r="H47" s="865"/>
      <c r="I47" s="996"/>
    </row>
    <row r="48" spans="1:9" s="87" customFormat="1" ht="11.25" x14ac:dyDescent="0.2">
      <c r="A48" s="283">
        <f>SUM(A43:A47)</f>
        <v>101089</v>
      </c>
      <c r="B48" s="283">
        <f>SUM(B43:B47)</f>
        <v>101089</v>
      </c>
      <c r="C48" s="767" t="s">
        <v>34</v>
      </c>
      <c r="D48" s="767"/>
      <c r="E48" s="767"/>
      <c r="F48" s="767"/>
      <c r="G48" s="767"/>
      <c r="H48" s="767"/>
      <c r="I48" s="767"/>
    </row>
    <row r="49" spans="1:9" s="87" customFormat="1" ht="11.25" x14ac:dyDescent="0.2">
      <c r="C49" s="89"/>
    </row>
    <row r="50" spans="1:9" s="87" customFormat="1" ht="11.25" x14ac:dyDescent="0.2">
      <c r="A50" s="742" t="s">
        <v>199</v>
      </c>
      <c r="B50" s="742"/>
      <c r="C50" s="742"/>
      <c r="D50" s="742"/>
      <c r="E50" s="742"/>
      <c r="F50" s="742"/>
      <c r="G50" s="742"/>
      <c r="H50" s="742"/>
      <c r="I50" s="742"/>
    </row>
    <row r="51" spans="1:9" s="88" customFormat="1" ht="11.25" x14ac:dyDescent="0.2">
      <c r="A51" s="87"/>
      <c r="B51" s="87"/>
      <c r="C51" s="89"/>
      <c r="D51" s="87"/>
      <c r="E51" s="87"/>
      <c r="F51" s="87"/>
      <c r="G51" s="87"/>
      <c r="H51" s="87"/>
      <c r="I51" s="87"/>
    </row>
    <row r="52" spans="1:9" s="87" customFormat="1" ht="31.5" x14ac:dyDescent="0.25">
      <c r="A52" s="743" t="s">
        <v>101</v>
      </c>
      <c r="B52" s="744"/>
      <c r="C52" s="374" t="s">
        <v>102</v>
      </c>
      <c r="D52" s="374" t="s">
        <v>103</v>
      </c>
      <c r="E52" s="374" t="s">
        <v>104</v>
      </c>
      <c r="F52" s="374" t="s">
        <v>105</v>
      </c>
      <c r="G52" s="374" t="s">
        <v>94</v>
      </c>
      <c r="H52" s="151"/>
      <c r="I52" s="151"/>
    </row>
    <row r="53" spans="1:9" s="87" customFormat="1" ht="11.25" x14ac:dyDescent="0.2">
      <c r="A53" s="868" t="s">
        <v>519</v>
      </c>
      <c r="B53" s="868"/>
      <c r="C53" s="165" t="s">
        <v>122</v>
      </c>
      <c r="D53" s="93"/>
      <c r="E53" s="93">
        <v>3000</v>
      </c>
      <c r="F53" s="451"/>
      <c r="G53" s="451"/>
    </row>
    <row r="54" spans="1:9" s="87" customFormat="1" ht="11.25" x14ac:dyDescent="0.2">
      <c r="A54" s="867"/>
      <c r="B54" s="867"/>
      <c r="C54" s="166" t="s">
        <v>123</v>
      </c>
      <c r="D54" s="148">
        <v>3000</v>
      </c>
      <c r="E54" s="148"/>
      <c r="F54" s="452">
        <v>42009</v>
      </c>
      <c r="G54" s="452">
        <v>42011</v>
      </c>
    </row>
    <row r="55" spans="1:9" s="151" customFormat="1" ht="15" x14ac:dyDescent="0.25">
      <c r="A55" s="867" t="s">
        <v>519</v>
      </c>
      <c r="B55" s="867"/>
      <c r="C55" s="166" t="s">
        <v>124</v>
      </c>
      <c r="D55" s="148"/>
      <c r="E55" s="148">
        <v>14200</v>
      </c>
      <c r="F55" s="452"/>
      <c r="G55" s="452"/>
      <c r="H55" s="87"/>
      <c r="I55" s="87"/>
    </row>
    <row r="56" spans="1:9" s="87" customFormat="1" ht="11.25" x14ac:dyDescent="0.2">
      <c r="A56" s="867"/>
      <c r="B56" s="867"/>
      <c r="C56" s="166" t="s">
        <v>119</v>
      </c>
      <c r="D56" s="148"/>
      <c r="E56" s="148">
        <v>8500</v>
      </c>
      <c r="F56" s="452"/>
      <c r="G56" s="452"/>
    </row>
    <row r="57" spans="1:9" s="87" customFormat="1" ht="11.25" x14ac:dyDescent="0.2">
      <c r="A57" s="867"/>
      <c r="B57" s="867"/>
      <c r="C57" s="166" t="s">
        <v>125</v>
      </c>
      <c r="D57" s="148"/>
      <c r="E57" s="148">
        <v>17300</v>
      </c>
      <c r="F57" s="452"/>
      <c r="G57" s="452"/>
    </row>
    <row r="58" spans="1:9" s="87" customFormat="1" ht="11.25" x14ac:dyDescent="0.2">
      <c r="A58" s="867"/>
      <c r="B58" s="867"/>
      <c r="C58" s="166" t="s">
        <v>123</v>
      </c>
      <c r="D58" s="148">
        <v>40000</v>
      </c>
      <c r="E58" s="148"/>
      <c r="F58" s="452">
        <v>42011</v>
      </c>
      <c r="G58" s="452">
        <v>42016</v>
      </c>
    </row>
    <row r="59" spans="1:9" s="87" customFormat="1" ht="11.25" x14ac:dyDescent="0.2">
      <c r="A59" s="867" t="s">
        <v>520</v>
      </c>
      <c r="B59" s="867"/>
      <c r="C59" s="166" t="s">
        <v>126</v>
      </c>
      <c r="D59" s="148"/>
      <c r="E59" s="148">
        <v>153120</v>
      </c>
      <c r="F59" s="452"/>
      <c r="G59" s="452"/>
    </row>
    <row r="60" spans="1:9" s="87" customFormat="1" ht="11.25" x14ac:dyDescent="0.2">
      <c r="A60" s="867"/>
      <c r="B60" s="867"/>
      <c r="C60" s="166" t="s">
        <v>114</v>
      </c>
      <c r="D60" s="148">
        <v>153120</v>
      </c>
      <c r="E60" s="148"/>
      <c r="F60" s="452">
        <v>42080</v>
      </c>
      <c r="G60" s="452">
        <v>42129</v>
      </c>
    </row>
    <row r="61" spans="1:9" s="87" customFormat="1" ht="11.25" x14ac:dyDescent="0.2">
      <c r="A61" s="867" t="s">
        <v>521</v>
      </c>
      <c r="B61" s="867"/>
      <c r="C61" s="166" t="s">
        <v>112</v>
      </c>
      <c r="D61" s="148"/>
      <c r="E61" s="148">
        <v>1036442</v>
      </c>
      <c r="F61" s="452">
        <v>42107</v>
      </c>
      <c r="G61" s="452">
        <v>42129</v>
      </c>
    </row>
    <row r="62" spans="1:9" s="87" customFormat="1" ht="11.25" x14ac:dyDescent="0.2">
      <c r="A62" s="867"/>
      <c r="B62" s="867"/>
      <c r="C62" s="166" t="s">
        <v>114</v>
      </c>
      <c r="D62" s="148">
        <v>1036442</v>
      </c>
      <c r="E62" s="148"/>
      <c r="F62" s="452"/>
      <c r="G62" s="452"/>
    </row>
    <row r="63" spans="1:9" s="87" customFormat="1" ht="11.25" x14ac:dyDescent="0.2">
      <c r="A63" s="867" t="s">
        <v>522</v>
      </c>
      <c r="B63" s="867"/>
      <c r="C63" s="166" t="s">
        <v>127</v>
      </c>
      <c r="D63" s="148"/>
      <c r="E63" s="148">
        <v>4800</v>
      </c>
      <c r="F63" s="452">
        <v>42124</v>
      </c>
      <c r="G63" s="452">
        <v>42129</v>
      </c>
    </row>
    <row r="64" spans="1:9" s="87" customFormat="1" ht="11.25" x14ac:dyDescent="0.2">
      <c r="A64" s="867"/>
      <c r="B64" s="867"/>
      <c r="C64" s="166" t="s">
        <v>128</v>
      </c>
      <c r="D64" s="148"/>
      <c r="E64" s="148">
        <v>-4800</v>
      </c>
      <c r="F64" s="452"/>
      <c r="G64" s="452"/>
    </row>
    <row r="65" spans="1:7" s="87" customFormat="1" ht="11.25" x14ac:dyDescent="0.2">
      <c r="A65" s="867" t="s">
        <v>523</v>
      </c>
      <c r="B65" s="867"/>
      <c r="C65" s="166" t="s">
        <v>129</v>
      </c>
      <c r="D65" s="148"/>
      <c r="E65" s="148">
        <v>5500</v>
      </c>
      <c r="F65" s="452">
        <v>42124</v>
      </c>
      <c r="G65" s="452">
        <v>42129</v>
      </c>
    </row>
    <row r="66" spans="1:7" s="87" customFormat="1" ht="11.25" x14ac:dyDescent="0.2">
      <c r="A66" s="867"/>
      <c r="B66" s="867"/>
      <c r="C66" s="166" t="s">
        <v>130</v>
      </c>
      <c r="D66" s="148"/>
      <c r="E66" s="148">
        <v>300</v>
      </c>
      <c r="F66" s="452"/>
      <c r="G66" s="452"/>
    </row>
    <row r="67" spans="1:7" s="87" customFormat="1" ht="11.25" x14ac:dyDescent="0.2">
      <c r="A67" s="867"/>
      <c r="B67" s="867"/>
      <c r="C67" s="166" t="s">
        <v>109</v>
      </c>
      <c r="D67" s="148"/>
      <c r="E67" s="148">
        <v>-300</v>
      </c>
      <c r="F67" s="452"/>
      <c r="G67" s="452"/>
    </row>
    <row r="68" spans="1:7" s="87" customFormat="1" ht="11.25" x14ac:dyDescent="0.2">
      <c r="A68" s="867"/>
      <c r="B68" s="867"/>
      <c r="C68" s="166" t="s">
        <v>131</v>
      </c>
      <c r="D68" s="148"/>
      <c r="E68" s="148">
        <v>-5500</v>
      </c>
      <c r="F68" s="452"/>
      <c r="G68" s="452"/>
    </row>
    <row r="69" spans="1:7" s="87" customFormat="1" ht="11.25" x14ac:dyDescent="0.2">
      <c r="A69" s="867" t="s">
        <v>524</v>
      </c>
      <c r="B69" s="867"/>
      <c r="C69" s="166" t="s">
        <v>113</v>
      </c>
      <c r="D69" s="148"/>
      <c r="E69" s="148">
        <v>40000</v>
      </c>
      <c r="F69" s="452">
        <v>42149</v>
      </c>
      <c r="G69" s="452">
        <v>42150</v>
      </c>
    </row>
    <row r="70" spans="1:7" s="87" customFormat="1" ht="11.25" x14ac:dyDescent="0.2">
      <c r="A70" s="867"/>
      <c r="B70" s="867"/>
      <c r="C70" s="166" t="s">
        <v>132</v>
      </c>
      <c r="D70" s="148"/>
      <c r="E70" s="148">
        <v>3551</v>
      </c>
      <c r="F70" s="452"/>
      <c r="G70" s="452"/>
    </row>
    <row r="71" spans="1:7" s="87" customFormat="1" ht="11.25" x14ac:dyDescent="0.2">
      <c r="A71" s="867"/>
      <c r="B71" s="867"/>
      <c r="C71" s="166" t="s">
        <v>123</v>
      </c>
      <c r="D71" s="148">
        <v>43551</v>
      </c>
      <c r="E71" s="148"/>
      <c r="F71" s="452"/>
      <c r="G71" s="452"/>
    </row>
    <row r="72" spans="1:7" s="87" customFormat="1" ht="11.25" x14ac:dyDescent="0.2">
      <c r="A72" s="867" t="s">
        <v>525</v>
      </c>
      <c r="B72" s="867"/>
      <c r="C72" s="166" t="s">
        <v>133</v>
      </c>
      <c r="D72" s="148"/>
      <c r="E72" s="148">
        <v>8000</v>
      </c>
      <c r="F72" s="452">
        <v>42150</v>
      </c>
      <c r="G72" s="452">
        <v>42157</v>
      </c>
    </row>
    <row r="73" spans="1:7" s="87" customFormat="1" ht="11.25" x14ac:dyDescent="0.2">
      <c r="A73" s="867"/>
      <c r="B73" s="867"/>
      <c r="C73" s="166" t="s">
        <v>114</v>
      </c>
      <c r="D73" s="148">
        <v>8000</v>
      </c>
      <c r="E73" s="148"/>
      <c r="F73" s="452"/>
      <c r="G73" s="452"/>
    </row>
    <row r="74" spans="1:7" s="87" customFormat="1" ht="11.25" x14ac:dyDescent="0.2">
      <c r="A74" s="867" t="s">
        <v>526</v>
      </c>
      <c r="B74" s="867"/>
      <c r="C74" s="166" t="s">
        <v>134</v>
      </c>
      <c r="D74" s="148">
        <v>155000</v>
      </c>
      <c r="E74" s="148"/>
      <c r="F74" s="452">
        <v>42159</v>
      </c>
      <c r="G74" s="452">
        <v>42159</v>
      </c>
    </row>
    <row r="75" spans="1:7" s="87" customFormat="1" ht="11.25" x14ac:dyDescent="0.2">
      <c r="A75" s="867"/>
      <c r="B75" s="867"/>
      <c r="C75" s="166" t="s">
        <v>135</v>
      </c>
      <c r="D75" s="148"/>
      <c r="E75" s="148">
        <v>30000</v>
      </c>
      <c r="F75" s="452"/>
      <c r="G75" s="452"/>
    </row>
    <row r="76" spans="1:7" s="87" customFormat="1" ht="11.25" x14ac:dyDescent="0.2">
      <c r="A76" s="867"/>
      <c r="B76" s="867"/>
      <c r="C76" s="166" t="s">
        <v>136</v>
      </c>
      <c r="D76" s="148"/>
      <c r="E76" s="148">
        <v>15000</v>
      </c>
      <c r="F76" s="452"/>
      <c r="G76" s="452"/>
    </row>
    <row r="77" spans="1:7" s="87" customFormat="1" ht="11.25" x14ac:dyDescent="0.2">
      <c r="A77" s="867"/>
      <c r="B77" s="867"/>
      <c r="C77" s="166" t="s">
        <v>137</v>
      </c>
      <c r="D77" s="148"/>
      <c r="E77" s="148">
        <v>45000</v>
      </c>
      <c r="F77" s="452"/>
      <c r="G77" s="452"/>
    </row>
    <row r="78" spans="1:7" s="87" customFormat="1" ht="11.25" x14ac:dyDescent="0.2">
      <c r="A78" s="867"/>
      <c r="B78" s="867"/>
      <c r="C78" s="166" t="s">
        <v>138</v>
      </c>
      <c r="D78" s="148"/>
      <c r="E78" s="148">
        <v>20000</v>
      </c>
      <c r="F78" s="452"/>
      <c r="G78" s="452"/>
    </row>
    <row r="79" spans="1:7" s="87" customFormat="1" ht="11.25" x14ac:dyDescent="0.2">
      <c r="A79" s="867"/>
      <c r="B79" s="867"/>
      <c r="C79" s="166" t="s">
        <v>139</v>
      </c>
      <c r="D79" s="148"/>
      <c r="E79" s="148">
        <v>45000</v>
      </c>
      <c r="F79" s="452"/>
      <c r="G79" s="452"/>
    </row>
    <row r="80" spans="1:7" s="87" customFormat="1" ht="11.25" x14ac:dyDescent="0.2">
      <c r="A80" s="867" t="s">
        <v>1222</v>
      </c>
      <c r="B80" s="867"/>
      <c r="C80" s="166">
        <v>5580300</v>
      </c>
      <c r="D80" s="148"/>
      <c r="E80" s="148">
        <v>38650</v>
      </c>
      <c r="F80" s="452"/>
      <c r="G80" s="452"/>
    </row>
    <row r="81" spans="1:7" s="87" customFormat="1" ht="11.25" x14ac:dyDescent="0.2">
      <c r="A81" s="867"/>
      <c r="B81" s="867"/>
      <c r="C81" s="166">
        <v>6480311</v>
      </c>
      <c r="D81" s="148">
        <v>38650</v>
      </c>
      <c r="E81" s="148"/>
      <c r="F81" s="452">
        <v>42163</v>
      </c>
      <c r="G81" s="452">
        <v>42173</v>
      </c>
    </row>
    <row r="82" spans="1:7" s="87" customFormat="1" ht="11.25" x14ac:dyDescent="0.2">
      <c r="A82" s="867"/>
      <c r="B82" s="867"/>
      <c r="C82" s="166"/>
      <c r="D82" s="148"/>
      <c r="E82" s="148"/>
      <c r="F82" s="452"/>
      <c r="G82" s="452"/>
    </row>
    <row r="83" spans="1:7" s="87" customFormat="1" ht="11.25" x14ac:dyDescent="0.2">
      <c r="A83" s="867"/>
      <c r="B83" s="867"/>
      <c r="C83" s="166">
        <v>5580300</v>
      </c>
      <c r="D83" s="148"/>
      <c r="E83" s="148">
        <v>12031</v>
      </c>
      <c r="F83" s="452"/>
      <c r="G83" s="452"/>
    </row>
    <row r="84" spans="1:7" s="87" customFormat="1" ht="11.25" x14ac:dyDescent="0.2">
      <c r="A84" s="867"/>
      <c r="B84" s="867"/>
      <c r="C84" s="166">
        <v>6480311</v>
      </c>
      <c r="D84" s="148">
        <v>12031</v>
      </c>
      <c r="E84" s="148"/>
      <c r="F84" s="452">
        <v>42163</v>
      </c>
      <c r="G84" s="452">
        <v>42173</v>
      </c>
    </row>
    <row r="85" spans="1:7" s="87" customFormat="1" ht="11.25" x14ac:dyDescent="0.2">
      <c r="A85" s="867"/>
      <c r="B85" s="867"/>
      <c r="C85" s="166"/>
      <c r="D85" s="148"/>
      <c r="E85" s="148"/>
      <c r="F85" s="452"/>
      <c r="G85" s="452"/>
    </row>
    <row r="86" spans="1:7" s="87" customFormat="1" ht="11.25" x14ac:dyDescent="0.2">
      <c r="A86" s="867" t="s">
        <v>527</v>
      </c>
      <c r="B86" s="867"/>
      <c r="C86" s="166" t="s">
        <v>141</v>
      </c>
      <c r="D86" s="148">
        <v>24423</v>
      </c>
      <c r="E86" s="148"/>
      <c r="F86" s="452">
        <v>42181</v>
      </c>
      <c r="G86" s="452">
        <v>42181</v>
      </c>
    </row>
    <row r="87" spans="1:7" s="87" customFormat="1" ht="11.25" x14ac:dyDescent="0.2">
      <c r="A87" s="867"/>
      <c r="B87" s="867"/>
      <c r="C87" s="166" t="s">
        <v>142</v>
      </c>
      <c r="D87" s="148"/>
      <c r="E87" s="148">
        <v>24423</v>
      </c>
      <c r="F87" s="452"/>
      <c r="G87" s="452"/>
    </row>
    <row r="88" spans="1:7" s="87" customFormat="1" ht="11.25" x14ac:dyDescent="0.2">
      <c r="A88" s="867" t="s">
        <v>519</v>
      </c>
      <c r="B88" s="867"/>
      <c r="C88" s="166" t="s">
        <v>143</v>
      </c>
      <c r="D88" s="148">
        <v>2038</v>
      </c>
      <c r="E88" s="148"/>
      <c r="F88" s="452"/>
      <c r="G88" s="452"/>
    </row>
    <row r="89" spans="1:7" s="87" customFormat="1" ht="11.25" x14ac:dyDescent="0.2">
      <c r="A89" s="867"/>
      <c r="B89" s="867"/>
      <c r="C89" s="166" t="s">
        <v>137</v>
      </c>
      <c r="D89" s="148"/>
      <c r="E89" s="148">
        <v>2038</v>
      </c>
      <c r="F89" s="452">
        <v>42181</v>
      </c>
      <c r="G89" s="452">
        <v>42181</v>
      </c>
    </row>
    <row r="90" spans="1:7" s="87" customFormat="1" ht="11.25" x14ac:dyDescent="0.2">
      <c r="A90" s="867" t="s">
        <v>528</v>
      </c>
      <c r="B90" s="867"/>
      <c r="C90" s="166"/>
      <c r="D90" s="148"/>
      <c r="E90" s="148"/>
      <c r="F90" s="452"/>
      <c r="G90" s="452"/>
    </row>
    <row r="91" spans="1:7" s="87" customFormat="1" ht="11.25" x14ac:dyDescent="0.2">
      <c r="A91" s="867"/>
      <c r="B91" s="867"/>
      <c r="C91" s="166" t="s">
        <v>144</v>
      </c>
      <c r="D91" s="148"/>
      <c r="E91" s="148">
        <v>-150000</v>
      </c>
      <c r="F91" s="452"/>
      <c r="G91" s="452"/>
    </row>
    <row r="92" spans="1:7" s="87" customFormat="1" ht="11.25" x14ac:dyDescent="0.2">
      <c r="A92" s="867"/>
      <c r="B92" s="867"/>
      <c r="C92" s="166" t="s">
        <v>145</v>
      </c>
      <c r="D92" s="148"/>
      <c r="E92" s="148">
        <v>150000</v>
      </c>
      <c r="F92" s="452">
        <v>42171</v>
      </c>
      <c r="G92" s="452">
        <v>42181</v>
      </c>
    </row>
    <row r="93" spans="1:7" s="87" customFormat="1" ht="11.25" x14ac:dyDescent="0.2">
      <c r="A93" s="867" t="s">
        <v>529</v>
      </c>
      <c r="B93" s="867"/>
      <c r="C93" s="166" t="s">
        <v>472</v>
      </c>
      <c r="D93" s="148"/>
      <c r="E93" s="148">
        <v>44590</v>
      </c>
      <c r="F93" s="452">
        <v>42192</v>
      </c>
      <c r="G93" s="452">
        <v>42198</v>
      </c>
    </row>
    <row r="94" spans="1:7" s="87" customFormat="1" ht="26.25" customHeight="1" x14ac:dyDescent="0.2">
      <c r="A94" s="867"/>
      <c r="B94" s="867"/>
      <c r="C94" s="166" t="s">
        <v>473</v>
      </c>
      <c r="D94" s="148">
        <v>44590</v>
      </c>
      <c r="E94" s="148"/>
      <c r="F94" s="452"/>
      <c r="G94" s="452"/>
    </row>
    <row r="95" spans="1:7" s="87" customFormat="1" ht="11.25" x14ac:dyDescent="0.2">
      <c r="A95" s="867" t="s">
        <v>530</v>
      </c>
      <c r="B95" s="867"/>
      <c r="C95" s="166" t="s">
        <v>139</v>
      </c>
      <c r="D95" s="148"/>
      <c r="E95" s="148">
        <v>47000</v>
      </c>
      <c r="F95" s="452">
        <v>42240</v>
      </c>
      <c r="G95" s="452">
        <v>42241</v>
      </c>
    </row>
    <row r="96" spans="1:7" s="87" customFormat="1" ht="11.25" x14ac:dyDescent="0.2">
      <c r="A96" s="867"/>
      <c r="B96" s="867"/>
      <c r="C96" s="166" t="s">
        <v>113</v>
      </c>
      <c r="D96" s="148"/>
      <c r="E96" s="148">
        <v>-47000</v>
      </c>
      <c r="F96" s="452"/>
      <c r="G96" s="452"/>
    </row>
    <row r="97" spans="1:7" s="87" customFormat="1" ht="11.25" x14ac:dyDescent="0.2">
      <c r="A97" s="867" t="s">
        <v>531</v>
      </c>
      <c r="B97" s="867"/>
      <c r="C97" s="166" t="s">
        <v>474</v>
      </c>
      <c r="D97" s="148"/>
      <c r="E97" s="148">
        <v>6320</v>
      </c>
      <c r="F97" s="452">
        <v>42192</v>
      </c>
      <c r="G97" s="452">
        <v>42198</v>
      </c>
    </row>
    <row r="98" spans="1:7" s="87" customFormat="1" ht="11.25" x14ac:dyDescent="0.2">
      <c r="A98" s="867"/>
      <c r="B98" s="867"/>
      <c r="C98" s="166" t="s">
        <v>475</v>
      </c>
      <c r="D98" s="148">
        <v>6320</v>
      </c>
      <c r="E98" s="148"/>
      <c r="F98" s="452"/>
      <c r="G98" s="452"/>
    </row>
    <row r="99" spans="1:7" s="87" customFormat="1" ht="11.25" x14ac:dyDescent="0.2">
      <c r="A99" s="867" t="s">
        <v>532</v>
      </c>
      <c r="B99" s="867"/>
      <c r="C99" s="166" t="s">
        <v>476</v>
      </c>
      <c r="D99" s="148"/>
      <c r="E99" s="148">
        <v>-50000</v>
      </c>
      <c r="F99" s="452">
        <v>42314</v>
      </c>
      <c r="G99" s="452">
        <v>42318</v>
      </c>
    </row>
    <row r="100" spans="1:7" s="87" customFormat="1" ht="11.25" x14ac:dyDescent="0.2">
      <c r="A100" s="867"/>
      <c r="B100" s="867"/>
      <c r="C100" s="166" t="s">
        <v>477</v>
      </c>
      <c r="D100" s="148"/>
      <c r="E100" s="148">
        <v>-110000</v>
      </c>
      <c r="F100" s="452">
        <v>42314</v>
      </c>
      <c r="G100" s="452">
        <v>42318</v>
      </c>
    </row>
    <row r="101" spans="1:7" s="87" customFormat="1" ht="11.25" x14ac:dyDescent="0.2">
      <c r="A101" s="867"/>
      <c r="B101" s="867"/>
      <c r="C101" s="166" t="s">
        <v>144</v>
      </c>
      <c r="D101" s="148"/>
      <c r="E101" s="148">
        <v>-290000</v>
      </c>
      <c r="F101" s="452">
        <v>42314</v>
      </c>
      <c r="G101" s="452">
        <v>42318</v>
      </c>
    </row>
    <row r="102" spans="1:7" s="87" customFormat="1" ht="11.25" x14ac:dyDescent="0.2">
      <c r="A102" s="867"/>
      <c r="B102" s="867"/>
      <c r="C102" s="166" t="s">
        <v>478</v>
      </c>
      <c r="D102" s="148"/>
      <c r="E102" s="148">
        <v>331000</v>
      </c>
      <c r="F102" s="452">
        <v>42314</v>
      </c>
      <c r="G102" s="452">
        <v>42314</v>
      </c>
    </row>
    <row r="103" spans="1:7" s="87" customFormat="1" ht="11.25" x14ac:dyDescent="0.2">
      <c r="A103" s="867"/>
      <c r="B103" s="867"/>
      <c r="C103" s="166" t="s">
        <v>113</v>
      </c>
      <c r="D103" s="148"/>
      <c r="E103" s="148">
        <v>119000</v>
      </c>
      <c r="F103" s="452">
        <v>42314</v>
      </c>
      <c r="G103" s="452">
        <v>42318</v>
      </c>
    </row>
    <row r="104" spans="1:7" s="87" customFormat="1" ht="11.25" x14ac:dyDescent="0.2">
      <c r="A104" s="867" t="s">
        <v>533</v>
      </c>
      <c r="B104" s="867"/>
      <c r="C104" s="166" t="s">
        <v>126</v>
      </c>
      <c r="D104" s="148"/>
      <c r="E104" s="148">
        <v>-166100</v>
      </c>
      <c r="F104" s="452">
        <v>42338</v>
      </c>
      <c r="G104" s="452">
        <v>42341</v>
      </c>
    </row>
    <row r="105" spans="1:7" s="87" customFormat="1" ht="11.25" x14ac:dyDescent="0.2">
      <c r="A105" s="867"/>
      <c r="B105" s="867"/>
      <c r="C105" s="166" t="s">
        <v>108</v>
      </c>
      <c r="D105" s="148"/>
      <c r="E105" s="148">
        <v>10000</v>
      </c>
      <c r="F105" s="452"/>
      <c r="G105" s="452"/>
    </row>
    <row r="106" spans="1:7" s="87" customFormat="1" ht="11.25" x14ac:dyDescent="0.2">
      <c r="A106" s="867"/>
      <c r="B106" s="867"/>
      <c r="C106" s="166" t="s">
        <v>479</v>
      </c>
      <c r="D106" s="148"/>
      <c r="E106" s="148">
        <v>155100</v>
      </c>
      <c r="F106" s="452"/>
      <c r="G106" s="452"/>
    </row>
    <row r="107" spans="1:7" s="87" customFormat="1" ht="11.25" x14ac:dyDescent="0.2">
      <c r="A107" s="867"/>
      <c r="B107" s="867"/>
      <c r="C107" s="166" t="s">
        <v>480</v>
      </c>
      <c r="D107" s="148"/>
      <c r="E107" s="148">
        <v>1000</v>
      </c>
      <c r="F107" s="452"/>
      <c r="G107" s="452"/>
    </row>
    <row r="108" spans="1:7" s="87" customFormat="1" ht="11.25" x14ac:dyDescent="0.2">
      <c r="A108" s="867" t="s">
        <v>534</v>
      </c>
      <c r="B108" s="867"/>
      <c r="C108" s="166" t="s">
        <v>126</v>
      </c>
      <c r="D108" s="148"/>
      <c r="E108" s="148">
        <v>-20000</v>
      </c>
      <c r="F108" s="452">
        <v>42338</v>
      </c>
      <c r="G108" s="452">
        <v>42341</v>
      </c>
    </row>
    <row r="109" spans="1:7" s="87" customFormat="1" ht="11.25" x14ac:dyDescent="0.2">
      <c r="A109" s="867"/>
      <c r="B109" s="867"/>
      <c r="C109" s="166"/>
      <c r="D109" s="148"/>
      <c r="E109" s="148"/>
      <c r="F109" s="452"/>
      <c r="G109" s="452"/>
    </row>
    <row r="110" spans="1:7" s="87" customFormat="1" ht="11.25" x14ac:dyDescent="0.2">
      <c r="A110" s="867"/>
      <c r="B110" s="867"/>
      <c r="C110" s="166" t="s">
        <v>156</v>
      </c>
      <c r="D110" s="148"/>
      <c r="E110" s="148">
        <v>20000</v>
      </c>
      <c r="F110" s="452"/>
      <c r="G110" s="452"/>
    </row>
    <row r="111" spans="1:7" s="87" customFormat="1" ht="11.25" x14ac:dyDescent="0.2">
      <c r="A111" s="867" t="s">
        <v>535</v>
      </c>
      <c r="B111" s="867"/>
      <c r="C111" s="166" t="s">
        <v>481</v>
      </c>
      <c r="D111" s="148"/>
      <c r="E111" s="148">
        <v>17792</v>
      </c>
      <c r="F111" s="452">
        <v>42338</v>
      </c>
      <c r="G111" s="452">
        <v>42341</v>
      </c>
    </row>
    <row r="112" spans="1:7" s="87" customFormat="1" ht="11.25" x14ac:dyDescent="0.2">
      <c r="A112" s="867"/>
      <c r="B112" s="867"/>
      <c r="C112" s="166" t="s">
        <v>114</v>
      </c>
      <c r="D112" s="148">
        <v>17792</v>
      </c>
      <c r="E112" s="148"/>
      <c r="F112" s="452"/>
      <c r="G112" s="452"/>
    </row>
    <row r="113" spans="1:7" s="87" customFormat="1" ht="11.25" x14ac:dyDescent="0.2">
      <c r="A113" s="867" t="s">
        <v>536</v>
      </c>
      <c r="B113" s="867"/>
      <c r="C113" s="166" t="s">
        <v>123</v>
      </c>
      <c r="D113" s="148">
        <v>12500</v>
      </c>
      <c r="E113" s="148"/>
      <c r="F113" s="452">
        <v>42297</v>
      </c>
      <c r="G113" s="452">
        <v>42341</v>
      </c>
    </row>
    <row r="114" spans="1:7" s="87" customFormat="1" ht="11.25" x14ac:dyDescent="0.2">
      <c r="A114" s="867"/>
      <c r="B114" s="867"/>
      <c r="C114" s="166" t="s">
        <v>132</v>
      </c>
      <c r="D114" s="148"/>
      <c r="E114" s="148">
        <v>12500</v>
      </c>
      <c r="F114" s="452"/>
      <c r="G114" s="452"/>
    </row>
    <row r="115" spans="1:7" s="87" customFormat="1" ht="11.25" x14ac:dyDescent="0.2">
      <c r="A115" s="867" t="s">
        <v>537</v>
      </c>
      <c r="B115" s="867"/>
      <c r="C115" s="166" t="s">
        <v>132</v>
      </c>
      <c r="D115" s="148"/>
      <c r="E115" s="148">
        <v>20000</v>
      </c>
      <c r="F115" s="452">
        <v>42349</v>
      </c>
      <c r="G115" s="452">
        <v>42349</v>
      </c>
    </row>
    <row r="116" spans="1:7" s="87" customFormat="1" ht="11.25" x14ac:dyDescent="0.2">
      <c r="A116" s="867"/>
      <c r="B116" s="867"/>
      <c r="C116" s="166" t="s">
        <v>482</v>
      </c>
      <c r="D116" s="148"/>
      <c r="E116" s="148">
        <v>30000</v>
      </c>
      <c r="F116" s="452"/>
      <c r="G116" s="452"/>
    </row>
    <row r="117" spans="1:7" s="87" customFormat="1" ht="11.25" x14ac:dyDescent="0.2">
      <c r="A117" s="867"/>
      <c r="B117" s="867"/>
      <c r="C117" s="166" t="s">
        <v>231</v>
      </c>
      <c r="D117" s="148"/>
      <c r="E117" s="148">
        <v>-10000</v>
      </c>
      <c r="F117" s="452"/>
      <c r="G117" s="452"/>
    </row>
    <row r="118" spans="1:7" s="87" customFormat="1" ht="11.25" x14ac:dyDescent="0.2">
      <c r="A118" s="867"/>
      <c r="B118" s="867"/>
      <c r="C118" s="166" t="s">
        <v>483</v>
      </c>
      <c r="D118" s="148"/>
      <c r="E118" s="148">
        <v>-10000</v>
      </c>
      <c r="F118" s="452"/>
      <c r="G118" s="452"/>
    </row>
    <row r="119" spans="1:7" s="87" customFormat="1" ht="11.25" x14ac:dyDescent="0.2">
      <c r="A119" s="867"/>
      <c r="B119" s="867"/>
      <c r="C119" s="166" t="s">
        <v>234</v>
      </c>
      <c r="D119" s="148"/>
      <c r="E119" s="148">
        <v>-30000</v>
      </c>
      <c r="F119" s="452"/>
      <c r="G119" s="452"/>
    </row>
    <row r="120" spans="1:7" s="87" customFormat="1" ht="11.25" x14ac:dyDescent="0.2">
      <c r="A120" s="867" t="s">
        <v>538</v>
      </c>
      <c r="B120" s="867"/>
      <c r="C120" s="166" t="s">
        <v>140</v>
      </c>
      <c r="D120" s="148"/>
      <c r="E120" s="148">
        <v>-100000</v>
      </c>
      <c r="F120" s="452">
        <v>42349</v>
      </c>
      <c r="G120" s="452">
        <v>42349</v>
      </c>
    </row>
    <row r="121" spans="1:7" s="87" customFormat="1" ht="11.25" x14ac:dyDescent="0.2">
      <c r="A121" s="867"/>
      <c r="B121" s="867"/>
      <c r="C121" s="166" t="s">
        <v>125</v>
      </c>
      <c r="D121" s="148"/>
      <c r="E121" s="148">
        <v>100000</v>
      </c>
      <c r="F121" s="452"/>
      <c r="G121" s="452"/>
    </row>
    <row r="122" spans="1:7" s="87" customFormat="1" ht="11.25" x14ac:dyDescent="0.2">
      <c r="A122" s="867" t="s">
        <v>539</v>
      </c>
      <c r="B122" s="867"/>
      <c r="C122" s="166" t="s">
        <v>484</v>
      </c>
      <c r="D122" s="148"/>
      <c r="E122" s="148">
        <v>-15000</v>
      </c>
      <c r="F122" s="452"/>
      <c r="G122" s="452"/>
    </row>
    <row r="123" spans="1:7" s="87" customFormat="1" ht="11.25" x14ac:dyDescent="0.2">
      <c r="A123" s="867"/>
      <c r="B123" s="867"/>
      <c r="C123" s="166" t="s">
        <v>485</v>
      </c>
      <c r="D123" s="148"/>
      <c r="E123" s="148">
        <v>12000</v>
      </c>
      <c r="F123" s="452"/>
      <c r="G123" s="452"/>
    </row>
    <row r="124" spans="1:7" s="87" customFormat="1" ht="11.25" x14ac:dyDescent="0.2">
      <c r="A124" s="867"/>
      <c r="B124" s="867"/>
      <c r="C124" s="166" t="s">
        <v>486</v>
      </c>
      <c r="D124" s="148"/>
      <c r="E124" s="148">
        <v>3000</v>
      </c>
      <c r="F124" s="452">
        <v>42352</v>
      </c>
      <c r="G124" s="452">
        <v>42352</v>
      </c>
    </row>
    <row r="125" spans="1:7" s="87" customFormat="1" ht="11.25" x14ac:dyDescent="0.2">
      <c r="A125" s="867" t="s">
        <v>540</v>
      </c>
      <c r="B125" s="867"/>
      <c r="C125" s="166" t="s">
        <v>233</v>
      </c>
      <c r="D125" s="148"/>
      <c r="E125" s="148">
        <v>816000</v>
      </c>
      <c r="F125" s="452"/>
      <c r="G125" s="452"/>
    </row>
    <row r="126" spans="1:7" s="87" customFormat="1" ht="11.25" x14ac:dyDescent="0.2">
      <c r="A126" s="867"/>
      <c r="B126" s="867"/>
      <c r="C126" s="166" t="s">
        <v>487</v>
      </c>
      <c r="D126" s="148">
        <v>816000</v>
      </c>
      <c r="E126" s="148"/>
      <c r="F126" s="452">
        <v>42367</v>
      </c>
      <c r="G126" s="452">
        <v>42367</v>
      </c>
    </row>
    <row r="127" spans="1:7" s="87" customFormat="1" ht="11.25" x14ac:dyDescent="0.2">
      <c r="A127" s="867" t="s">
        <v>1223</v>
      </c>
      <c r="B127" s="867"/>
      <c r="C127" s="166" t="s">
        <v>235</v>
      </c>
      <c r="D127" s="148"/>
      <c r="E127" s="148">
        <v>-4500</v>
      </c>
      <c r="F127" s="452"/>
      <c r="G127" s="452"/>
    </row>
    <row r="128" spans="1:7" s="87" customFormat="1" ht="11.25" x14ac:dyDescent="0.2">
      <c r="A128" s="867"/>
      <c r="B128" s="867"/>
      <c r="C128" s="166" t="s">
        <v>232</v>
      </c>
      <c r="D128" s="148"/>
      <c r="E128" s="148">
        <v>4500</v>
      </c>
      <c r="F128" s="452">
        <v>42367</v>
      </c>
      <c r="G128" s="452">
        <v>42367</v>
      </c>
    </row>
    <row r="129" spans="1:7" s="87" customFormat="1" ht="11.25" x14ac:dyDescent="0.2">
      <c r="A129" s="867" t="s">
        <v>541</v>
      </c>
      <c r="B129" s="867"/>
      <c r="C129" s="166" t="s">
        <v>132</v>
      </c>
      <c r="D129" s="148"/>
      <c r="E129" s="148">
        <v>-20000</v>
      </c>
      <c r="F129" s="452"/>
      <c r="G129" s="452"/>
    </row>
    <row r="130" spans="1:7" s="87" customFormat="1" ht="11.25" x14ac:dyDescent="0.2">
      <c r="A130" s="867"/>
      <c r="B130" s="867"/>
      <c r="C130" s="166" t="s">
        <v>488</v>
      </c>
      <c r="D130" s="148"/>
      <c r="E130" s="148">
        <v>10000</v>
      </c>
      <c r="F130" s="452"/>
      <c r="G130" s="452"/>
    </row>
    <row r="131" spans="1:7" s="87" customFormat="1" ht="11.25" x14ac:dyDescent="0.2">
      <c r="A131" s="867"/>
      <c r="B131" s="867"/>
      <c r="C131" s="166" t="s">
        <v>489</v>
      </c>
      <c r="D131" s="148"/>
      <c r="E131" s="148">
        <v>10000</v>
      </c>
      <c r="F131" s="452">
        <v>42367</v>
      </c>
      <c r="G131" s="452">
        <v>42367</v>
      </c>
    </row>
    <row r="132" spans="1:7" s="87" customFormat="1" ht="11.25" x14ac:dyDescent="0.2">
      <c r="A132" s="867" t="s">
        <v>542</v>
      </c>
      <c r="B132" s="867"/>
      <c r="C132" s="166" t="s">
        <v>490</v>
      </c>
      <c r="D132" s="148">
        <v>2000</v>
      </c>
      <c r="E132" s="148"/>
      <c r="F132" s="452"/>
      <c r="G132" s="452"/>
    </row>
    <row r="133" spans="1:7" s="87" customFormat="1" ht="11.25" x14ac:dyDescent="0.2">
      <c r="A133" s="867"/>
      <c r="B133" s="867"/>
      <c r="C133" s="166" t="s">
        <v>489</v>
      </c>
      <c r="D133" s="148"/>
      <c r="E133" s="148">
        <v>2000</v>
      </c>
      <c r="F133" s="452">
        <v>42367</v>
      </c>
      <c r="G133" s="452">
        <v>42367</v>
      </c>
    </row>
    <row r="134" spans="1:7" s="87" customFormat="1" ht="11.25" x14ac:dyDescent="0.2">
      <c r="A134" s="867" t="s">
        <v>543</v>
      </c>
      <c r="B134" s="867"/>
      <c r="C134" s="166" t="s">
        <v>491</v>
      </c>
      <c r="D134" s="148"/>
      <c r="E134" s="148">
        <v>-2000</v>
      </c>
      <c r="F134" s="452"/>
      <c r="G134" s="452"/>
    </row>
    <row r="135" spans="1:7" s="87" customFormat="1" ht="11.25" x14ac:dyDescent="0.2">
      <c r="A135" s="867"/>
      <c r="B135" s="867"/>
      <c r="C135" s="166" t="s">
        <v>139</v>
      </c>
      <c r="D135" s="148"/>
      <c r="E135" s="148">
        <v>200</v>
      </c>
      <c r="F135" s="452">
        <v>42367</v>
      </c>
      <c r="G135" s="452">
        <v>42367</v>
      </c>
    </row>
    <row r="136" spans="1:7" s="87" customFormat="1" ht="11.25" x14ac:dyDescent="0.2">
      <c r="A136" s="867"/>
      <c r="B136" s="867"/>
      <c r="C136" s="166" t="s">
        <v>492</v>
      </c>
      <c r="D136" s="148"/>
      <c r="E136" s="148">
        <v>1800</v>
      </c>
      <c r="F136" s="452"/>
      <c r="G136" s="452"/>
    </row>
    <row r="137" spans="1:7" s="87" customFormat="1" ht="11.25" x14ac:dyDescent="0.2">
      <c r="A137" s="867" t="s">
        <v>493</v>
      </c>
      <c r="B137" s="867"/>
      <c r="C137" s="166" t="s">
        <v>494</v>
      </c>
      <c r="D137" s="148"/>
      <c r="E137" s="148">
        <v>-8000</v>
      </c>
      <c r="F137" s="452"/>
      <c r="G137" s="452"/>
    </row>
    <row r="138" spans="1:7" s="87" customFormat="1" ht="11.25" x14ac:dyDescent="0.2">
      <c r="A138" s="867"/>
      <c r="B138" s="867"/>
      <c r="C138" s="166" t="s">
        <v>488</v>
      </c>
      <c r="D138" s="148"/>
      <c r="E138" s="148">
        <v>4000</v>
      </c>
      <c r="F138" s="452"/>
      <c r="G138" s="452"/>
    </row>
    <row r="139" spans="1:7" s="87" customFormat="1" ht="11.25" x14ac:dyDescent="0.2">
      <c r="A139" s="867"/>
      <c r="B139" s="867"/>
      <c r="C139" s="166" t="s">
        <v>107</v>
      </c>
      <c r="D139" s="148"/>
      <c r="E139" s="148">
        <v>4000</v>
      </c>
      <c r="F139" s="452">
        <v>42367</v>
      </c>
      <c r="G139" s="452">
        <v>42367</v>
      </c>
    </row>
    <row r="140" spans="1:7" s="87" customFormat="1" ht="11.25" x14ac:dyDescent="0.2">
      <c r="A140" s="867" t="s">
        <v>544</v>
      </c>
      <c r="B140" s="867"/>
      <c r="C140" s="166" t="s">
        <v>134</v>
      </c>
      <c r="D140" s="148">
        <v>12000</v>
      </c>
      <c r="E140" s="148"/>
      <c r="F140" s="452"/>
      <c r="G140" s="452"/>
    </row>
    <row r="141" spans="1:7" s="87" customFormat="1" ht="11.25" x14ac:dyDescent="0.2">
      <c r="A141" s="867"/>
      <c r="B141" s="867"/>
      <c r="C141" s="166" t="s">
        <v>256</v>
      </c>
      <c r="D141" s="148">
        <v>10000</v>
      </c>
      <c r="E141" s="148"/>
      <c r="F141" s="452"/>
      <c r="G141" s="452"/>
    </row>
    <row r="142" spans="1:7" s="87" customFormat="1" ht="11.25" x14ac:dyDescent="0.2">
      <c r="A142" s="867"/>
      <c r="B142" s="867"/>
      <c r="C142" s="166" t="s">
        <v>495</v>
      </c>
      <c r="D142" s="148"/>
      <c r="E142" s="148">
        <v>7000</v>
      </c>
      <c r="F142" s="452"/>
      <c r="G142" s="452"/>
    </row>
    <row r="143" spans="1:7" s="87" customFormat="1" ht="11.25" x14ac:dyDescent="0.2">
      <c r="A143" s="867"/>
      <c r="B143" s="867"/>
      <c r="C143" s="166" t="s">
        <v>496</v>
      </c>
      <c r="D143" s="148"/>
      <c r="E143" s="148">
        <v>2000</v>
      </c>
      <c r="F143" s="452"/>
      <c r="G143" s="452"/>
    </row>
    <row r="144" spans="1:7" s="87" customFormat="1" ht="11.25" x14ac:dyDescent="0.2">
      <c r="A144" s="867"/>
      <c r="B144" s="867"/>
      <c r="C144" s="166" t="s">
        <v>497</v>
      </c>
      <c r="D144" s="148"/>
      <c r="E144" s="148">
        <v>3000</v>
      </c>
      <c r="F144" s="452">
        <v>42367</v>
      </c>
      <c r="G144" s="452">
        <v>42367</v>
      </c>
    </row>
    <row r="145" spans="1:7" s="87" customFormat="1" ht="11.25" x14ac:dyDescent="0.2">
      <c r="A145" s="867"/>
      <c r="B145" s="867"/>
      <c r="C145" s="166" t="s">
        <v>498</v>
      </c>
      <c r="D145" s="148"/>
      <c r="E145" s="148">
        <v>10000</v>
      </c>
      <c r="F145" s="452"/>
      <c r="G145" s="452"/>
    </row>
    <row r="146" spans="1:7" s="87" customFormat="1" ht="11.25" x14ac:dyDescent="0.2">
      <c r="A146" s="867" t="s">
        <v>545</v>
      </c>
      <c r="B146" s="867"/>
      <c r="C146" s="166" t="s">
        <v>499</v>
      </c>
      <c r="D146" s="148"/>
      <c r="E146" s="148">
        <v>-9000</v>
      </c>
      <c r="F146" s="452"/>
      <c r="G146" s="452"/>
    </row>
    <row r="147" spans="1:7" s="87" customFormat="1" ht="11.25" x14ac:dyDescent="0.2">
      <c r="A147" s="867"/>
      <c r="B147" s="867"/>
      <c r="C147" s="166" t="s">
        <v>500</v>
      </c>
      <c r="D147" s="148"/>
      <c r="E147" s="148">
        <v>9000</v>
      </c>
      <c r="F147" s="452">
        <v>42367</v>
      </c>
      <c r="G147" s="452">
        <v>42367</v>
      </c>
    </row>
    <row r="148" spans="1:7" s="87" customFormat="1" ht="11.25" x14ac:dyDescent="0.2">
      <c r="A148" s="867" t="s">
        <v>1224</v>
      </c>
      <c r="B148" s="867"/>
      <c r="C148" s="166" t="s">
        <v>501</v>
      </c>
      <c r="D148" s="148"/>
      <c r="E148" s="148">
        <v>-16500</v>
      </c>
      <c r="F148" s="452"/>
      <c r="G148" s="452"/>
    </row>
    <row r="149" spans="1:7" s="87" customFormat="1" ht="11.25" x14ac:dyDescent="0.2">
      <c r="A149" s="867"/>
      <c r="B149" s="867"/>
      <c r="C149" s="166" t="s">
        <v>500</v>
      </c>
      <c r="D149" s="148"/>
      <c r="E149" s="148">
        <v>16500</v>
      </c>
      <c r="F149" s="452">
        <v>42367</v>
      </c>
      <c r="G149" s="452">
        <v>42367</v>
      </c>
    </row>
    <row r="150" spans="1:7" s="87" customFormat="1" ht="11.25" x14ac:dyDescent="0.2">
      <c r="A150" s="867" t="s">
        <v>546</v>
      </c>
      <c r="B150" s="867"/>
      <c r="C150" s="166" t="s">
        <v>502</v>
      </c>
      <c r="D150" s="148"/>
      <c r="E150" s="148">
        <v>-5000</v>
      </c>
      <c r="F150" s="452"/>
      <c r="G150" s="452"/>
    </row>
    <row r="151" spans="1:7" s="87" customFormat="1" ht="11.25" x14ac:dyDescent="0.2">
      <c r="A151" s="867"/>
      <c r="B151" s="867"/>
      <c r="C151" s="166" t="s">
        <v>503</v>
      </c>
      <c r="D151" s="148"/>
      <c r="E151" s="148">
        <v>-3000</v>
      </c>
      <c r="F151" s="452"/>
      <c r="G151" s="452"/>
    </row>
    <row r="152" spans="1:7" s="87" customFormat="1" ht="11.25" x14ac:dyDescent="0.2">
      <c r="A152" s="867"/>
      <c r="B152" s="867"/>
      <c r="C152" s="166" t="s">
        <v>504</v>
      </c>
      <c r="D152" s="148"/>
      <c r="E152" s="148">
        <v>8000</v>
      </c>
      <c r="F152" s="452">
        <v>42367</v>
      </c>
      <c r="G152" s="452">
        <v>42367</v>
      </c>
    </row>
    <row r="153" spans="1:7" s="87" customFormat="1" ht="11.25" x14ac:dyDescent="0.2">
      <c r="A153" s="867" t="s">
        <v>547</v>
      </c>
      <c r="B153" s="867"/>
      <c r="C153" s="166" t="s">
        <v>505</v>
      </c>
      <c r="D153" s="148"/>
      <c r="E153" s="148">
        <v>-4000</v>
      </c>
      <c r="F153" s="452"/>
      <c r="G153" s="452"/>
    </row>
    <row r="154" spans="1:7" s="87" customFormat="1" ht="11.25" x14ac:dyDescent="0.2">
      <c r="A154" s="867"/>
      <c r="B154" s="867"/>
      <c r="C154" s="166" t="s">
        <v>506</v>
      </c>
      <c r="D154" s="148"/>
      <c r="E154" s="148">
        <v>-2000</v>
      </c>
      <c r="F154" s="452"/>
      <c r="G154" s="452"/>
    </row>
    <row r="155" spans="1:7" s="87" customFormat="1" ht="11.25" x14ac:dyDescent="0.2">
      <c r="A155" s="867"/>
      <c r="B155" s="867"/>
      <c r="C155" s="166" t="s">
        <v>497</v>
      </c>
      <c r="D155" s="148"/>
      <c r="E155" s="148">
        <v>6000</v>
      </c>
      <c r="F155" s="452">
        <v>42367</v>
      </c>
      <c r="G155" s="452">
        <v>42367</v>
      </c>
    </row>
    <row r="156" spans="1:7" s="87" customFormat="1" ht="11.25" x14ac:dyDescent="0.2">
      <c r="A156" s="867" t="s">
        <v>548</v>
      </c>
      <c r="B156" s="867"/>
      <c r="C156" s="166" t="s">
        <v>507</v>
      </c>
      <c r="D156" s="148">
        <v>15000</v>
      </c>
      <c r="E156" s="148"/>
      <c r="F156" s="452"/>
      <c r="G156" s="452"/>
    </row>
    <row r="157" spans="1:7" s="87" customFormat="1" ht="11.25" x14ac:dyDescent="0.2">
      <c r="A157" s="867"/>
      <c r="B157" s="867"/>
      <c r="C157" s="166" t="s">
        <v>497</v>
      </c>
      <c r="D157" s="148"/>
      <c r="E157" s="148">
        <v>15000</v>
      </c>
      <c r="F157" s="452">
        <v>42367</v>
      </c>
      <c r="G157" s="452">
        <v>42367</v>
      </c>
    </row>
    <row r="158" spans="1:7" s="87" customFormat="1" ht="11.25" x14ac:dyDescent="0.2">
      <c r="A158" s="867" t="s">
        <v>549</v>
      </c>
      <c r="B158" s="867"/>
      <c r="C158" s="166" t="s">
        <v>508</v>
      </c>
      <c r="D158" s="148"/>
      <c r="E158" s="148">
        <v>-1500</v>
      </c>
      <c r="F158" s="452"/>
      <c r="G158" s="452"/>
    </row>
    <row r="159" spans="1:7" s="87" customFormat="1" ht="11.25" x14ac:dyDescent="0.2">
      <c r="A159" s="867"/>
      <c r="B159" s="867"/>
      <c r="C159" s="166" t="s">
        <v>509</v>
      </c>
      <c r="D159" s="148"/>
      <c r="E159" s="148">
        <v>1500</v>
      </c>
      <c r="F159" s="452">
        <v>42367</v>
      </c>
      <c r="G159" s="452">
        <v>42367</v>
      </c>
    </row>
    <row r="160" spans="1:7" s="87" customFormat="1" ht="11.25" x14ac:dyDescent="0.2">
      <c r="A160" s="867" t="s">
        <v>510</v>
      </c>
      <c r="B160" s="867"/>
      <c r="C160" s="166" t="s">
        <v>511</v>
      </c>
      <c r="D160" s="148"/>
      <c r="E160" s="148">
        <v>1900</v>
      </c>
      <c r="F160" s="452"/>
      <c r="G160" s="452"/>
    </row>
    <row r="161" spans="1:9" s="87" customFormat="1" ht="11.25" x14ac:dyDescent="0.2">
      <c r="A161" s="867"/>
      <c r="B161" s="867"/>
      <c r="C161" s="166" t="s">
        <v>507</v>
      </c>
      <c r="D161" s="148">
        <v>1900</v>
      </c>
      <c r="E161" s="148"/>
      <c r="F161" s="452">
        <v>42367</v>
      </c>
      <c r="G161" s="452">
        <v>42367</v>
      </c>
    </row>
    <row r="162" spans="1:9" s="87" customFormat="1" ht="11.25" x14ac:dyDescent="0.2">
      <c r="A162" s="867" t="s">
        <v>550</v>
      </c>
      <c r="B162" s="867"/>
      <c r="C162" s="166" t="s">
        <v>140</v>
      </c>
      <c r="D162" s="148"/>
      <c r="E162" s="148">
        <v>-350000</v>
      </c>
      <c r="F162" s="452"/>
      <c r="G162" s="452"/>
    </row>
    <row r="163" spans="1:9" s="87" customFormat="1" ht="11.25" x14ac:dyDescent="0.2">
      <c r="A163" s="998"/>
      <c r="B163" s="998"/>
      <c r="C163" s="167" t="s">
        <v>512</v>
      </c>
      <c r="D163" s="164"/>
      <c r="E163" s="164">
        <v>350000</v>
      </c>
      <c r="F163" s="453">
        <v>42367</v>
      </c>
      <c r="G163" s="453">
        <v>42367</v>
      </c>
    </row>
    <row r="164" spans="1:9" s="87" customFormat="1" ht="11.25" x14ac:dyDescent="0.2">
      <c r="A164" s="870" t="s">
        <v>111</v>
      </c>
      <c r="B164" s="871"/>
      <c r="C164" s="355"/>
      <c r="D164" s="129">
        <f>SUM(D53:D163)</f>
        <v>2454357</v>
      </c>
      <c r="E164" s="129">
        <f>SUM(E53:E163)</f>
        <v>2454357</v>
      </c>
      <c r="F164" s="872"/>
      <c r="G164" s="873"/>
    </row>
    <row r="165" spans="1:9" s="87" customFormat="1" ht="11.25" x14ac:dyDescent="0.2">
      <c r="C165" s="89"/>
    </row>
    <row r="166" spans="1:9" s="87" customFormat="1" ht="11.25" x14ac:dyDescent="0.2">
      <c r="A166" s="370" t="s">
        <v>211</v>
      </c>
      <c r="B166" s="370"/>
      <c r="C166" s="370"/>
      <c r="D166" s="370"/>
      <c r="E166" s="370"/>
      <c r="F166" s="370"/>
      <c r="G166" s="455"/>
      <c r="H166" s="455"/>
      <c r="I166" s="455"/>
    </row>
    <row r="167" spans="1:9" s="87" customFormat="1" ht="11.25" x14ac:dyDescent="0.2">
      <c r="C167" s="89"/>
    </row>
    <row r="168" spans="1:9" s="87" customFormat="1" ht="31.5" x14ac:dyDescent="0.2">
      <c r="A168" s="743" t="s">
        <v>101</v>
      </c>
      <c r="B168" s="744"/>
      <c r="C168" s="374" t="s">
        <v>102</v>
      </c>
      <c r="D168" s="374" t="s">
        <v>103</v>
      </c>
      <c r="E168" s="374" t="s">
        <v>104</v>
      </c>
      <c r="F168" s="374" t="s">
        <v>105</v>
      </c>
      <c r="G168" s="374" t="s">
        <v>94</v>
      </c>
    </row>
    <row r="169" spans="1:9" s="87" customFormat="1" ht="11.25" x14ac:dyDescent="0.2">
      <c r="A169" s="745"/>
      <c r="B169" s="746"/>
      <c r="C169" s="318"/>
      <c r="D169" s="319">
        <v>0</v>
      </c>
      <c r="E169" s="319">
        <v>0</v>
      </c>
      <c r="F169" s="321"/>
      <c r="G169" s="321"/>
    </row>
    <row r="170" spans="1:9" s="87" customFormat="1" ht="11.25" x14ac:dyDescent="0.2">
      <c r="A170" s="747" t="s">
        <v>111</v>
      </c>
      <c r="B170" s="748"/>
      <c r="C170" s="320"/>
      <c r="D170" s="90">
        <f>SUM(D169:D169)</f>
        <v>0</v>
      </c>
      <c r="E170" s="90">
        <f>SUM(E169:E169)</f>
        <v>0</v>
      </c>
      <c r="F170" s="749"/>
      <c r="G170" s="750"/>
    </row>
    <row r="171" spans="1:9" s="87" customFormat="1" ht="11.25" x14ac:dyDescent="0.2">
      <c r="C171" s="89"/>
    </row>
    <row r="172" spans="1:9" s="87" customFormat="1" ht="11.25" x14ac:dyDescent="0.2">
      <c r="A172" s="375" t="s">
        <v>212</v>
      </c>
      <c r="B172" s="375"/>
      <c r="C172" s="375"/>
      <c r="D172" s="375"/>
      <c r="E172" s="375"/>
      <c r="F172" s="375"/>
      <c r="G172" s="454"/>
      <c r="H172" s="454"/>
      <c r="I172" s="454"/>
    </row>
    <row r="173" spans="1:9" s="87" customFormat="1" ht="11.25" x14ac:dyDescent="0.2"/>
    <row r="174" spans="1:9" s="87" customFormat="1" ht="12" customHeight="1" x14ac:dyDescent="0.2">
      <c r="A174" s="781" t="s">
        <v>432</v>
      </c>
      <c r="B174" s="782"/>
      <c r="C174" s="782"/>
      <c r="D174" s="782"/>
      <c r="E174" s="782"/>
      <c r="F174" s="782"/>
      <c r="G174" s="782"/>
      <c r="H174" s="782"/>
      <c r="I174" s="783"/>
    </row>
    <row r="175" spans="1:9" s="87" customFormat="1" ht="11.25" x14ac:dyDescent="0.2">
      <c r="A175" s="997"/>
      <c r="B175" s="997"/>
      <c r="C175" s="997"/>
      <c r="D175" s="997"/>
      <c r="E175" s="997"/>
      <c r="F175" s="997"/>
      <c r="G175" s="997"/>
    </row>
    <row r="176" spans="1:9" s="87" customFormat="1" ht="11.25" x14ac:dyDescent="0.2">
      <c r="A176" s="370" t="s">
        <v>213</v>
      </c>
      <c r="B176" s="370"/>
      <c r="C176" s="370"/>
      <c r="D176" s="370"/>
      <c r="E176" s="370"/>
      <c r="F176" s="370"/>
      <c r="G176" s="455"/>
      <c r="H176" s="455"/>
      <c r="I176" s="455"/>
    </row>
    <row r="177" spans="1:9" s="87" customFormat="1" ht="11.25" x14ac:dyDescent="0.2"/>
    <row r="178" spans="1:9" ht="46.5" customHeight="1" x14ac:dyDescent="0.15">
      <c r="A178" s="732" t="s">
        <v>551</v>
      </c>
      <c r="B178" s="733"/>
      <c r="C178" s="733"/>
      <c r="D178" s="733"/>
      <c r="E178" s="733"/>
      <c r="F178" s="733"/>
      <c r="G178" s="733"/>
      <c r="H178" s="733"/>
      <c r="I178" s="734"/>
    </row>
    <row r="179" spans="1:9" ht="11.25" x14ac:dyDescent="0.15">
      <c r="A179" s="732" t="s">
        <v>216</v>
      </c>
      <c r="B179" s="733"/>
      <c r="C179" s="733"/>
      <c r="D179" s="733"/>
      <c r="E179" s="733"/>
      <c r="F179" s="733"/>
      <c r="G179" s="733"/>
      <c r="H179" s="733"/>
      <c r="I179" s="734"/>
    </row>
    <row r="180" spans="1:9" s="87" customFormat="1" ht="11.25" customHeight="1" x14ac:dyDescent="0.2">
      <c r="A180" s="739" t="s">
        <v>552</v>
      </c>
      <c r="B180" s="740"/>
      <c r="C180" s="740"/>
      <c r="D180" s="740"/>
      <c r="E180" s="740"/>
      <c r="F180" s="740"/>
      <c r="G180" s="740"/>
      <c r="H180" s="740"/>
      <c r="I180" s="741"/>
    </row>
    <row r="181" spans="1:9" s="87" customFormat="1" ht="24" customHeight="1" x14ac:dyDescent="0.2">
      <c r="A181" s="993" t="s">
        <v>553</v>
      </c>
      <c r="B181" s="994"/>
      <c r="C181" s="994"/>
      <c r="D181" s="994"/>
      <c r="E181" s="994"/>
      <c r="F181" s="994"/>
      <c r="G181" s="994"/>
      <c r="H181" s="994"/>
      <c r="I181" s="995"/>
    </row>
    <row r="182" spans="1:9" s="87" customFormat="1" x14ac:dyDescent="0.2">
      <c r="A182" s="28"/>
      <c r="B182" s="28"/>
      <c r="C182" s="28"/>
      <c r="D182" s="28"/>
      <c r="E182" s="28"/>
      <c r="F182" s="28"/>
      <c r="G182" s="28"/>
    </row>
    <row r="183" spans="1:9" s="87" customFormat="1" x14ac:dyDescent="0.2">
      <c r="A183" s="28"/>
      <c r="B183" s="28"/>
      <c r="C183" s="28"/>
      <c r="D183" s="28"/>
      <c r="E183" s="28"/>
      <c r="F183" s="28"/>
      <c r="G183" s="28"/>
      <c r="H183" s="28"/>
      <c r="I183" s="28"/>
    </row>
    <row r="184" spans="1:9" s="87" customFormat="1" x14ac:dyDescent="0.2">
      <c r="A184" s="28"/>
      <c r="B184" s="28"/>
      <c r="C184" s="28"/>
      <c r="D184" s="28"/>
      <c r="E184" s="28"/>
      <c r="F184" s="28"/>
      <c r="G184" s="28"/>
      <c r="H184" s="28"/>
      <c r="I184" s="28"/>
    </row>
    <row r="185" spans="1:9" s="87" customFormat="1" ht="10.15" customHeight="1" x14ac:dyDescent="0.2">
      <c r="A185" s="28"/>
      <c r="B185" s="28"/>
      <c r="C185" s="28"/>
      <c r="D185" s="28"/>
      <c r="E185" s="28"/>
      <c r="F185" s="28"/>
      <c r="G185" s="28"/>
      <c r="H185" s="28"/>
      <c r="I185" s="28"/>
    </row>
  </sheetData>
  <mergeCells count="85">
    <mergeCell ref="A180:I180"/>
    <mergeCell ref="A181:I181"/>
    <mergeCell ref="C43:I47"/>
    <mergeCell ref="A174:I174"/>
    <mergeCell ref="A178:I178"/>
    <mergeCell ref="A179:I179"/>
    <mergeCell ref="A170:B170"/>
    <mergeCell ref="F170:G170"/>
    <mergeCell ref="A175:G175"/>
    <mergeCell ref="A162:B163"/>
    <mergeCell ref="A164:B164"/>
    <mergeCell ref="F164:G164"/>
    <mergeCell ref="A168:B168"/>
    <mergeCell ref="A169:B169"/>
    <mergeCell ref="A150:B152"/>
    <mergeCell ref="A153:B155"/>
    <mergeCell ref="A156:B157"/>
    <mergeCell ref="A158:B159"/>
    <mergeCell ref="A160:B161"/>
    <mergeCell ref="A134:B136"/>
    <mergeCell ref="A137:B139"/>
    <mergeCell ref="A140:B145"/>
    <mergeCell ref="A146:B147"/>
    <mergeCell ref="A148:B149"/>
    <mergeCell ref="A122:B124"/>
    <mergeCell ref="A125:B126"/>
    <mergeCell ref="A127:B128"/>
    <mergeCell ref="A129:B131"/>
    <mergeCell ref="A132:B133"/>
    <mergeCell ref="A108:B110"/>
    <mergeCell ref="A111:B112"/>
    <mergeCell ref="A113:B114"/>
    <mergeCell ref="A115:B119"/>
    <mergeCell ref="A120:B121"/>
    <mergeCell ref="A93:B94"/>
    <mergeCell ref="A95:B96"/>
    <mergeCell ref="A97:B98"/>
    <mergeCell ref="A99:B103"/>
    <mergeCell ref="A104:B107"/>
    <mergeCell ref="A74:B79"/>
    <mergeCell ref="A80:B85"/>
    <mergeCell ref="A86:B87"/>
    <mergeCell ref="A88:B89"/>
    <mergeCell ref="A90:B92"/>
    <mergeCell ref="A61:B62"/>
    <mergeCell ref="A63:B64"/>
    <mergeCell ref="A65:B68"/>
    <mergeCell ref="A69:B71"/>
    <mergeCell ref="A72:B73"/>
    <mergeCell ref="A8:B8"/>
    <mergeCell ref="D8:I8"/>
    <mergeCell ref="A9:B9"/>
    <mergeCell ref="D9:I9"/>
    <mergeCell ref="A3:I3"/>
    <mergeCell ref="A5:B5"/>
    <mergeCell ref="D5:I5"/>
    <mergeCell ref="A6:B6"/>
    <mergeCell ref="D6:I6"/>
    <mergeCell ref="A7:B7"/>
    <mergeCell ref="D7:I7"/>
    <mergeCell ref="A11:I11"/>
    <mergeCell ref="A15:A16"/>
    <mergeCell ref="F23:I23"/>
    <mergeCell ref="A28:I28"/>
    <mergeCell ref="D30:I30"/>
    <mergeCell ref="F24:I24"/>
    <mergeCell ref="F25:I25"/>
    <mergeCell ref="F26:I26"/>
    <mergeCell ref="A19:I19"/>
    <mergeCell ref="F21:I21"/>
    <mergeCell ref="F22:I22"/>
    <mergeCell ref="A59:B60"/>
    <mergeCell ref="C42:I42"/>
    <mergeCell ref="C48:I48"/>
    <mergeCell ref="D31:I31"/>
    <mergeCell ref="A50:I50"/>
    <mergeCell ref="A52:B52"/>
    <mergeCell ref="A53:B54"/>
    <mergeCell ref="A55:B58"/>
    <mergeCell ref="D37:I37"/>
    <mergeCell ref="C38:I38"/>
    <mergeCell ref="A40:I40"/>
    <mergeCell ref="C32:I32"/>
    <mergeCell ref="A34:I34"/>
    <mergeCell ref="D36:I36"/>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106" customFormat="1" ht="15.75" x14ac:dyDescent="0.25">
      <c r="A1" s="799" t="s">
        <v>81</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44986606</v>
      </c>
      <c r="F6" s="29">
        <f>SUM(F7:F9)</f>
        <v>48379734</v>
      </c>
      <c r="G6" s="29">
        <f>SUM(G7:G9)</f>
        <v>48385680</v>
      </c>
      <c r="H6" s="24">
        <f t="shared" ref="H6:H36" si="0">G6/F6*100</f>
        <v>100.01229027013667</v>
      </c>
      <c r="I6" s="29">
        <f>SUM(I7:I9)</f>
        <v>46097793</v>
      </c>
      <c r="J6" s="29">
        <f>SUM(J7:J9)</f>
        <v>11550000</v>
      </c>
      <c r="K6" s="29">
        <f t="shared" ref="K6:X6" si="1">SUM(K7:K9)</f>
        <v>14004357</v>
      </c>
      <c r="L6" s="29">
        <f t="shared" si="1"/>
        <v>14010303</v>
      </c>
      <c r="M6" s="24">
        <f t="shared" ref="M6:M24" si="2">L6/K6*100</f>
        <v>100.04245821496838</v>
      </c>
      <c r="N6" s="30">
        <f t="shared" si="1"/>
        <v>12617964</v>
      </c>
      <c r="O6" s="29">
        <f t="shared" si="1"/>
        <v>33436606</v>
      </c>
      <c r="P6" s="29">
        <f t="shared" si="1"/>
        <v>34375377</v>
      </c>
      <c r="Q6" s="29">
        <f t="shared" si="1"/>
        <v>34375377</v>
      </c>
      <c r="R6" s="24">
        <f t="shared" ref="R6:R24" si="3">Q6/P6*100</f>
        <v>100</v>
      </c>
      <c r="S6" s="29">
        <f t="shared" si="1"/>
        <v>33479829</v>
      </c>
      <c r="T6" s="29">
        <f t="shared" si="1"/>
        <v>285000</v>
      </c>
      <c r="U6" s="29">
        <f t="shared" si="1"/>
        <v>285000</v>
      </c>
      <c r="V6" s="29">
        <f t="shared" si="1"/>
        <v>281608</v>
      </c>
      <c r="W6" s="24">
        <f t="shared" ref="W6:W24" si="4">V6/U6*100</f>
        <v>98.809824561403516</v>
      </c>
      <c r="X6" s="29">
        <f t="shared" si="1"/>
        <v>171770</v>
      </c>
    </row>
    <row r="7" spans="1:24" s="6" customFormat="1" ht="10.15" customHeight="1" x14ac:dyDescent="0.2">
      <c r="A7" s="169" t="s">
        <v>2</v>
      </c>
      <c r="B7" s="823" t="s">
        <v>44</v>
      </c>
      <c r="C7" s="824"/>
      <c r="D7" s="238" t="s">
        <v>25</v>
      </c>
      <c r="E7" s="32">
        <f t="shared" ref="E7:G10" si="5">SUM(J7,O7)</f>
        <v>5395000</v>
      </c>
      <c r="F7" s="33">
        <f t="shared" si="5"/>
        <v>6589413</v>
      </c>
      <c r="G7" s="33">
        <f t="shared" si="5"/>
        <v>6606707</v>
      </c>
      <c r="H7" s="9">
        <f t="shared" si="0"/>
        <v>100.26245129877273</v>
      </c>
      <c r="I7" s="34">
        <f>SUM(N7,S7)</f>
        <v>6345786</v>
      </c>
      <c r="J7" s="107">
        <v>5395000</v>
      </c>
      <c r="K7" s="35">
        <v>6589413</v>
      </c>
      <c r="L7" s="35">
        <v>6606707</v>
      </c>
      <c r="M7" s="9">
        <f t="shared" si="2"/>
        <v>100.26245129877273</v>
      </c>
      <c r="N7" s="36">
        <v>6345786</v>
      </c>
      <c r="O7" s="37"/>
      <c r="P7" s="35"/>
      <c r="Q7" s="35"/>
      <c r="R7" s="9" t="e">
        <f t="shared" si="3"/>
        <v>#DIV/0!</v>
      </c>
      <c r="S7" s="36"/>
      <c r="T7" s="37">
        <v>285000</v>
      </c>
      <c r="U7" s="35">
        <v>285000</v>
      </c>
      <c r="V7" s="35">
        <v>281608</v>
      </c>
      <c r="W7" s="9">
        <f t="shared" si="4"/>
        <v>98.809824561403516</v>
      </c>
      <c r="X7" s="59">
        <v>171770</v>
      </c>
    </row>
    <row r="8" spans="1:24" s="6" customFormat="1" ht="10.15" customHeight="1" x14ac:dyDescent="0.2">
      <c r="A8" s="171" t="s">
        <v>3</v>
      </c>
      <c r="B8" s="825" t="s">
        <v>45</v>
      </c>
      <c r="C8" s="826"/>
      <c r="D8" s="172" t="s">
        <v>25</v>
      </c>
      <c r="E8" s="38">
        <f t="shared" si="5"/>
        <v>15000</v>
      </c>
      <c r="F8" s="39">
        <f t="shared" si="5"/>
        <v>15000</v>
      </c>
      <c r="G8" s="39">
        <f t="shared" si="5"/>
        <v>3652</v>
      </c>
      <c r="H8" s="10">
        <f t="shared" si="0"/>
        <v>24.346666666666668</v>
      </c>
      <c r="I8" s="40">
        <f>SUM(N8,S8)</f>
        <v>12298</v>
      </c>
      <c r="J8" s="196">
        <v>15000</v>
      </c>
      <c r="K8" s="157">
        <v>15000</v>
      </c>
      <c r="L8" s="157">
        <v>3652</v>
      </c>
      <c r="M8" s="158">
        <f t="shared" si="2"/>
        <v>24.346666666666668</v>
      </c>
      <c r="N8" s="198">
        <v>12298</v>
      </c>
      <c r="O8" s="156"/>
      <c r="P8" s="157"/>
      <c r="Q8" s="157"/>
      <c r="R8" s="158" t="e">
        <f t="shared" si="3"/>
        <v>#DIV/0!</v>
      </c>
      <c r="S8" s="198"/>
      <c r="T8" s="156"/>
      <c r="U8" s="157"/>
      <c r="V8" s="157"/>
      <c r="W8" s="158" t="e">
        <f t="shared" si="4"/>
        <v>#DIV/0!</v>
      </c>
      <c r="X8" s="159"/>
    </row>
    <row r="9" spans="1:24" s="6" customFormat="1" ht="10.15" customHeight="1" x14ac:dyDescent="0.2">
      <c r="A9" s="173" t="s">
        <v>4</v>
      </c>
      <c r="B9" s="449" t="s">
        <v>59</v>
      </c>
      <c r="C9" s="450"/>
      <c r="D9" s="186" t="s">
        <v>25</v>
      </c>
      <c r="E9" s="42">
        <f t="shared" si="5"/>
        <v>39576606</v>
      </c>
      <c r="F9" s="43">
        <f t="shared" si="5"/>
        <v>41775321</v>
      </c>
      <c r="G9" s="43">
        <f t="shared" si="5"/>
        <v>41775321</v>
      </c>
      <c r="H9" s="26">
        <f t="shared" si="0"/>
        <v>100</v>
      </c>
      <c r="I9" s="44">
        <f>SUM(N9,S9)</f>
        <v>39739709</v>
      </c>
      <c r="J9" s="199">
        <v>6140000</v>
      </c>
      <c r="K9" s="203">
        <v>7399944</v>
      </c>
      <c r="L9" s="203">
        <v>7399944</v>
      </c>
      <c r="M9" s="201">
        <f t="shared" si="2"/>
        <v>100</v>
      </c>
      <c r="N9" s="202">
        <v>6259880</v>
      </c>
      <c r="O9" s="160">
        <v>33436606</v>
      </c>
      <c r="P9" s="203">
        <v>34375377</v>
      </c>
      <c r="Q9" s="203">
        <v>34375377</v>
      </c>
      <c r="R9" s="201">
        <f t="shared" si="3"/>
        <v>100</v>
      </c>
      <c r="S9" s="202">
        <v>33479829</v>
      </c>
      <c r="T9" s="160"/>
      <c r="U9" s="203"/>
      <c r="V9" s="203"/>
      <c r="W9" s="201" t="e">
        <f t="shared" si="4"/>
        <v>#DIV/0!</v>
      </c>
      <c r="X9" s="161"/>
    </row>
    <row r="10" spans="1:24" s="6" customFormat="1" ht="10.15" customHeight="1" x14ac:dyDescent="0.2">
      <c r="A10" s="168" t="s">
        <v>5</v>
      </c>
      <c r="B10" s="822" t="s">
        <v>7</v>
      </c>
      <c r="C10" s="822"/>
      <c r="D10" s="20" t="s">
        <v>25</v>
      </c>
      <c r="E10" s="45">
        <f t="shared" si="5"/>
        <v>0</v>
      </c>
      <c r="F10" s="45">
        <f t="shared" si="5"/>
        <v>450000</v>
      </c>
      <c r="G10" s="45">
        <f t="shared" si="5"/>
        <v>450000</v>
      </c>
      <c r="H10" s="24">
        <f t="shared" si="0"/>
        <v>100</v>
      </c>
      <c r="I10" s="46">
        <f>SUM(N10,S10)</f>
        <v>0</v>
      </c>
      <c r="J10" s="31"/>
      <c r="K10" s="45">
        <v>450000</v>
      </c>
      <c r="L10" s="45">
        <v>450000</v>
      </c>
      <c r="M10" s="24">
        <f t="shared" si="2"/>
        <v>100</v>
      </c>
      <c r="N10" s="46"/>
      <c r="O10" s="45"/>
      <c r="P10" s="45"/>
      <c r="Q10" s="45"/>
      <c r="R10" s="24" t="e">
        <f t="shared" si="3"/>
        <v>#DIV/0!</v>
      </c>
      <c r="S10" s="46"/>
      <c r="T10" s="45"/>
      <c r="U10" s="45"/>
      <c r="V10" s="45"/>
      <c r="W10" s="24" t="e">
        <f t="shared" si="4"/>
        <v>#DIV/0!</v>
      </c>
      <c r="X10" s="45"/>
    </row>
    <row r="11" spans="1:24" s="6" customFormat="1" ht="10.15" customHeight="1" x14ac:dyDescent="0.2">
      <c r="A11" s="168" t="s">
        <v>6</v>
      </c>
      <c r="B11" s="822" t="s">
        <v>9</v>
      </c>
      <c r="C11" s="822"/>
      <c r="D11" s="20" t="s">
        <v>25</v>
      </c>
      <c r="E11" s="29">
        <f>SUM(E12:E31)</f>
        <v>44986606</v>
      </c>
      <c r="F11" s="29">
        <f>SUM(F12:F31)</f>
        <v>48379734</v>
      </c>
      <c r="G11" s="29">
        <f>SUM(G12:G31)</f>
        <v>48278383.979999997</v>
      </c>
      <c r="H11" s="24">
        <f t="shared" si="0"/>
        <v>99.790511415379001</v>
      </c>
      <c r="I11" s="30">
        <f>SUM(I12:I31)</f>
        <v>46051743</v>
      </c>
      <c r="J11" s="29">
        <f>SUM(J12:J32)</f>
        <v>11550000</v>
      </c>
      <c r="K11" s="29">
        <f t="shared" ref="K11:Q11" si="6">SUM(K12:K32)</f>
        <v>14004357</v>
      </c>
      <c r="L11" s="29">
        <f t="shared" si="6"/>
        <v>13903006.98</v>
      </c>
      <c r="M11" s="29" t="e">
        <f t="shared" si="6"/>
        <v>#DIV/0!</v>
      </c>
      <c r="N11" s="29">
        <f t="shared" si="6"/>
        <v>12571914</v>
      </c>
      <c r="O11" s="29">
        <f t="shared" si="6"/>
        <v>33436606</v>
      </c>
      <c r="P11" s="29">
        <f t="shared" si="6"/>
        <v>34375377</v>
      </c>
      <c r="Q11" s="29">
        <f t="shared" si="6"/>
        <v>34375377</v>
      </c>
      <c r="R11" s="24">
        <f t="shared" si="3"/>
        <v>100</v>
      </c>
      <c r="S11" s="29">
        <f t="shared" ref="S11:V11" si="7">SUM(S12:S32)</f>
        <v>33479829</v>
      </c>
      <c r="T11" s="29">
        <f t="shared" si="7"/>
        <v>208000</v>
      </c>
      <c r="U11" s="29">
        <f t="shared" si="7"/>
        <v>208000</v>
      </c>
      <c r="V11" s="29">
        <f t="shared" si="7"/>
        <v>191197</v>
      </c>
      <c r="W11" s="24">
        <f t="shared" si="4"/>
        <v>91.921634615384619</v>
      </c>
      <c r="X11" s="29">
        <f>SUM(X12:X32)</f>
        <v>92739</v>
      </c>
    </row>
    <row r="12" spans="1:24" s="6" customFormat="1" ht="10.15" customHeight="1" x14ac:dyDescent="0.2">
      <c r="A12" s="178" t="s">
        <v>8</v>
      </c>
      <c r="B12" s="827" t="s">
        <v>28</v>
      </c>
      <c r="C12" s="828"/>
      <c r="D12" s="238" t="s">
        <v>25</v>
      </c>
      <c r="E12" s="32">
        <f t="shared" ref="E12:I29" si="8">SUM(J12,O12)</f>
        <v>6071200</v>
      </c>
      <c r="F12" s="33">
        <f t="shared" si="8"/>
        <v>7273912</v>
      </c>
      <c r="G12" s="33">
        <f t="shared" si="8"/>
        <v>7251850</v>
      </c>
      <c r="H12" s="9">
        <f t="shared" si="0"/>
        <v>99.696696908073676</v>
      </c>
      <c r="I12" s="34">
        <f t="shared" si="8"/>
        <v>6777143</v>
      </c>
      <c r="J12" s="108">
        <v>5740200</v>
      </c>
      <c r="K12" s="47">
        <v>6883412</v>
      </c>
      <c r="L12" s="47">
        <v>6861308</v>
      </c>
      <c r="M12" s="9">
        <f t="shared" si="2"/>
        <v>99.678880183257959</v>
      </c>
      <c r="N12" s="48">
        <v>6403792</v>
      </c>
      <c r="O12" s="49">
        <v>331000</v>
      </c>
      <c r="P12" s="47">
        <v>390500</v>
      </c>
      <c r="Q12" s="47">
        <v>390542</v>
      </c>
      <c r="R12" s="9">
        <f t="shared" si="3"/>
        <v>100.01075544174137</v>
      </c>
      <c r="S12" s="50">
        <v>373351</v>
      </c>
      <c r="T12" s="49">
        <v>106000</v>
      </c>
      <c r="U12" s="47">
        <v>106000</v>
      </c>
      <c r="V12" s="47">
        <v>78618</v>
      </c>
      <c r="W12" s="9">
        <f t="shared" si="4"/>
        <v>74.167924528301882</v>
      </c>
      <c r="X12" s="51">
        <v>23893</v>
      </c>
    </row>
    <row r="13" spans="1:24" s="6" customFormat="1" ht="10.15" customHeight="1" x14ac:dyDescent="0.2">
      <c r="A13" s="180" t="s">
        <v>10</v>
      </c>
      <c r="B13" s="820" t="s">
        <v>29</v>
      </c>
      <c r="C13" s="821"/>
      <c r="D13" s="172" t="s">
        <v>25</v>
      </c>
      <c r="E13" s="38">
        <f t="shared" si="8"/>
        <v>3313000</v>
      </c>
      <c r="F13" s="39">
        <f t="shared" si="8"/>
        <v>2453000</v>
      </c>
      <c r="G13" s="39">
        <f t="shared" si="8"/>
        <v>2419242</v>
      </c>
      <c r="H13" s="10">
        <f t="shared" si="0"/>
        <v>98.623807582551976</v>
      </c>
      <c r="I13" s="40">
        <f t="shared" si="8"/>
        <v>2930308</v>
      </c>
      <c r="J13" s="208">
        <v>3313000</v>
      </c>
      <c r="K13" s="157">
        <v>2453000</v>
      </c>
      <c r="L13" s="157">
        <v>2419242</v>
      </c>
      <c r="M13" s="158">
        <f t="shared" si="2"/>
        <v>98.623807582551976</v>
      </c>
      <c r="N13" s="198">
        <v>2930308</v>
      </c>
      <c r="O13" s="156"/>
      <c r="P13" s="157"/>
      <c r="Q13" s="157"/>
      <c r="R13" s="158" t="e">
        <f t="shared" si="3"/>
        <v>#DIV/0!</v>
      </c>
      <c r="S13" s="198"/>
      <c r="T13" s="156">
        <v>23600</v>
      </c>
      <c r="U13" s="157">
        <v>23600</v>
      </c>
      <c r="V13" s="157">
        <v>38298</v>
      </c>
      <c r="W13" s="158">
        <f t="shared" si="4"/>
        <v>162.27966101694915</v>
      </c>
      <c r="X13" s="159">
        <v>30964</v>
      </c>
    </row>
    <row r="14" spans="1:24" s="6" customFormat="1" ht="10.15" customHeight="1" x14ac:dyDescent="0.2">
      <c r="A14" s="180" t="s">
        <v>11</v>
      </c>
      <c r="B14" s="234" t="s">
        <v>60</v>
      </c>
      <c r="C14" s="235"/>
      <c r="D14" s="172" t="s">
        <v>25</v>
      </c>
      <c r="E14" s="38">
        <f t="shared" si="8"/>
        <v>0</v>
      </c>
      <c r="F14" s="39">
        <f t="shared" si="8"/>
        <v>0</v>
      </c>
      <c r="G14" s="39">
        <f t="shared" si="8"/>
        <v>0</v>
      </c>
      <c r="H14" s="10" t="e">
        <f t="shared" si="0"/>
        <v>#DIV/0!</v>
      </c>
      <c r="I14" s="40">
        <f t="shared" si="8"/>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10.15" customHeight="1" x14ac:dyDescent="0.2">
      <c r="A15" s="180" t="s">
        <v>12</v>
      </c>
      <c r="B15" s="820" t="s">
        <v>171</v>
      </c>
      <c r="C15" s="821"/>
      <c r="D15" s="172" t="s">
        <v>25</v>
      </c>
      <c r="E15" s="38">
        <f t="shared" si="8"/>
        <v>925000</v>
      </c>
      <c r="F15" s="39">
        <f t="shared" si="8"/>
        <v>1079590</v>
      </c>
      <c r="G15" s="39">
        <f t="shared" si="8"/>
        <v>1077957</v>
      </c>
      <c r="H15" s="10">
        <f t="shared" si="0"/>
        <v>99.84873887309071</v>
      </c>
      <c r="I15" s="40">
        <f t="shared" si="8"/>
        <v>1365939</v>
      </c>
      <c r="J15" s="208">
        <v>925000</v>
      </c>
      <c r="K15" s="157">
        <v>1079590</v>
      </c>
      <c r="L15" s="157">
        <v>1077957</v>
      </c>
      <c r="M15" s="158">
        <f t="shared" si="2"/>
        <v>99.84873887309071</v>
      </c>
      <c r="N15" s="198">
        <v>1365939</v>
      </c>
      <c r="O15" s="156"/>
      <c r="P15" s="157"/>
      <c r="Q15" s="157"/>
      <c r="R15" s="158" t="e">
        <f t="shared" si="3"/>
        <v>#DIV/0!</v>
      </c>
      <c r="S15" s="198"/>
      <c r="T15" s="156"/>
      <c r="U15" s="157"/>
      <c r="V15" s="157"/>
      <c r="W15" s="158" t="e">
        <f t="shared" si="4"/>
        <v>#DIV/0!</v>
      </c>
      <c r="X15" s="159"/>
    </row>
    <row r="16" spans="1:24" s="6" customFormat="1" ht="10.15" customHeight="1" x14ac:dyDescent="0.2">
      <c r="A16" s="180" t="s">
        <v>13</v>
      </c>
      <c r="B16" s="820" t="s">
        <v>30</v>
      </c>
      <c r="C16" s="821"/>
      <c r="D16" s="172" t="s">
        <v>25</v>
      </c>
      <c r="E16" s="38">
        <f t="shared" si="8"/>
        <v>48000</v>
      </c>
      <c r="F16" s="39">
        <f t="shared" si="8"/>
        <v>54100</v>
      </c>
      <c r="G16" s="39">
        <f t="shared" si="8"/>
        <v>53747</v>
      </c>
      <c r="H16" s="10">
        <f t="shared" si="0"/>
        <v>99.34750462107209</v>
      </c>
      <c r="I16" s="40">
        <f t="shared" si="8"/>
        <v>43431</v>
      </c>
      <c r="J16" s="208">
        <v>8000</v>
      </c>
      <c r="K16" s="157">
        <v>1500</v>
      </c>
      <c r="L16" s="157">
        <v>1230</v>
      </c>
      <c r="M16" s="158">
        <f t="shared" si="2"/>
        <v>82</v>
      </c>
      <c r="N16" s="198">
        <v>5760</v>
      </c>
      <c r="O16" s="156">
        <v>40000</v>
      </c>
      <c r="P16" s="157">
        <v>52600</v>
      </c>
      <c r="Q16" s="157">
        <v>52517</v>
      </c>
      <c r="R16" s="158">
        <f t="shared" si="3"/>
        <v>99.842205323193909</v>
      </c>
      <c r="S16" s="198">
        <v>37671</v>
      </c>
      <c r="T16" s="156">
        <v>2200</v>
      </c>
      <c r="U16" s="157">
        <v>2200</v>
      </c>
      <c r="V16" s="157">
        <v>1121</v>
      </c>
      <c r="W16" s="158">
        <f t="shared" si="4"/>
        <v>50.954545454545453</v>
      </c>
      <c r="X16" s="159">
        <v>480</v>
      </c>
    </row>
    <row r="17" spans="1:24" s="6" customFormat="1" ht="10.15" customHeight="1" x14ac:dyDescent="0.2">
      <c r="A17" s="180" t="s">
        <v>14</v>
      </c>
      <c r="B17" s="234" t="s">
        <v>46</v>
      </c>
      <c r="C17" s="235"/>
      <c r="D17" s="172" t="s">
        <v>25</v>
      </c>
      <c r="E17" s="38">
        <f t="shared" si="8"/>
        <v>5000</v>
      </c>
      <c r="F17" s="39">
        <f t="shared" si="8"/>
        <v>5000</v>
      </c>
      <c r="G17" s="39">
        <f t="shared" si="8"/>
        <v>4968</v>
      </c>
      <c r="H17" s="10">
        <f t="shared" si="0"/>
        <v>99.36</v>
      </c>
      <c r="I17" s="40">
        <f t="shared" si="8"/>
        <v>4991</v>
      </c>
      <c r="J17" s="208">
        <v>5000</v>
      </c>
      <c r="K17" s="157">
        <v>5000</v>
      </c>
      <c r="L17" s="157">
        <v>4968</v>
      </c>
      <c r="M17" s="158">
        <f t="shared" si="2"/>
        <v>99.36</v>
      </c>
      <c r="N17" s="198">
        <v>4991</v>
      </c>
      <c r="O17" s="156"/>
      <c r="P17" s="157"/>
      <c r="Q17" s="157"/>
      <c r="R17" s="158" t="e">
        <f t="shared" si="3"/>
        <v>#DIV/0!</v>
      </c>
      <c r="S17" s="198"/>
      <c r="T17" s="156"/>
      <c r="U17" s="157"/>
      <c r="V17" s="157"/>
      <c r="W17" s="158" t="e">
        <f t="shared" si="4"/>
        <v>#DIV/0!</v>
      </c>
      <c r="X17" s="159"/>
    </row>
    <row r="18" spans="1:24" s="6" customFormat="1" ht="10.15" customHeight="1" x14ac:dyDescent="0.2">
      <c r="A18" s="180" t="s">
        <v>15</v>
      </c>
      <c r="B18" s="820" t="s">
        <v>31</v>
      </c>
      <c r="C18" s="821"/>
      <c r="D18" s="172" t="s">
        <v>25</v>
      </c>
      <c r="E18" s="38">
        <f t="shared" si="8"/>
        <v>771600</v>
      </c>
      <c r="F18" s="39">
        <f t="shared" si="8"/>
        <v>842600</v>
      </c>
      <c r="G18" s="39">
        <f t="shared" si="8"/>
        <v>824379</v>
      </c>
      <c r="H18" s="10">
        <f t="shared" si="0"/>
        <v>97.837526703061954</v>
      </c>
      <c r="I18" s="40">
        <f t="shared" si="8"/>
        <v>733005</v>
      </c>
      <c r="J18" s="208">
        <v>551600</v>
      </c>
      <c r="K18" s="157">
        <v>586800</v>
      </c>
      <c r="L18" s="157">
        <v>568636</v>
      </c>
      <c r="M18" s="158">
        <f t="shared" si="2"/>
        <v>96.904567143830945</v>
      </c>
      <c r="N18" s="198">
        <v>477548</v>
      </c>
      <c r="O18" s="156">
        <v>220000</v>
      </c>
      <c r="P18" s="157">
        <v>255800</v>
      </c>
      <c r="Q18" s="157">
        <v>255743</v>
      </c>
      <c r="R18" s="158">
        <f t="shared" si="3"/>
        <v>99.977716966379987</v>
      </c>
      <c r="S18" s="198">
        <v>255457</v>
      </c>
      <c r="T18" s="156">
        <v>6400</v>
      </c>
      <c r="U18" s="157">
        <v>6400</v>
      </c>
      <c r="V18" s="157">
        <v>10378</v>
      </c>
      <c r="W18" s="158">
        <f t="shared" si="4"/>
        <v>162.15625</v>
      </c>
      <c r="X18" s="159">
        <v>11830</v>
      </c>
    </row>
    <row r="19" spans="1:24" s="11" customFormat="1" ht="10.15" customHeight="1" x14ac:dyDescent="0.2">
      <c r="A19" s="180" t="s">
        <v>16</v>
      </c>
      <c r="B19" s="820" t="s">
        <v>32</v>
      </c>
      <c r="C19" s="821"/>
      <c r="D19" s="172" t="s">
        <v>25</v>
      </c>
      <c r="E19" s="38">
        <f t="shared" si="8"/>
        <v>24501931</v>
      </c>
      <c r="F19" s="39">
        <f t="shared" si="8"/>
        <v>25129219</v>
      </c>
      <c r="G19" s="39">
        <f t="shared" si="8"/>
        <v>25129056</v>
      </c>
      <c r="H19" s="10">
        <f t="shared" si="0"/>
        <v>99.999351352702206</v>
      </c>
      <c r="I19" s="40">
        <f t="shared" si="8"/>
        <v>24317277</v>
      </c>
      <c r="J19" s="209">
        <v>350000</v>
      </c>
      <c r="K19" s="157">
        <v>356320</v>
      </c>
      <c r="L19" s="157">
        <v>356157</v>
      </c>
      <c r="M19" s="158">
        <f t="shared" si="2"/>
        <v>99.954254602604394</v>
      </c>
      <c r="N19" s="198">
        <v>359659</v>
      </c>
      <c r="O19" s="156">
        <v>24151931</v>
      </c>
      <c r="P19" s="157">
        <v>24772899</v>
      </c>
      <c r="Q19" s="157">
        <v>24772899</v>
      </c>
      <c r="R19" s="158">
        <f t="shared" si="3"/>
        <v>100</v>
      </c>
      <c r="S19" s="198">
        <v>23957618</v>
      </c>
      <c r="T19" s="210">
        <v>50900</v>
      </c>
      <c r="U19" s="211">
        <v>50900</v>
      </c>
      <c r="V19" s="211">
        <v>37138</v>
      </c>
      <c r="W19" s="158">
        <f t="shared" si="4"/>
        <v>72.962671905697434</v>
      </c>
      <c r="X19" s="212">
        <v>15039</v>
      </c>
    </row>
    <row r="20" spans="1:24" s="6" customFormat="1" ht="10.15" customHeight="1" x14ac:dyDescent="0.2">
      <c r="A20" s="180" t="s">
        <v>17</v>
      </c>
      <c r="B20" s="820" t="s">
        <v>47</v>
      </c>
      <c r="C20" s="821"/>
      <c r="D20" s="172" t="s">
        <v>25</v>
      </c>
      <c r="E20" s="38">
        <f t="shared" si="8"/>
        <v>8315186</v>
      </c>
      <c r="F20" s="39">
        <f t="shared" si="8"/>
        <v>8590775</v>
      </c>
      <c r="G20" s="39">
        <f t="shared" si="8"/>
        <v>8584064</v>
      </c>
      <c r="H20" s="10">
        <f t="shared" si="0"/>
        <v>99.921881320369806</v>
      </c>
      <c r="I20" s="40">
        <f t="shared" si="8"/>
        <v>8307018</v>
      </c>
      <c r="J20" s="208">
        <v>101300</v>
      </c>
      <c r="K20" s="157">
        <v>101300</v>
      </c>
      <c r="L20" s="157">
        <v>94589</v>
      </c>
      <c r="M20" s="158">
        <f t="shared" si="2"/>
        <v>93.375123395853905</v>
      </c>
      <c r="N20" s="198">
        <v>98901</v>
      </c>
      <c r="O20" s="156">
        <v>8213886</v>
      </c>
      <c r="P20" s="157">
        <v>8489475</v>
      </c>
      <c r="Q20" s="157">
        <v>8489475</v>
      </c>
      <c r="R20" s="158">
        <f t="shared" si="3"/>
        <v>100</v>
      </c>
      <c r="S20" s="198">
        <v>8208117</v>
      </c>
      <c r="T20" s="156">
        <v>17010</v>
      </c>
      <c r="U20" s="157">
        <v>17010</v>
      </c>
      <c r="V20" s="157">
        <v>12193</v>
      </c>
      <c r="W20" s="158">
        <f t="shared" si="4"/>
        <v>71.681363903586131</v>
      </c>
      <c r="X20" s="159">
        <v>4949</v>
      </c>
    </row>
    <row r="21" spans="1:24" s="6" customFormat="1" ht="10.15" customHeight="1" x14ac:dyDescent="0.2">
      <c r="A21" s="180" t="s">
        <v>18</v>
      </c>
      <c r="B21" s="820" t="s">
        <v>48</v>
      </c>
      <c r="C21" s="821"/>
      <c r="D21" s="172" t="s">
        <v>25</v>
      </c>
      <c r="E21" s="38">
        <f t="shared" si="8"/>
        <v>244789</v>
      </c>
      <c r="F21" s="39">
        <f t="shared" si="8"/>
        <v>295514</v>
      </c>
      <c r="G21" s="39">
        <f t="shared" si="8"/>
        <v>293307</v>
      </c>
      <c r="H21" s="10">
        <f t="shared" si="0"/>
        <v>99.253165670661971</v>
      </c>
      <c r="I21" s="40">
        <f t="shared" si="8"/>
        <v>278446</v>
      </c>
      <c r="J21" s="208">
        <v>5000</v>
      </c>
      <c r="K21" s="157">
        <v>5000</v>
      </c>
      <c r="L21" s="157">
        <v>2793</v>
      </c>
      <c r="M21" s="158">
        <f t="shared" si="2"/>
        <v>55.86</v>
      </c>
      <c r="N21" s="198">
        <v>4418</v>
      </c>
      <c r="O21" s="156">
        <v>239789</v>
      </c>
      <c r="P21" s="157">
        <v>290514</v>
      </c>
      <c r="Q21" s="157">
        <v>290514</v>
      </c>
      <c r="R21" s="158">
        <f t="shared" si="3"/>
        <v>100</v>
      </c>
      <c r="S21" s="198">
        <v>274028</v>
      </c>
      <c r="T21" s="156">
        <v>630</v>
      </c>
      <c r="U21" s="157">
        <v>630</v>
      </c>
      <c r="V21" s="157">
        <v>688</v>
      </c>
      <c r="W21" s="158">
        <f t="shared" si="4"/>
        <v>109.2063492063492</v>
      </c>
      <c r="X21" s="159">
        <v>175</v>
      </c>
    </row>
    <row r="22" spans="1:24" s="6" customFormat="1" ht="10.15" customHeight="1" x14ac:dyDescent="0.2">
      <c r="A22" s="671" t="s">
        <v>19</v>
      </c>
      <c r="B22" s="839" t="s">
        <v>61</v>
      </c>
      <c r="C22" s="840"/>
      <c r="D22" s="672" t="s">
        <v>25</v>
      </c>
      <c r="E22" s="673">
        <f t="shared" si="8"/>
        <v>0</v>
      </c>
      <c r="F22" s="674">
        <f t="shared" si="8"/>
        <v>5800</v>
      </c>
      <c r="G22" s="674">
        <f t="shared" si="8"/>
        <v>5700</v>
      </c>
      <c r="H22" s="675">
        <f t="shared" si="0"/>
        <v>98.275862068965509</v>
      </c>
      <c r="I22" s="676">
        <f t="shared" si="8"/>
        <v>0</v>
      </c>
      <c r="J22" s="208"/>
      <c r="K22" s="157">
        <v>5800</v>
      </c>
      <c r="L22" s="157">
        <v>5700</v>
      </c>
      <c r="M22" s="158">
        <f t="shared" si="2"/>
        <v>98.275862068965509</v>
      </c>
      <c r="N22" s="198"/>
      <c r="O22" s="156"/>
      <c r="P22" s="157"/>
      <c r="Q22" s="157"/>
      <c r="R22" s="158" t="e">
        <f t="shared" si="3"/>
        <v>#DIV/0!</v>
      </c>
      <c r="S22" s="198"/>
      <c r="T22" s="156"/>
      <c r="U22" s="157"/>
      <c r="V22" s="157"/>
      <c r="W22" s="158" t="e">
        <f t="shared" si="4"/>
        <v>#DIV/0!</v>
      </c>
      <c r="X22" s="159"/>
    </row>
    <row r="23" spans="1:24" s="6" customFormat="1" ht="10.15" customHeight="1" x14ac:dyDescent="0.2">
      <c r="A23" s="671" t="s">
        <v>20</v>
      </c>
      <c r="B23" s="677" t="s">
        <v>172</v>
      </c>
      <c r="C23" s="678"/>
      <c r="D23" s="672" t="s">
        <v>25</v>
      </c>
      <c r="E23" s="673">
        <f t="shared" si="8"/>
        <v>0</v>
      </c>
      <c r="F23" s="674">
        <f t="shared" si="8"/>
        <v>0</v>
      </c>
      <c r="G23" s="674">
        <f t="shared" si="8"/>
        <v>0</v>
      </c>
      <c r="H23" s="675" t="e">
        <f t="shared" si="0"/>
        <v>#DIV/0!</v>
      </c>
      <c r="I23" s="676">
        <f t="shared" si="8"/>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10.15" customHeight="1" x14ac:dyDescent="0.2">
      <c r="A24" s="671" t="s">
        <v>21</v>
      </c>
      <c r="B24" s="677" t="s">
        <v>173</v>
      </c>
      <c r="C24" s="678"/>
      <c r="D24" s="672" t="s">
        <v>25</v>
      </c>
      <c r="E24" s="673">
        <f t="shared" si="8"/>
        <v>0</v>
      </c>
      <c r="F24" s="674">
        <f t="shared" si="8"/>
        <v>0</v>
      </c>
      <c r="G24" s="674">
        <f t="shared" si="8"/>
        <v>0</v>
      </c>
      <c r="H24" s="675" t="e">
        <f t="shared" si="0"/>
        <v>#DIV/0!</v>
      </c>
      <c r="I24" s="676">
        <f t="shared" si="8"/>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10.15" customHeight="1" x14ac:dyDescent="0.2">
      <c r="A25" s="679" t="s">
        <v>22</v>
      </c>
      <c r="B25" s="680" t="s">
        <v>62</v>
      </c>
      <c r="C25" s="681"/>
      <c r="D25" s="672" t="s">
        <v>25</v>
      </c>
      <c r="E25" s="673">
        <f t="shared" si="8"/>
        <v>0</v>
      </c>
      <c r="F25" s="674">
        <f t="shared" si="8"/>
        <v>0</v>
      </c>
      <c r="G25" s="674">
        <f t="shared" si="8"/>
        <v>0</v>
      </c>
      <c r="H25" s="675" t="e">
        <f>G25/F25*100</f>
        <v>#DIV/0!</v>
      </c>
      <c r="I25" s="676">
        <f>SUM(N25,S25)</f>
        <v>0</v>
      </c>
      <c r="J25" s="109"/>
      <c r="K25" s="54"/>
      <c r="L25" s="54"/>
      <c r="M25" s="10" t="e">
        <f>L25/K25*100</f>
        <v>#DIV/0!</v>
      </c>
      <c r="N25" s="52"/>
      <c r="O25" s="53"/>
      <c r="P25" s="54"/>
      <c r="Q25" s="54"/>
      <c r="R25" s="10" t="e">
        <f>Q25/P25*100</f>
        <v>#DIV/0!</v>
      </c>
      <c r="S25" s="52"/>
      <c r="T25" s="53"/>
      <c r="U25" s="54"/>
      <c r="V25" s="54"/>
      <c r="W25" s="10" t="e">
        <f>V25/U25*100</f>
        <v>#DIV/0!</v>
      </c>
      <c r="X25" s="113"/>
    </row>
    <row r="26" spans="1:24" s="6" customFormat="1" ht="10.15" customHeight="1" x14ac:dyDescent="0.2">
      <c r="A26" s="671" t="s">
        <v>23</v>
      </c>
      <c r="B26" s="839" t="s">
        <v>63</v>
      </c>
      <c r="C26" s="840"/>
      <c r="D26" s="672" t="s">
        <v>25</v>
      </c>
      <c r="E26" s="673">
        <f t="shared" si="8"/>
        <v>233000</v>
      </c>
      <c r="F26" s="674">
        <f t="shared" si="8"/>
        <v>1396462</v>
      </c>
      <c r="G26" s="674">
        <f t="shared" si="8"/>
        <v>1380387.98</v>
      </c>
      <c r="H26" s="675">
        <f t="shared" si="0"/>
        <v>98.848946838510471</v>
      </c>
      <c r="I26" s="676">
        <f t="shared" si="8"/>
        <v>250543</v>
      </c>
      <c r="J26" s="208">
        <v>233000</v>
      </c>
      <c r="K26" s="197">
        <v>1396462</v>
      </c>
      <c r="L26" s="197">
        <v>1380387.98</v>
      </c>
      <c r="M26" s="158">
        <f t="shared" ref="M26:M28" si="9">L26/K26*100</f>
        <v>98.848946838510471</v>
      </c>
      <c r="N26" s="198">
        <v>250543</v>
      </c>
      <c r="O26" s="218"/>
      <c r="P26" s="197"/>
      <c r="Q26" s="197"/>
      <c r="R26" s="158" t="e">
        <f t="shared" ref="R26:R28" si="10">Q26/P26*100</f>
        <v>#DIV/0!</v>
      </c>
      <c r="S26" s="214"/>
      <c r="T26" s="236"/>
      <c r="U26" s="220"/>
      <c r="V26" s="197">
        <v>12150</v>
      </c>
      <c r="W26" s="158" t="e">
        <f t="shared" ref="W26:W28" si="11">V26/U26*100</f>
        <v>#DIV/0!</v>
      </c>
      <c r="X26" s="219">
        <v>5390</v>
      </c>
    </row>
    <row r="27" spans="1:24" s="13" customFormat="1" ht="10.15" customHeight="1" x14ac:dyDescent="0.2">
      <c r="A27" s="180" t="s">
        <v>43</v>
      </c>
      <c r="B27" s="234" t="s">
        <v>64</v>
      </c>
      <c r="C27" s="235"/>
      <c r="D27" s="172" t="s">
        <v>25</v>
      </c>
      <c r="E27" s="38">
        <f t="shared" si="8"/>
        <v>0</v>
      </c>
      <c r="F27" s="39">
        <f t="shared" si="8"/>
        <v>158000</v>
      </c>
      <c r="G27" s="39">
        <f t="shared" si="8"/>
        <v>157944</v>
      </c>
      <c r="H27" s="14">
        <f t="shared" si="0"/>
        <v>99.964556962025313</v>
      </c>
      <c r="I27" s="40">
        <f t="shared" si="8"/>
        <v>8916</v>
      </c>
      <c r="J27" s="208">
        <v>0</v>
      </c>
      <c r="K27" s="197">
        <v>158000</v>
      </c>
      <c r="L27" s="197">
        <v>157944</v>
      </c>
      <c r="M27" s="158">
        <f t="shared" si="9"/>
        <v>99.964556962025313</v>
      </c>
      <c r="N27" s="214">
        <v>8916</v>
      </c>
      <c r="O27" s="218"/>
      <c r="P27" s="197"/>
      <c r="Q27" s="197"/>
      <c r="R27" s="158" t="e">
        <f t="shared" si="10"/>
        <v>#DIV/0!</v>
      </c>
      <c r="S27" s="214"/>
      <c r="T27" s="218">
        <v>1170</v>
      </c>
      <c r="U27" s="197">
        <v>1170</v>
      </c>
      <c r="V27" s="197">
        <v>613</v>
      </c>
      <c r="W27" s="158">
        <f t="shared" si="11"/>
        <v>52.393162393162399</v>
      </c>
      <c r="X27" s="219">
        <v>19</v>
      </c>
    </row>
    <row r="28" spans="1:24" s="13" customFormat="1" ht="10.15" customHeight="1" x14ac:dyDescent="0.2">
      <c r="A28" s="180" t="s">
        <v>49</v>
      </c>
      <c r="B28" s="234" t="s">
        <v>92</v>
      </c>
      <c r="C28" s="235"/>
      <c r="D28" s="172" t="s">
        <v>25</v>
      </c>
      <c r="E28" s="38">
        <f>SUM(J28,O28)</f>
        <v>557000</v>
      </c>
      <c r="F28" s="39">
        <f>SUM(K28,P28)</f>
        <v>1089362</v>
      </c>
      <c r="G28" s="39">
        <f>SUM(L28,Q28)</f>
        <v>1089386</v>
      </c>
      <c r="H28" s="14">
        <f>G28/F28*100</f>
        <v>100.00220312439758</v>
      </c>
      <c r="I28" s="40">
        <f>SUM(N28,S28)</f>
        <v>1031432</v>
      </c>
      <c r="J28" s="208">
        <v>317000</v>
      </c>
      <c r="K28" s="197">
        <v>965773</v>
      </c>
      <c r="L28" s="197">
        <v>965699</v>
      </c>
      <c r="M28" s="158">
        <f t="shared" si="9"/>
        <v>99.992337743962608</v>
      </c>
      <c r="N28" s="214">
        <v>657845</v>
      </c>
      <c r="O28" s="218">
        <v>240000</v>
      </c>
      <c r="P28" s="197">
        <v>123589</v>
      </c>
      <c r="Q28" s="197">
        <v>123687</v>
      </c>
      <c r="R28" s="158">
        <f t="shared" si="10"/>
        <v>100.07929508289573</v>
      </c>
      <c r="S28" s="214">
        <v>373587</v>
      </c>
      <c r="T28" s="236"/>
      <c r="U28" s="220"/>
      <c r="V28" s="220"/>
      <c r="W28" s="158" t="e">
        <f t="shared" si="11"/>
        <v>#DIV/0!</v>
      </c>
      <c r="X28" s="246"/>
    </row>
    <row r="29" spans="1:24" s="15" customFormat="1" ht="10.15" customHeight="1" x14ac:dyDescent="0.2">
      <c r="A29" s="180" t="s">
        <v>50</v>
      </c>
      <c r="B29" s="820" t="s">
        <v>65</v>
      </c>
      <c r="C29" s="821"/>
      <c r="D29" s="172" t="s">
        <v>25</v>
      </c>
      <c r="E29" s="38">
        <f t="shared" si="8"/>
        <v>900</v>
      </c>
      <c r="F29" s="39">
        <f t="shared" si="8"/>
        <v>6400</v>
      </c>
      <c r="G29" s="39">
        <f t="shared" si="8"/>
        <v>6396</v>
      </c>
      <c r="H29" s="14">
        <f t="shared" si="0"/>
        <v>99.9375</v>
      </c>
      <c r="I29" s="40">
        <f t="shared" si="8"/>
        <v>3294</v>
      </c>
      <c r="J29" s="208">
        <v>900</v>
      </c>
      <c r="K29" s="213">
        <v>6400</v>
      </c>
      <c r="L29" s="213">
        <v>6396</v>
      </c>
      <c r="M29" s="158">
        <f t="shared" ref="M29" si="12">L29/K29*100</f>
        <v>99.9375</v>
      </c>
      <c r="N29" s="214">
        <v>3294</v>
      </c>
      <c r="O29" s="215"/>
      <c r="P29" s="213"/>
      <c r="Q29" s="213"/>
      <c r="R29" s="158" t="e">
        <f t="shared" ref="R29" si="13">Q29/P29*100</f>
        <v>#DIV/0!</v>
      </c>
      <c r="S29" s="216"/>
      <c r="T29" s="215">
        <v>90</v>
      </c>
      <c r="U29" s="213">
        <v>90</v>
      </c>
      <c r="V29" s="213"/>
      <c r="W29" s="158">
        <f t="shared" ref="W29" si="14">V29/U29*100</f>
        <v>0</v>
      </c>
      <c r="X29" s="217"/>
    </row>
    <row r="30" spans="1:24" s="6" customFormat="1" ht="9.75" x14ac:dyDescent="0.2">
      <c r="A30" s="180" t="s">
        <v>52</v>
      </c>
      <c r="B30" s="234" t="s">
        <v>51</v>
      </c>
      <c r="C30" s="235"/>
      <c r="D30" s="172" t="s">
        <v>25</v>
      </c>
      <c r="E30" s="38">
        <f t="shared" ref="E30:G31" si="15">SUM(J30,O30)</f>
        <v>0</v>
      </c>
      <c r="F30" s="39">
        <f t="shared" si="15"/>
        <v>0</v>
      </c>
      <c r="G30" s="39">
        <f t="shared" si="15"/>
        <v>0</v>
      </c>
      <c r="H30" s="14" t="e">
        <f t="shared" si="0"/>
        <v>#DIV/0!</v>
      </c>
      <c r="I30" s="40">
        <f>SUM(N30,S30)</f>
        <v>0</v>
      </c>
      <c r="J30" s="109"/>
      <c r="K30" s="54"/>
      <c r="L30" s="54"/>
      <c r="M30" s="10" t="e">
        <f t="shared" ref="M30:M33" si="16">L30/K30*100</f>
        <v>#DIV/0!</v>
      </c>
      <c r="N30" s="52"/>
      <c r="O30" s="53"/>
      <c r="P30" s="54"/>
      <c r="Q30" s="54"/>
      <c r="R30" s="10" t="e">
        <f t="shared" ref="R30:R33" si="17">Q30/P30*100</f>
        <v>#DIV/0!</v>
      </c>
      <c r="S30" s="52"/>
      <c r="T30" s="57"/>
      <c r="U30" s="55"/>
      <c r="V30" s="54"/>
      <c r="W30" s="10" t="e">
        <f t="shared" ref="W30:W33" si="18">V30/U30*100</f>
        <v>#DIV/0!</v>
      </c>
      <c r="X30" s="113"/>
    </row>
    <row r="31" spans="1:24" s="23" customFormat="1" ht="9.75" x14ac:dyDescent="0.2">
      <c r="A31" s="180" t="s">
        <v>53</v>
      </c>
      <c r="B31" s="234" t="s">
        <v>66</v>
      </c>
      <c r="C31" s="235"/>
      <c r="D31" s="172" t="s">
        <v>25</v>
      </c>
      <c r="E31" s="38">
        <f t="shared" si="15"/>
        <v>0</v>
      </c>
      <c r="F31" s="39">
        <f t="shared" si="15"/>
        <v>0</v>
      </c>
      <c r="G31" s="39">
        <f t="shared" si="15"/>
        <v>0</v>
      </c>
      <c r="H31" s="14" t="e">
        <f t="shared" si="0"/>
        <v>#DIV/0!</v>
      </c>
      <c r="I31" s="40">
        <f>SUM(N31,S31)</f>
        <v>0</v>
      </c>
      <c r="J31" s="109"/>
      <c r="K31" s="71"/>
      <c r="L31" s="71"/>
      <c r="M31" s="10" t="e">
        <f t="shared" si="16"/>
        <v>#DIV/0!</v>
      </c>
      <c r="N31" s="72"/>
      <c r="O31" s="73"/>
      <c r="P31" s="71"/>
      <c r="Q31" s="71"/>
      <c r="R31" s="10" t="e">
        <f t="shared" si="17"/>
        <v>#DIV/0!</v>
      </c>
      <c r="S31" s="72"/>
      <c r="T31" s="74"/>
      <c r="U31" s="75"/>
      <c r="V31" s="75"/>
      <c r="W31" s="10" t="e">
        <f t="shared" si="18"/>
        <v>#DIV/0!</v>
      </c>
      <c r="X31" s="114"/>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115"/>
      <c r="K32" s="56"/>
      <c r="L32" s="56"/>
      <c r="M32" s="26" t="e">
        <f t="shared" si="16"/>
        <v>#DIV/0!</v>
      </c>
      <c r="N32" s="76"/>
      <c r="O32" s="58"/>
      <c r="P32" s="56"/>
      <c r="Q32" s="56"/>
      <c r="R32" s="26" t="e">
        <f t="shared" si="17"/>
        <v>#DIV/0!</v>
      </c>
      <c r="S32" s="76"/>
      <c r="T32" s="58"/>
      <c r="U32" s="56"/>
      <c r="V32" s="56"/>
      <c r="W32" s="26" t="e">
        <f t="shared" si="18"/>
        <v>#DIV/0!</v>
      </c>
      <c r="X32" s="116"/>
    </row>
    <row r="33" spans="1:24" s="23" customFormat="1" ht="9.75" x14ac:dyDescent="0.2">
      <c r="A33" s="168" t="s">
        <v>55</v>
      </c>
      <c r="B33" s="21" t="s">
        <v>174</v>
      </c>
      <c r="C33" s="22"/>
      <c r="D33" s="20" t="s">
        <v>25</v>
      </c>
      <c r="E33" s="29">
        <f>E6-E11</f>
        <v>0</v>
      </c>
      <c r="F33" s="29">
        <f>F6-F11</f>
        <v>0</v>
      </c>
      <c r="G33" s="29">
        <f>G6-G11</f>
        <v>107296.02000000328</v>
      </c>
      <c r="H33" s="25" t="e">
        <f t="shared" si="0"/>
        <v>#DIV/0!</v>
      </c>
      <c r="I33" s="29">
        <f>I6-I11</f>
        <v>46050</v>
      </c>
      <c r="J33" s="29">
        <f>J6-J11</f>
        <v>0</v>
      </c>
      <c r="K33" s="29">
        <f>K6-K11</f>
        <v>0</v>
      </c>
      <c r="L33" s="29">
        <f>L6-L11</f>
        <v>107296.01999999955</v>
      </c>
      <c r="M33" s="19" t="e">
        <f t="shared" si="16"/>
        <v>#DIV/0!</v>
      </c>
      <c r="N33" s="29">
        <f>N6-N11</f>
        <v>46050</v>
      </c>
      <c r="O33" s="29">
        <f>O6-O11</f>
        <v>0</v>
      </c>
      <c r="P33" s="29">
        <f>P6-P11</f>
        <v>0</v>
      </c>
      <c r="Q33" s="29">
        <f>Q6-Q11</f>
        <v>0</v>
      </c>
      <c r="R33" s="19" t="e">
        <f t="shared" si="17"/>
        <v>#DIV/0!</v>
      </c>
      <c r="S33" s="29">
        <f>S6-S11</f>
        <v>0</v>
      </c>
      <c r="T33" s="29">
        <f>T6-T11</f>
        <v>77000</v>
      </c>
      <c r="U33" s="29">
        <f>U6-U11</f>
        <v>77000</v>
      </c>
      <c r="V33" s="29">
        <f>V6-V11</f>
        <v>90411</v>
      </c>
      <c r="W33" s="19">
        <f t="shared" si="18"/>
        <v>117.41688311688311</v>
      </c>
      <c r="X33" s="29">
        <f>X6-X11</f>
        <v>79031</v>
      </c>
    </row>
    <row r="34" spans="1:24" s="4" customFormat="1" ht="9" x14ac:dyDescent="0.2">
      <c r="A34" s="187" t="s">
        <v>56</v>
      </c>
      <c r="B34" s="841" t="s">
        <v>24</v>
      </c>
      <c r="C34" s="842"/>
      <c r="D34" s="188" t="s">
        <v>25</v>
      </c>
      <c r="E34" s="142">
        <v>22000</v>
      </c>
      <c r="F34" s="143">
        <v>22000</v>
      </c>
      <c r="G34" s="143">
        <v>22213</v>
      </c>
      <c r="H34" s="12">
        <f t="shared" si="0"/>
        <v>100.96818181818182</v>
      </c>
      <c r="I34" s="247">
        <v>21108</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91</v>
      </c>
      <c r="F35" s="145">
        <v>93</v>
      </c>
      <c r="G35" s="145">
        <v>93.933999999999997</v>
      </c>
      <c r="H35" s="232">
        <f t="shared" si="0"/>
        <v>101.00430107526881</v>
      </c>
      <c r="I35" s="248">
        <v>96</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104</v>
      </c>
      <c r="F36" s="249">
        <v>104</v>
      </c>
      <c r="G36" s="249">
        <v>104</v>
      </c>
      <c r="H36" s="233">
        <f t="shared" si="0"/>
        <v>100</v>
      </c>
      <c r="I36" s="250">
        <v>101</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2"/>
  <sheetViews>
    <sheetView tabSelected="1" zoomScaleNormal="100" workbookViewId="0"/>
  </sheetViews>
  <sheetFormatPr defaultRowHeight="12.75" x14ac:dyDescent="0.2"/>
  <cols>
    <col min="1" max="1" width="74.75" style="28" customWidth="1"/>
    <col min="2" max="9" width="23.75" style="28" customWidth="1"/>
    <col min="17" max="17" width="17.75" bestFit="1" customWidth="1"/>
  </cols>
  <sheetData>
    <row r="1" spans="1:9" ht="18.75" x14ac:dyDescent="0.3">
      <c r="A1" s="27" t="s">
        <v>82</v>
      </c>
      <c r="B1" s="27"/>
      <c r="C1" s="27"/>
      <c r="D1" s="27"/>
      <c r="E1" s="27"/>
      <c r="F1" s="27"/>
      <c r="G1" s="27"/>
      <c r="H1" s="27"/>
      <c r="I1" s="27"/>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512" t="s">
        <v>25</v>
      </c>
      <c r="D5" s="788" t="s">
        <v>176</v>
      </c>
      <c r="E5" s="788"/>
      <c r="F5" s="788"/>
      <c r="G5" s="788"/>
      <c r="H5" s="788"/>
      <c r="I5" s="788"/>
    </row>
    <row r="6" spans="1:9" s="87" customFormat="1" ht="11.25" x14ac:dyDescent="0.2">
      <c r="A6" s="792" t="s">
        <v>177</v>
      </c>
      <c r="B6" s="792"/>
      <c r="C6" s="283">
        <f>SUM(C7:C9)</f>
        <v>204316.5</v>
      </c>
      <c r="D6" s="793"/>
      <c r="E6" s="794"/>
      <c r="F6" s="794"/>
      <c r="G6" s="794"/>
      <c r="H6" s="794"/>
      <c r="I6" s="795"/>
    </row>
    <row r="7" spans="1:9" s="87" customFormat="1" ht="11.25" x14ac:dyDescent="0.2">
      <c r="A7" s="796" t="s">
        <v>69</v>
      </c>
      <c r="B7" s="797"/>
      <c r="C7" s="284">
        <v>6666.11</v>
      </c>
      <c r="D7" s="798" t="s">
        <v>769</v>
      </c>
      <c r="E7" s="798"/>
      <c r="F7" s="798"/>
      <c r="G7" s="798"/>
      <c r="H7" s="798"/>
      <c r="I7" s="798"/>
    </row>
    <row r="8" spans="1:9" s="88" customFormat="1" ht="22.5" customHeight="1" x14ac:dyDescent="0.15">
      <c r="A8" s="757" t="s">
        <v>178</v>
      </c>
      <c r="B8" s="758"/>
      <c r="C8" s="285">
        <v>197650.39</v>
      </c>
      <c r="D8" s="737" t="s">
        <v>1163</v>
      </c>
      <c r="E8" s="737"/>
      <c r="F8" s="737"/>
      <c r="G8" s="737"/>
      <c r="H8" s="737"/>
      <c r="I8" s="737"/>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512" t="s">
        <v>68</v>
      </c>
      <c r="B13" s="512" t="s">
        <v>181</v>
      </c>
      <c r="C13" s="512"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f>C6-C16</f>
        <v>184316.5</v>
      </c>
      <c r="D15" s="295"/>
      <c r="E15" s="296"/>
      <c r="F15" s="296"/>
      <c r="G15" s="296"/>
      <c r="H15" s="296"/>
      <c r="I15" s="296"/>
    </row>
    <row r="16" spans="1:9" s="87" customFormat="1" ht="11.25" x14ac:dyDescent="0.2">
      <c r="A16" s="763"/>
      <c r="B16" s="297" t="s">
        <v>71</v>
      </c>
      <c r="C16" s="298">
        <v>20000</v>
      </c>
      <c r="D16" s="299"/>
      <c r="E16" s="300"/>
      <c r="F16" s="300"/>
      <c r="G16" s="300"/>
      <c r="H16" s="300"/>
      <c r="I16" s="300"/>
    </row>
    <row r="17" spans="1:9" s="87" customFormat="1" ht="11.25" x14ac:dyDescent="0.2">
      <c r="A17" s="513" t="s">
        <v>177</v>
      </c>
      <c r="B17" s="302"/>
      <c r="C17" s="283">
        <f>SUM(C14:C16)</f>
        <v>204316.5</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510" t="s">
        <v>181</v>
      </c>
      <c r="B21" s="510" t="s">
        <v>185</v>
      </c>
      <c r="C21" s="307" t="s">
        <v>186</v>
      </c>
      <c r="D21" s="510" t="s">
        <v>187</v>
      </c>
      <c r="E21" s="510" t="s">
        <v>188</v>
      </c>
      <c r="F21" s="764" t="s">
        <v>189</v>
      </c>
      <c r="G21" s="764"/>
      <c r="H21" s="764"/>
      <c r="I21" s="764"/>
    </row>
    <row r="22" spans="1:9" s="87" customFormat="1" ht="23.25" customHeight="1" x14ac:dyDescent="0.2">
      <c r="A22" s="310" t="s">
        <v>190</v>
      </c>
      <c r="B22" s="124">
        <v>165062.66</v>
      </c>
      <c r="C22" s="124">
        <v>230438.6</v>
      </c>
      <c r="D22" s="124">
        <v>247490.22</v>
      </c>
      <c r="E22" s="124">
        <f>B22+C22-D22</f>
        <v>148011.04</v>
      </c>
      <c r="F22" s="778" t="s">
        <v>1168</v>
      </c>
      <c r="G22" s="779"/>
      <c r="H22" s="779"/>
      <c r="I22" s="780"/>
    </row>
    <row r="23" spans="1:9" s="87" customFormat="1" ht="57" customHeight="1" x14ac:dyDescent="0.2">
      <c r="A23" s="293" t="s">
        <v>191</v>
      </c>
      <c r="B23" s="125">
        <v>507168.34</v>
      </c>
      <c r="C23" s="125">
        <v>1427585.22</v>
      </c>
      <c r="D23" s="125">
        <v>1255308.22</v>
      </c>
      <c r="E23" s="125">
        <f t="shared" ref="E23:E25" si="0">B23+C23-D23</f>
        <v>679445.34000000008</v>
      </c>
      <c r="F23" s="781" t="s">
        <v>1164</v>
      </c>
      <c r="G23" s="782"/>
      <c r="H23" s="782"/>
      <c r="I23" s="783"/>
    </row>
    <row r="24" spans="1:9" s="87" customFormat="1" ht="24" customHeight="1" x14ac:dyDescent="0.2">
      <c r="A24" s="293" t="s">
        <v>71</v>
      </c>
      <c r="B24" s="125">
        <v>82983.72</v>
      </c>
      <c r="C24" s="125">
        <v>20000</v>
      </c>
      <c r="D24" s="125">
        <v>15710</v>
      </c>
      <c r="E24" s="125">
        <f t="shared" si="0"/>
        <v>87273.72</v>
      </c>
      <c r="F24" s="781" t="s">
        <v>576</v>
      </c>
      <c r="G24" s="782"/>
      <c r="H24" s="782"/>
      <c r="I24" s="783"/>
    </row>
    <row r="25" spans="1:9" s="87" customFormat="1" ht="24" customHeight="1" x14ac:dyDescent="0.2">
      <c r="A25" s="311" t="s">
        <v>193</v>
      </c>
      <c r="B25" s="126">
        <v>133920.74</v>
      </c>
      <c r="C25" s="126">
        <v>156895.5</v>
      </c>
      <c r="D25" s="126">
        <v>172162</v>
      </c>
      <c r="E25" s="126">
        <f t="shared" si="0"/>
        <v>118654.23999999999</v>
      </c>
      <c r="F25" s="784" t="s">
        <v>760</v>
      </c>
      <c r="G25" s="785"/>
      <c r="H25" s="785"/>
      <c r="I25" s="786"/>
    </row>
    <row r="26" spans="1:9" s="88" customFormat="1" ht="10.5" x14ac:dyDescent="0.15">
      <c r="A26" s="670" t="s">
        <v>34</v>
      </c>
      <c r="B26" s="283">
        <f>SUM(B22:B25)</f>
        <v>889135.46</v>
      </c>
      <c r="C26" s="283">
        <f t="shared" ref="C26:E26" si="1">SUM(C22:C25)</f>
        <v>1834919.32</v>
      </c>
      <c r="D26" s="283">
        <f t="shared" si="1"/>
        <v>1690670.44</v>
      </c>
      <c r="E26" s="283">
        <f t="shared" si="1"/>
        <v>1033384.3400000001</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512" t="s">
        <v>72</v>
      </c>
      <c r="B30" s="512" t="s">
        <v>25</v>
      </c>
      <c r="C30" s="511" t="s">
        <v>73</v>
      </c>
      <c r="D30" s="788" t="s">
        <v>196</v>
      </c>
      <c r="E30" s="788"/>
      <c r="F30" s="788"/>
      <c r="G30" s="788"/>
      <c r="H30" s="788"/>
      <c r="I30" s="788"/>
    </row>
    <row r="31" spans="1:9" s="87" customFormat="1" ht="11.25" x14ac:dyDescent="0.2">
      <c r="A31" s="343"/>
      <c r="B31" s="132">
        <v>0</v>
      </c>
      <c r="C31" s="337"/>
      <c r="D31" s="856"/>
      <c r="E31" s="857"/>
      <c r="F31" s="857"/>
      <c r="G31" s="857"/>
      <c r="H31" s="857"/>
      <c r="I31" s="858"/>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512" t="s">
        <v>72</v>
      </c>
      <c r="B36" s="512" t="s">
        <v>25</v>
      </c>
      <c r="C36" s="511" t="s">
        <v>73</v>
      </c>
      <c r="D36" s="788" t="s">
        <v>196</v>
      </c>
      <c r="E36" s="788"/>
      <c r="F36" s="788"/>
      <c r="G36" s="788"/>
      <c r="H36" s="788"/>
      <c r="I36" s="788"/>
    </row>
    <row r="37" spans="1:9" s="87" customFormat="1" ht="11.25" x14ac:dyDescent="0.2">
      <c r="A37" s="153"/>
      <c r="B37" s="132">
        <v>0</v>
      </c>
      <c r="C37" s="337"/>
      <c r="D37" s="856"/>
      <c r="E37" s="857"/>
      <c r="F37" s="857"/>
      <c r="G37" s="857"/>
      <c r="H37" s="857"/>
      <c r="I37" s="858"/>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6.25" customHeight="1" x14ac:dyDescent="0.2">
      <c r="A42" s="512" t="s">
        <v>25</v>
      </c>
      <c r="B42" s="552" t="s">
        <v>100</v>
      </c>
      <c r="C42" s="765" t="s">
        <v>74</v>
      </c>
      <c r="D42" s="765"/>
      <c r="E42" s="765"/>
      <c r="F42" s="765"/>
      <c r="G42" s="765"/>
      <c r="H42" s="765"/>
      <c r="I42" s="765"/>
    </row>
    <row r="43" spans="1:9" s="87" customFormat="1" ht="11.25" x14ac:dyDescent="0.2">
      <c r="A43" s="94">
        <v>12500</v>
      </c>
      <c r="B43" s="124">
        <v>12500</v>
      </c>
      <c r="C43" s="847" t="s">
        <v>761</v>
      </c>
      <c r="D43" s="847"/>
      <c r="E43" s="847"/>
      <c r="F43" s="847"/>
      <c r="G43" s="847"/>
      <c r="H43" s="847"/>
      <c r="I43" s="847"/>
    </row>
    <row r="44" spans="1:9" s="88" customFormat="1" ht="10.5" x14ac:dyDescent="0.15">
      <c r="A44" s="283">
        <f>SUM(A43:A43)</f>
        <v>12500</v>
      </c>
      <c r="B44" s="283">
        <f>SUM(B43:B43)</f>
        <v>12500</v>
      </c>
      <c r="C44" s="767" t="s">
        <v>34</v>
      </c>
      <c r="D44" s="767"/>
      <c r="E44" s="767"/>
      <c r="F44" s="767"/>
      <c r="G44" s="767"/>
      <c r="H44" s="767"/>
      <c r="I44" s="767"/>
    </row>
    <row r="45" spans="1:9" s="87" customFormat="1" ht="11.25" x14ac:dyDescent="0.2">
      <c r="C45" s="89"/>
    </row>
    <row r="46" spans="1:9" s="87" customFormat="1" ht="11.25" x14ac:dyDescent="0.2">
      <c r="A46" s="742" t="s">
        <v>199</v>
      </c>
      <c r="B46" s="742"/>
      <c r="C46" s="742"/>
      <c r="D46" s="742"/>
      <c r="E46" s="742"/>
      <c r="F46" s="742"/>
      <c r="G46" s="742"/>
      <c r="H46" s="742"/>
      <c r="I46" s="742"/>
    </row>
    <row r="47" spans="1:9" s="87" customFormat="1" ht="11.25" x14ac:dyDescent="0.2">
      <c r="C47" s="89"/>
    </row>
    <row r="48" spans="1:9" s="151" customFormat="1" ht="31.5" x14ac:dyDescent="0.25">
      <c r="A48" s="743" t="s">
        <v>101</v>
      </c>
      <c r="B48" s="744"/>
      <c r="C48" s="669" t="s">
        <v>102</v>
      </c>
      <c r="D48" s="669" t="s">
        <v>103</v>
      </c>
      <c r="E48" s="669" t="s">
        <v>104</v>
      </c>
      <c r="F48" s="669" t="s">
        <v>105</v>
      </c>
      <c r="G48" s="669" t="s">
        <v>94</v>
      </c>
    </row>
    <row r="49" spans="1:9" s="87" customFormat="1" ht="11.25" x14ac:dyDescent="0.2">
      <c r="A49" s="778" t="s">
        <v>1150</v>
      </c>
      <c r="B49" s="779"/>
      <c r="C49" s="348" t="s">
        <v>112</v>
      </c>
      <c r="D49" s="93">
        <v>0</v>
      </c>
      <c r="E49" s="93">
        <v>85400</v>
      </c>
      <c r="F49" s="664">
        <v>42080</v>
      </c>
      <c r="G49" s="664">
        <v>42123</v>
      </c>
    </row>
    <row r="50" spans="1:9" s="87" customFormat="1" ht="11.25" customHeight="1" x14ac:dyDescent="0.2">
      <c r="A50" s="781" t="s">
        <v>1151</v>
      </c>
      <c r="B50" s="782"/>
      <c r="C50" s="353" t="s">
        <v>115</v>
      </c>
      <c r="D50" s="148">
        <v>85400</v>
      </c>
      <c r="E50" s="148">
        <v>0</v>
      </c>
      <c r="F50" s="140">
        <v>42080</v>
      </c>
      <c r="G50" s="140">
        <v>42124</v>
      </c>
    </row>
    <row r="51" spans="1:9" s="87" customFormat="1" ht="11.25" x14ac:dyDescent="0.2">
      <c r="A51" s="781" t="s">
        <v>1152</v>
      </c>
      <c r="B51" s="782"/>
      <c r="C51" s="353" t="s">
        <v>115</v>
      </c>
      <c r="D51" s="148">
        <v>1027010</v>
      </c>
      <c r="E51" s="148"/>
      <c r="F51" s="140">
        <v>42107</v>
      </c>
      <c r="G51" s="140">
        <v>42124</v>
      </c>
    </row>
    <row r="52" spans="1:9" s="87" customFormat="1" ht="11.25" x14ac:dyDescent="0.2">
      <c r="A52" s="781" t="s">
        <v>1150</v>
      </c>
      <c r="B52" s="782"/>
      <c r="C52" s="353" t="s">
        <v>108</v>
      </c>
      <c r="D52" s="148"/>
      <c r="E52" s="148">
        <v>1027010</v>
      </c>
      <c r="F52" s="140">
        <v>42107</v>
      </c>
      <c r="G52" s="140">
        <v>42124</v>
      </c>
    </row>
    <row r="53" spans="1:9" s="87" customFormat="1" ht="11.25" x14ac:dyDescent="0.2">
      <c r="A53" s="781" t="s">
        <v>1153</v>
      </c>
      <c r="B53" s="782"/>
      <c r="C53" s="353" t="s">
        <v>558</v>
      </c>
      <c r="D53" s="148"/>
      <c r="E53" s="148">
        <v>104200</v>
      </c>
      <c r="F53" s="140">
        <v>42354</v>
      </c>
      <c r="G53" s="140">
        <v>42354</v>
      </c>
    </row>
    <row r="54" spans="1:9" s="87" customFormat="1" ht="11.25" x14ac:dyDescent="0.2">
      <c r="A54" s="781" t="s">
        <v>1154</v>
      </c>
      <c r="B54" s="782"/>
      <c r="C54" s="353" t="s">
        <v>762</v>
      </c>
      <c r="D54" s="148"/>
      <c r="E54" s="148">
        <v>35500</v>
      </c>
      <c r="F54" s="140">
        <v>42354</v>
      </c>
      <c r="G54" s="140">
        <v>42354</v>
      </c>
    </row>
    <row r="55" spans="1:9" s="87" customFormat="1" ht="11.25" x14ac:dyDescent="0.2">
      <c r="A55" s="781" t="s">
        <v>1155</v>
      </c>
      <c r="B55" s="782"/>
      <c r="C55" s="353" t="s">
        <v>763</v>
      </c>
      <c r="D55" s="148"/>
      <c r="E55" s="148">
        <v>1050</v>
      </c>
      <c r="F55" s="140">
        <v>42354</v>
      </c>
      <c r="G55" s="140">
        <v>42354</v>
      </c>
    </row>
    <row r="56" spans="1:9" s="87" customFormat="1" ht="11.25" x14ac:dyDescent="0.2">
      <c r="A56" s="781" t="s">
        <v>1156</v>
      </c>
      <c r="B56" s="782"/>
      <c r="C56" s="353" t="s">
        <v>225</v>
      </c>
      <c r="D56" s="148">
        <f>104200+35500+1050</f>
        <v>140750</v>
      </c>
      <c r="E56" s="148"/>
      <c r="F56" s="140">
        <v>42354</v>
      </c>
      <c r="G56" s="140">
        <v>42354</v>
      </c>
    </row>
    <row r="57" spans="1:9" s="87" customFormat="1" ht="11.25" x14ac:dyDescent="0.2">
      <c r="A57" s="781" t="s">
        <v>1157</v>
      </c>
      <c r="B57" s="782"/>
      <c r="C57" s="353" t="s">
        <v>108</v>
      </c>
      <c r="D57" s="148"/>
      <c r="E57" s="148">
        <v>-134000</v>
      </c>
      <c r="F57" s="140">
        <v>42354</v>
      </c>
      <c r="G57" s="140">
        <v>42354</v>
      </c>
    </row>
    <row r="58" spans="1:9" s="87" customFormat="1" ht="11.25" x14ac:dyDescent="0.2">
      <c r="A58" s="781" t="s">
        <v>1158</v>
      </c>
      <c r="B58" s="782"/>
      <c r="C58" s="353" t="s">
        <v>764</v>
      </c>
      <c r="D58" s="148"/>
      <c r="E58" s="148">
        <v>134000</v>
      </c>
      <c r="F58" s="140">
        <v>42354</v>
      </c>
      <c r="G58" s="140">
        <v>42354</v>
      </c>
    </row>
    <row r="59" spans="1:9" s="87" customFormat="1" ht="11.25" x14ac:dyDescent="0.2">
      <c r="A59" s="781" t="s">
        <v>1159</v>
      </c>
      <c r="B59" s="782"/>
      <c r="C59" s="353" t="s">
        <v>765</v>
      </c>
      <c r="D59" s="148"/>
      <c r="E59" s="148">
        <v>-75000</v>
      </c>
      <c r="F59" s="140">
        <v>42359</v>
      </c>
      <c r="G59" s="140">
        <v>42359</v>
      </c>
    </row>
    <row r="60" spans="1:9" s="87" customFormat="1" ht="11.25" customHeight="1" x14ac:dyDescent="0.2">
      <c r="A60" s="781" t="s">
        <v>1160</v>
      </c>
      <c r="B60" s="782"/>
      <c r="C60" s="353" t="s">
        <v>764</v>
      </c>
      <c r="D60" s="148"/>
      <c r="E60" s="148">
        <v>10000</v>
      </c>
      <c r="F60" s="140">
        <v>42359</v>
      </c>
      <c r="G60" s="140">
        <v>42359</v>
      </c>
    </row>
    <row r="61" spans="1:9" s="87" customFormat="1" ht="11.25" customHeight="1" x14ac:dyDescent="0.2">
      <c r="A61" s="784" t="s">
        <v>1161</v>
      </c>
      <c r="B61" s="785"/>
      <c r="C61" s="520" t="s">
        <v>113</v>
      </c>
      <c r="D61" s="164"/>
      <c r="E61" s="164">
        <v>65000</v>
      </c>
      <c r="F61" s="141">
        <v>42359</v>
      </c>
      <c r="G61" s="141">
        <v>42359</v>
      </c>
    </row>
    <row r="62" spans="1:9" s="87" customFormat="1" ht="11.25" x14ac:dyDescent="0.2">
      <c r="A62" s="870" t="s">
        <v>111</v>
      </c>
      <c r="B62" s="871"/>
      <c r="C62" s="355"/>
      <c r="D62" s="129">
        <f>SUM(D49:D61)</f>
        <v>1253160</v>
      </c>
      <c r="E62" s="129">
        <f>SUM(E49:E61)</f>
        <v>1253160</v>
      </c>
      <c r="F62" s="872"/>
      <c r="G62" s="873"/>
    </row>
    <row r="63" spans="1:9" s="87" customFormat="1" ht="11.25" x14ac:dyDescent="0.2">
      <c r="C63" s="89"/>
    </row>
    <row r="64" spans="1:9" s="87" customFormat="1" ht="11.25" x14ac:dyDescent="0.2">
      <c r="A64" s="742" t="s">
        <v>211</v>
      </c>
      <c r="B64" s="742"/>
      <c r="C64" s="742"/>
      <c r="D64" s="742"/>
      <c r="E64" s="742"/>
      <c r="F64" s="742"/>
      <c r="G64" s="742"/>
      <c r="H64" s="742"/>
      <c r="I64" s="742"/>
    </row>
    <row r="65" spans="1:9" s="87" customFormat="1" ht="11.25" x14ac:dyDescent="0.2">
      <c r="C65" s="89"/>
    </row>
    <row r="66" spans="1:9" s="151" customFormat="1" ht="31.5" x14ac:dyDescent="0.25">
      <c r="A66" s="743" t="s">
        <v>101</v>
      </c>
      <c r="B66" s="744"/>
      <c r="C66" s="510" t="s">
        <v>102</v>
      </c>
      <c r="D66" s="510" t="s">
        <v>103</v>
      </c>
      <c r="E66" s="510" t="s">
        <v>104</v>
      </c>
      <c r="F66" s="510" t="s">
        <v>105</v>
      </c>
      <c r="G66" s="510" t="s">
        <v>94</v>
      </c>
    </row>
    <row r="67" spans="1:9" s="87" customFormat="1" ht="36" customHeight="1" x14ac:dyDescent="0.2">
      <c r="A67" s="999" t="s">
        <v>1165</v>
      </c>
      <c r="B67" s="1000"/>
      <c r="C67" s="665"/>
      <c r="D67" s="666">
        <v>0</v>
      </c>
      <c r="E67" s="666">
        <v>0</v>
      </c>
      <c r="F67" s="667"/>
      <c r="G67" s="667"/>
    </row>
    <row r="68" spans="1:9" s="87" customFormat="1" ht="11.25" x14ac:dyDescent="0.2">
      <c r="A68" s="747" t="s">
        <v>111</v>
      </c>
      <c r="B68" s="748"/>
      <c r="C68" s="320"/>
      <c r="D68" s="90">
        <f>SUM(D67:D67)</f>
        <v>0</v>
      </c>
      <c r="E68" s="90">
        <f>SUM(E67:E67)</f>
        <v>0</v>
      </c>
      <c r="F68" s="749"/>
      <c r="G68" s="750"/>
    </row>
    <row r="69" spans="1:9" s="87" customFormat="1" ht="11.25" x14ac:dyDescent="0.2">
      <c r="C69" s="89"/>
    </row>
    <row r="70" spans="1:9" s="87" customFormat="1" ht="11.25" x14ac:dyDescent="0.2">
      <c r="A70" s="738" t="s">
        <v>212</v>
      </c>
      <c r="B70" s="738"/>
      <c r="C70" s="738"/>
      <c r="D70" s="738"/>
      <c r="E70" s="738"/>
      <c r="F70" s="738"/>
      <c r="G70" s="738"/>
      <c r="H70" s="738"/>
      <c r="I70" s="738"/>
    </row>
    <row r="71" spans="1:9" s="87" customFormat="1" ht="11.25" x14ac:dyDescent="0.2"/>
    <row r="72" spans="1:9" s="87" customFormat="1" ht="22.5" customHeight="1" x14ac:dyDescent="0.2">
      <c r="A72" s="739" t="s">
        <v>766</v>
      </c>
      <c r="B72" s="740"/>
      <c r="C72" s="740"/>
      <c r="D72" s="740"/>
      <c r="E72" s="740"/>
      <c r="F72" s="740"/>
      <c r="G72" s="740"/>
      <c r="H72" s="740"/>
      <c r="I72" s="741"/>
    </row>
    <row r="73" spans="1:9" s="87" customFormat="1" ht="11.25" x14ac:dyDescent="0.2">
      <c r="A73" s="739" t="s">
        <v>767</v>
      </c>
      <c r="B73" s="740"/>
      <c r="C73" s="740"/>
      <c r="D73" s="740"/>
      <c r="E73" s="740"/>
      <c r="F73" s="740"/>
      <c r="G73" s="740"/>
      <c r="H73" s="740"/>
      <c r="I73" s="741"/>
    </row>
    <row r="74" spans="1:9" s="87" customFormat="1" ht="23.25" customHeight="1" x14ac:dyDescent="0.2">
      <c r="A74" s="739" t="s">
        <v>768</v>
      </c>
      <c r="B74" s="740"/>
      <c r="C74" s="740"/>
      <c r="D74" s="740"/>
      <c r="E74" s="740"/>
      <c r="F74" s="740"/>
      <c r="G74" s="740"/>
      <c r="H74" s="740"/>
      <c r="I74" s="741"/>
    </row>
    <row r="75" spans="1:9" s="87" customFormat="1" ht="11.25" x14ac:dyDescent="0.2"/>
    <row r="76" spans="1:9" s="88" customFormat="1" ht="10.5" x14ac:dyDescent="0.15">
      <c r="A76" s="742" t="s">
        <v>213</v>
      </c>
      <c r="B76" s="742"/>
      <c r="C76" s="742"/>
      <c r="D76" s="742"/>
      <c r="E76" s="742"/>
      <c r="F76" s="742"/>
      <c r="G76" s="742"/>
      <c r="H76" s="742"/>
      <c r="I76" s="742"/>
    </row>
    <row r="77" spans="1:9" s="87" customFormat="1" ht="11.25" x14ac:dyDescent="0.2"/>
    <row r="78" spans="1:9" s="87" customFormat="1" ht="34.5" customHeight="1" x14ac:dyDescent="0.2">
      <c r="A78" s="739" t="s">
        <v>1166</v>
      </c>
      <c r="B78" s="740"/>
      <c r="C78" s="740"/>
      <c r="D78" s="740"/>
      <c r="E78" s="740"/>
      <c r="F78" s="740"/>
      <c r="G78" s="740"/>
      <c r="H78" s="740"/>
      <c r="I78" s="741"/>
    </row>
    <row r="79" spans="1:9" ht="11.25" x14ac:dyDescent="0.15">
      <c r="A79" s="732" t="s">
        <v>216</v>
      </c>
      <c r="B79" s="733"/>
      <c r="C79" s="733"/>
      <c r="D79" s="733"/>
      <c r="E79" s="733"/>
      <c r="F79" s="733"/>
      <c r="G79" s="733"/>
      <c r="H79" s="733"/>
      <c r="I79" s="734"/>
    </row>
    <row r="80" spans="1:9" s="87" customFormat="1" ht="11.25" x14ac:dyDescent="0.2">
      <c r="A80" s="739" t="s">
        <v>1167</v>
      </c>
      <c r="B80" s="740"/>
      <c r="C80" s="740"/>
      <c r="D80" s="740"/>
      <c r="E80" s="740"/>
      <c r="F80" s="740"/>
      <c r="G80" s="740"/>
      <c r="H80" s="740"/>
      <c r="I80" s="741"/>
    </row>
    <row r="81" spans="1:1" s="28" customFormat="1" x14ac:dyDescent="0.2"/>
    <row r="82" spans="1:1" s="28" customFormat="1" x14ac:dyDescent="0.2">
      <c r="A82" s="342"/>
    </row>
  </sheetData>
  <mergeCells count="62">
    <mergeCell ref="D30:I30"/>
    <mergeCell ref="D31:I31"/>
    <mergeCell ref="A3:I3"/>
    <mergeCell ref="A5:B5"/>
    <mergeCell ref="D5:I5"/>
    <mergeCell ref="A6:B6"/>
    <mergeCell ref="D6:I6"/>
    <mergeCell ref="A7:B7"/>
    <mergeCell ref="D7:I7"/>
    <mergeCell ref="A8:B8"/>
    <mergeCell ref="D8:I8"/>
    <mergeCell ref="A9:B9"/>
    <mergeCell ref="D9:I9"/>
    <mergeCell ref="D36:I36"/>
    <mergeCell ref="D37:I37"/>
    <mergeCell ref="C38:I38"/>
    <mergeCell ref="A40:I40"/>
    <mergeCell ref="A11:I11"/>
    <mergeCell ref="F23:I23"/>
    <mergeCell ref="F24:I24"/>
    <mergeCell ref="F25:I25"/>
    <mergeCell ref="F26:I26"/>
    <mergeCell ref="A15:A16"/>
    <mergeCell ref="A19:I19"/>
    <mergeCell ref="A34:I34"/>
    <mergeCell ref="C32:I32"/>
    <mergeCell ref="F21:I21"/>
    <mergeCell ref="F22:I22"/>
    <mergeCell ref="A28:I28"/>
    <mergeCell ref="C42:I42"/>
    <mergeCell ref="A48:B48"/>
    <mergeCell ref="A49:B49"/>
    <mergeCell ref="A50:B50"/>
    <mergeCell ref="A51:B51"/>
    <mergeCell ref="C43:I43"/>
    <mergeCell ref="C44:I44"/>
    <mergeCell ref="A46:I46"/>
    <mergeCell ref="A52:B52"/>
    <mergeCell ref="A55:B55"/>
    <mergeCell ref="A56:B56"/>
    <mergeCell ref="A57:B57"/>
    <mergeCell ref="A58:B58"/>
    <mergeCell ref="A53:B53"/>
    <mergeCell ref="A54:B54"/>
    <mergeCell ref="A59:B59"/>
    <mergeCell ref="A60:B60"/>
    <mergeCell ref="A61:B61"/>
    <mergeCell ref="A62:B62"/>
    <mergeCell ref="F62:G62"/>
    <mergeCell ref="A80:I80"/>
    <mergeCell ref="A78:I78"/>
    <mergeCell ref="A79:I79"/>
    <mergeCell ref="A64:I64"/>
    <mergeCell ref="A66:B66"/>
    <mergeCell ref="A67:B67"/>
    <mergeCell ref="A68:B68"/>
    <mergeCell ref="F68:G68"/>
    <mergeCell ref="A70:I70"/>
    <mergeCell ref="A72:I72"/>
    <mergeCell ref="A73:I73"/>
    <mergeCell ref="A74:I74"/>
    <mergeCell ref="A76:I76"/>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82</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25956900</v>
      </c>
      <c r="F6" s="29">
        <f>SUM(F7:F9)</f>
        <v>29287293.800000001</v>
      </c>
      <c r="G6" s="29">
        <f>SUM(G7:G9)</f>
        <v>29239530</v>
      </c>
      <c r="H6" s="24">
        <f t="shared" ref="H6:H33" si="0">G6/F6*100</f>
        <v>99.836912893604392</v>
      </c>
      <c r="I6" s="29">
        <f>SUM(I7:I9)</f>
        <v>26922681</v>
      </c>
      <c r="J6" s="29">
        <f>SUM(J7:J9)</f>
        <v>5537000</v>
      </c>
      <c r="K6" s="29">
        <f t="shared" ref="K6:X6" si="1">SUM(K7:K9)</f>
        <v>7277501.7999999998</v>
      </c>
      <c r="L6" s="29">
        <f t="shared" si="1"/>
        <v>7229738</v>
      </c>
      <c r="M6" s="24">
        <f t="shared" ref="M6:M29" si="2">L6/K6*100</f>
        <v>99.343678623342981</v>
      </c>
      <c r="N6" s="30">
        <f t="shared" si="1"/>
        <v>6677581</v>
      </c>
      <c r="O6" s="29">
        <f t="shared" si="1"/>
        <v>20419900</v>
      </c>
      <c r="P6" s="29">
        <f t="shared" si="1"/>
        <v>22009792</v>
      </c>
      <c r="Q6" s="29">
        <f t="shared" si="1"/>
        <v>22009792</v>
      </c>
      <c r="R6" s="24">
        <f t="shared" ref="R6:R28" si="3">Q6/P6*100</f>
        <v>100</v>
      </c>
      <c r="S6" s="29">
        <f t="shared" si="1"/>
        <v>20245100</v>
      </c>
      <c r="T6" s="29">
        <f t="shared" si="1"/>
        <v>733000</v>
      </c>
      <c r="U6" s="29">
        <f t="shared" si="1"/>
        <v>682000</v>
      </c>
      <c r="V6" s="29">
        <f t="shared" si="1"/>
        <v>677958.25</v>
      </c>
      <c r="W6" s="24">
        <f t="shared" ref="W6:W33" si="4">V6/U6*100</f>
        <v>99.407368035190615</v>
      </c>
      <c r="X6" s="29">
        <f t="shared" si="1"/>
        <v>495099</v>
      </c>
    </row>
    <row r="7" spans="1:24" s="6" customFormat="1" ht="9.9499999999999993" customHeight="1" x14ac:dyDescent="0.2">
      <c r="A7" s="169" t="s">
        <v>2</v>
      </c>
      <c r="B7" s="823" t="s">
        <v>44</v>
      </c>
      <c r="C7" s="824"/>
      <c r="D7" s="238" t="s">
        <v>25</v>
      </c>
      <c r="E7" s="32">
        <f t="shared" ref="E7:G10" si="5">SUM(J7,O7)</f>
        <v>2102000</v>
      </c>
      <c r="F7" s="33">
        <f t="shared" si="5"/>
        <v>2368552</v>
      </c>
      <c r="G7" s="33">
        <f t="shared" si="5"/>
        <v>2362890</v>
      </c>
      <c r="H7" s="9">
        <f t="shared" si="0"/>
        <v>99.760950994531683</v>
      </c>
      <c r="I7" s="34">
        <f>SUM(N7,S7)</f>
        <v>2164796</v>
      </c>
      <c r="J7" s="193">
        <v>2102000</v>
      </c>
      <c r="K7" s="35">
        <f>2376000-7448</f>
        <v>2368552</v>
      </c>
      <c r="L7" s="35">
        <v>2362890</v>
      </c>
      <c r="M7" s="9">
        <f t="shared" si="2"/>
        <v>99.760950994531683</v>
      </c>
      <c r="N7" s="194">
        <v>2164796</v>
      </c>
      <c r="O7" s="195"/>
      <c r="P7" s="35"/>
      <c r="Q7" s="35"/>
      <c r="R7" s="9">
        <v>0</v>
      </c>
      <c r="S7" s="194"/>
      <c r="T7" s="195">
        <v>733000</v>
      </c>
      <c r="U7" s="35">
        <v>590000</v>
      </c>
      <c r="V7" s="35">
        <f>50865+535375</f>
        <v>586240</v>
      </c>
      <c r="W7" s="9">
        <f t="shared" si="4"/>
        <v>99.362711864406776</v>
      </c>
      <c r="X7" s="59">
        <v>495099</v>
      </c>
    </row>
    <row r="8" spans="1:24" s="6" customFormat="1" ht="9.9499999999999993" customHeight="1" x14ac:dyDescent="0.2">
      <c r="A8" s="171" t="s">
        <v>3</v>
      </c>
      <c r="B8" s="825" t="s">
        <v>45</v>
      </c>
      <c r="C8" s="826"/>
      <c r="D8" s="172" t="s">
        <v>25</v>
      </c>
      <c r="E8" s="38">
        <f t="shared" si="5"/>
        <v>10000</v>
      </c>
      <c r="F8" s="39">
        <f t="shared" si="5"/>
        <v>4200</v>
      </c>
      <c r="G8" s="39">
        <f t="shared" si="5"/>
        <v>4117</v>
      </c>
      <c r="H8" s="10">
        <f t="shared" si="0"/>
        <v>98.023809523809518</v>
      </c>
      <c r="I8" s="40">
        <f>SUM(N8,S8)</f>
        <v>17785</v>
      </c>
      <c r="J8" s="196">
        <v>10000</v>
      </c>
      <c r="K8" s="157">
        <v>4200</v>
      </c>
      <c r="L8" s="157">
        <v>4117</v>
      </c>
      <c r="M8" s="158">
        <f t="shared" si="2"/>
        <v>98.023809523809518</v>
      </c>
      <c r="N8" s="198">
        <v>17785</v>
      </c>
      <c r="O8" s="156"/>
      <c r="P8" s="157"/>
      <c r="Q8" s="157"/>
      <c r="R8" s="158">
        <v>0</v>
      </c>
      <c r="S8" s="198"/>
      <c r="T8" s="156"/>
      <c r="U8" s="157"/>
      <c r="V8" s="157"/>
      <c r="W8" s="158">
        <v>0</v>
      </c>
      <c r="X8" s="159"/>
    </row>
    <row r="9" spans="1:24" s="6" customFormat="1" ht="9.9499999999999993" customHeight="1" x14ac:dyDescent="0.2">
      <c r="A9" s="173" t="s">
        <v>4</v>
      </c>
      <c r="B9" s="449" t="s">
        <v>59</v>
      </c>
      <c r="C9" s="450"/>
      <c r="D9" s="186" t="s">
        <v>25</v>
      </c>
      <c r="E9" s="42">
        <f t="shared" si="5"/>
        <v>23844900</v>
      </c>
      <c r="F9" s="43">
        <f t="shared" si="5"/>
        <v>26914541.800000001</v>
      </c>
      <c r="G9" s="43">
        <f t="shared" si="5"/>
        <v>26872523</v>
      </c>
      <c r="H9" s="26">
        <f t="shared" si="0"/>
        <v>99.84388067865973</v>
      </c>
      <c r="I9" s="44">
        <f>SUM(N9,S9)</f>
        <v>24740100</v>
      </c>
      <c r="J9" s="199">
        <v>3425000</v>
      </c>
      <c r="K9" s="203">
        <f>3425000+1112410+367339.8</f>
        <v>4904749.8</v>
      </c>
      <c r="L9" s="203">
        <v>4862731</v>
      </c>
      <c r="M9" s="201">
        <f t="shared" si="2"/>
        <v>99.143303905124796</v>
      </c>
      <c r="N9" s="202">
        <v>4495000</v>
      </c>
      <c r="O9" s="160">
        <v>20419900</v>
      </c>
      <c r="P9" s="203">
        <v>22009792</v>
      </c>
      <c r="Q9" s="203">
        <f>219025+315461+657169+104637+20713500</f>
        <v>22009792</v>
      </c>
      <c r="R9" s="201">
        <f t="shared" si="3"/>
        <v>100</v>
      </c>
      <c r="S9" s="202">
        <v>20245100</v>
      </c>
      <c r="T9" s="160"/>
      <c r="U9" s="203">
        <v>92000</v>
      </c>
      <c r="V9" s="203">
        <v>91718.25</v>
      </c>
      <c r="W9" s="201">
        <f t="shared" si="4"/>
        <v>99.693750000000009</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v>0</v>
      </c>
      <c r="N10" s="46"/>
      <c r="O10" s="45"/>
      <c r="P10" s="45"/>
      <c r="Q10" s="45"/>
      <c r="R10" s="24">
        <v>0</v>
      </c>
      <c r="S10" s="46"/>
      <c r="T10" s="45"/>
      <c r="U10" s="45"/>
      <c r="V10" s="45"/>
      <c r="W10" s="24">
        <v>0</v>
      </c>
      <c r="X10" s="45"/>
    </row>
    <row r="11" spans="1:24" s="6" customFormat="1" ht="9.9499999999999993" customHeight="1" x14ac:dyDescent="0.2">
      <c r="A11" s="168" t="s">
        <v>6</v>
      </c>
      <c r="B11" s="822" t="s">
        <v>9</v>
      </c>
      <c r="C11" s="822"/>
      <c r="D11" s="20" t="s">
        <v>25</v>
      </c>
      <c r="E11" s="29">
        <f>SUM(E12:E31)</f>
        <v>25956900</v>
      </c>
      <c r="F11" s="29">
        <f>SUM(F12:F31)</f>
        <v>29287294</v>
      </c>
      <c r="G11" s="29">
        <f>SUM(G12:G31)</f>
        <v>29232863.999999996</v>
      </c>
      <c r="H11" s="24">
        <f t="shared" si="0"/>
        <v>99.814151488355321</v>
      </c>
      <c r="I11" s="30">
        <f>SUM(I12:I31)</f>
        <v>26881148</v>
      </c>
      <c r="J11" s="29">
        <f>SUM(J12:J31)</f>
        <v>5537000</v>
      </c>
      <c r="K11" s="29">
        <f>SUM(K12:K31)</f>
        <v>7277502</v>
      </c>
      <c r="L11" s="29">
        <f>SUM(L12:L31)</f>
        <v>7223072</v>
      </c>
      <c r="M11" s="24">
        <f t="shared" si="2"/>
        <v>99.252078529143645</v>
      </c>
      <c r="N11" s="30">
        <f>SUM(N12:N31)</f>
        <v>6636048</v>
      </c>
      <c r="O11" s="29">
        <f>SUM(O12:O31)</f>
        <v>20419900</v>
      </c>
      <c r="P11" s="29">
        <f>SUM(P12:P31)</f>
        <v>22009792</v>
      </c>
      <c r="Q11" s="29">
        <f>SUM(Q12:Q31)</f>
        <v>22009792</v>
      </c>
      <c r="R11" s="24">
        <f t="shared" si="3"/>
        <v>100</v>
      </c>
      <c r="S11" s="30">
        <f>SUM(S12:S31)</f>
        <v>20245100</v>
      </c>
      <c r="T11" s="29">
        <f>SUM(T12:T31)</f>
        <v>592500</v>
      </c>
      <c r="U11" s="29">
        <f>SUM(U12:U31)</f>
        <v>512000</v>
      </c>
      <c r="V11" s="29">
        <f>SUM(V12:V31)</f>
        <v>480308.13</v>
      </c>
      <c r="W11" s="24">
        <f t="shared" si="4"/>
        <v>93.810181640625004</v>
      </c>
      <c r="X11" s="29">
        <f>SUM(X12:X31)</f>
        <v>298694</v>
      </c>
    </row>
    <row r="12" spans="1:24" s="6" customFormat="1" ht="9.9499999999999993" customHeight="1" x14ac:dyDescent="0.2">
      <c r="A12" s="178" t="s">
        <v>8</v>
      </c>
      <c r="B12" s="827" t="s">
        <v>28</v>
      </c>
      <c r="C12" s="828"/>
      <c r="D12" s="238" t="s">
        <v>25</v>
      </c>
      <c r="E12" s="32">
        <f t="shared" ref="E12:I29" si="6">SUM(J12,O12)</f>
        <v>2318651</v>
      </c>
      <c r="F12" s="33">
        <f t="shared" si="6"/>
        <v>2519216</v>
      </c>
      <c r="G12" s="33">
        <f t="shared" si="6"/>
        <v>2515102.15</v>
      </c>
      <c r="H12" s="9">
        <f t="shared" si="0"/>
        <v>99.836701180049658</v>
      </c>
      <c r="I12" s="34">
        <f t="shared" si="6"/>
        <v>2842295</v>
      </c>
      <c r="J12" s="204">
        <v>1977500</v>
      </c>
      <c r="K12" s="47">
        <f>J12+71428+10000+100000</f>
        <v>2158928</v>
      </c>
      <c r="L12" s="47">
        <v>2154814</v>
      </c>
      <c r="M12" s="9">
        <f t="shared" si="2"/>
        <v>99.809442464037716</v>
      </c>
      <c r="N12" s="205">
        <v>2628440</v>
      </c>
      <c r="O12" s="206">
        <v>341151</v>
      </c>
      <c r="P12" s="47">
        <v>360288</v>
      </c>
      <c r="Q12" s="47">
        <f>202219+45786.11+112283.04</f>
        <v>360288.14999999997</v>
      </c>
      <c r="R12" s="9">
        <f t="shared" si="3"/>
        <v>100.00004163335996</v>
      </c>
      <c r="S12" s="207">
        <v>213855</v>
      </c>
      <c r="T12" s="206">
        <v>193000</v>
      </c>
      <c r="U12" s="47">
        <v>3500</v>
      </c>
      <c r="V12" s="47">
        <v>3410.3</v>
      </c>
      <c r="W12" s="9">
        <f t="shared" si="4"/>
        <v>97.437142857142874</v>
      </c>
      <c r="X12" s="51">
        <v>14469</v>
      </c>
    </row>
    <row r="13" spans="1:24" s="6" customFormat="1" ht="9.9499999999999993" customHeight="1" x14ac:dyDescent="0.2">
      <c r="A13" s="180" t="s">
        <v>10</v>
      </c>
      <c r="B13" s="820" t="s">
        <v>29</v>
      </c>
      <c r="C13" s="821"/>
      <c r="D13" s="172" t="s">
        <v>25</v>
      </c>
      <c r="E13" s="38">
        <f t="shared" si="6"/>
        <v>2025300</v>
      </c>
      <c r="F13" s="39">
        <f t="shared" si="6"/>
        <v>1950300</v>
      </c>
      <c r="G13" s="39">
        <f t="shared" si="6"/>
        <v>1946441</v>
      </c>
      <c r="H13" s="10">
        <f t="shared" si="0"/>
        <v>99.802133005178689</v>
      </c>
      <c r="I13" s="40">
        <f t="shared" si="6"/>
        <v>1212992</v>
      </c>
      <c r="J13" s="208">
        <v>2025300</v>
      </c>
      <c r="K13" s="157">
        <f>J13-75000</f>
        <v>1950300</v>
      </c>
      <c r="L13" s="213">
        <v>1946441</v>
      </c>
      <c r="M13" s="158">
        <f t="shared" si="2"/>
        <v>99.802133005178689</v>
      </c>
      <c r="N13" s="198">
        <v>1212992</v>
      </c>
      <c r="O13" s="156"/>
      <c r="P13" s="157"/>
      <c r="Q13" s="157"/>
      <c r="R13" s="158">
        <v>0</v>
      </c>
      <c r="S13" s="198"/>
      <c r="T13" s="156">
        <v>263500</v>
      </c>
      <c r="U13" s="157">
        <v>263500</v>
      </c>
      <c r="V13" s="157">
        <v>262211.31</v>
      </c>
      <c r="W13" s="158">
        <f t="shared" si="4"/>
        <v>99.510933586337757</v>
      </c>
      <c r="X13" s="159">
        <v>171463</v>
      </c>
    </row>
    <row r="14" spans="1:24" s="6" customFormat="1" ht="9.9499999999999993" customHeight="1" x14ac:dyDescent="0.2">
      <c r="A14" s="180" t="s">
        <v>11</v>
      </c>
      <c r="B14" s="660" t="s">
        <v>60</v>
      </c>
      <c r="C14" s="661"/>
      <c r="D14" s="172" t="s">
        <v>25</v>
      </c>
      <c r="E14" s="38">
        <f t="shared" si="6"/>
        <v>0</v>
      </c>
      <c r="F14" s="39">
        <f t="shared" si="6"/>
        <v>0</v>
      </c>
      <c r="G14" s="39">
        <f t="shared" si="6"/>
        <v>0</v>
      </c>
      <c r="H14" s="10" t="e">
        <f t="shared" si="0"/>
        <v>#DIV/0!</v>
      </c>
      <c r="I14" s="40">
        <f t="shared" si="6"/>
        <v>0</v>
      </c>
      <c r="J14" s="208"/>
      <c r="K14" s="157"/>
      <c r="L14" s="157"/>
      <c r="M14" s="158">
        <v>0</v>
      </c>
      <c r="N14" s="198"/>
      <c r="O14" s="156"/>
      <c r="P14" s="157"/>
      <c r="Q14" s="157"/>
      <c r="R14" s="158">
        <v>0</v>
      </c>
      <c r="S14" s="198"/>
      <c r="T14" s="156"/>
      <c r="U14" s="157"/>
      <c r="V14" s="157"/>
      <c r="W14" s="158">
        <v>0</v>
      </c>
      <c r="X14" s="159"/>
    </row>
    <row r="15" spans="1:24" s="6" customFormat="1" ht="9.9499999999999993" customHeight="1" x14ac:dyDescent="0.2">
      <c r="A15" s="180" t="s">
        <v>12</v>
      </c>
      <c r="B15" s="820" t="s">
        <v>171</v>
      </c>
      <c r="C15" s="821"/>
      <c r="D15" s="172" t="s">
        <v>25</v>
      </c>
      <c r="E15" s="38">
        <f t="shared" si="6"/>
        <v>410000</v>
      </c>
      <c r="F15" s="39">
        <f t="shared" si="6"/>
        <v>448000</v>
      </c>
      <c r="G15" s="39">
        <f t="shared" si="6"/>
        <v>437574</v>
      </c>
      <c r="H15" s="10">
        <f t="shared" si="0"/>
        <v>97.672767857142858</v>
      </c>
      <c r="I15" s="40">
        <f t="shared" si="6"/>
        <v>694448</v>
      </c>
      <c r="J15" s="208">
        <v>410000</v>
      </c>
      <c r="K15" s="157">
        <v>448000</v>
      </c>
      <c r="L15" s="157">
        <v>437574</v>
      </c>
      <c r="M15" s="158">
        <f t="shared" si="2"/>
        <v>97.672767857142858</v>
      </c>
      <c r="N15" s="198">
        <v>694448</v>
      </c>
      <c r="O15" s="156"/>
      <c r="P15" s="157"/>
      <c r="Q15" s="157"/>
      <c r="R15" s="158">
        <v>0</v>
      </c>
      <c r="S15" s="198"/>
      <c r="T15" s="156">
        <v>37000</v>
      </c>
      <c r="U15" s="157">
        <v>500</v>
      </c>
      <c r="V15" s="157">
        <v>9936</v>
      </c>
      <c r="W15" s="158">
        <f t="shared" si="4"/>
        <v>1987.2</v>
      </c>
      <c r="X15" s="159">
        <v>3058</v>
      </c>
    </row>
    <row r="16" spans="1:24" s="6" customFormat="1" ht="9.9499999999999993" customHeight="1" x14ac:dyDescent="0.2">
      <c r="A16" s="180" t="s">
        <v>13</v>
      </c>
      <c r="B16" s="820" t="s">
        <v>30</v>
      </c>
      <c r="C16" s="821"/>
      <c r="D16" s="172" t="s">
        <v>25</v>
      </c>
      <c r="E16" s="38">
        <f t="shared" si="6"/>
        <v>35499</v>
      </c>
      <c r="F16" s="39">
        <f t="shared" si="6"/>
        <v>43874</v>
      </c>
      <c r="G16" s="39">
        <f t="shared" si="6"/>
        <v>43800</v>
      </c>
      <c r="H16" s="10">
        <f t="shared" si="0"/>
        <v>99.831335187126768</v>
      </c>
      <c r="I16" s="40">
        <f t="shared" si="6"/>
        <v>47416</v>
      </c>
      <c r="J16" s="208">
        <v>7000</v>
      </c>
      <c r="K16" s="157">
        <v>1900</v>
      </c>
      <c r="L16" s="157">
        <v>1826</v>
      </c>
      <c r="M16" s="158">
        <f t="shared" si="2"/>
        <v>96.10526315789474</v>
      </c>
      <c r="N16" s="198">
        <v>8170</v>
      </c>
      <c r="O16" s="156">
        <v>28499</v>
      </c>
      <c r="P16" s="157">
        <v>41974</v>
      </c>
      <c r="Q16" s="157">
        <f>28499+13475</f>
        <v>41974</v>
      </c>
      <c r="R16" s="158">
        <f t="shared" si="3"/>
        <v>100</v>
      </c>
      <c r="S16" s="198">
        <v>39246</v>
      </c>
      <c r="T16" s="156">
        <v>1000</v>
      </c>
      <c r="U16" s="157"/>
      <c r="V16" s="157"/>
      <c r="W16" s="158">
        <v>0</v>
      </c>
      <c r="X16" s="159"/>
    </row>
    <row r="17" spans="1:24" s="6" customFormat="1" ht="9.9499999999999993" customHeight="1" x14ac:dyDescent="0.2">
      <c r="A17" s="180" t="s">
        <v>14</v>
      </c>
      <c r="B17" s="660" t="s">
        <v>46</v>
      </c>
      <c r="C17" s="661"/>
      <c r="D17" s="172" t="s">
        <v>25</v>
      </c>
      <c r="E17" s="38">
        <f t="shared" si="6"/>
        <v>4000</v>
      </c>
      <c r="F17" s="39">
        <f t="shared" si="6"/>
        <v>3300</v>
      </c>
      <c r="G17" s="39">
        <f t="shared" si="6"/>
        <v>3220</v>
      </c>
      <c r="H17" s="10">
        <f t="shared" si="0"/>
        <v>97.575757575757578</v>
      </c>
      <c r="I17" s="40">
        <f t="shared" si="6"/>
        <v>3961</v>
      </c>
      <c r="J17" s="208">
        <v>4000</v>
      </c>
      <c r="K17" s="157">
        <v>3300</v>
      </c>
      <c r="L17" s="157">
        <v>3220</v>
      </c>
      <c r="M17" s="158">
        <f t="shared" si="2"/>
        <v>97.575757575757578</v>
      </c>
      <c r="N17" s="198">
        <v>3961</v>
      </c>
      <c r="O17" s="156"/>
      <c r="P17" s="157"/>
      <c r="Q17" s="157"/>
      <c r="R17" s="158">
        <v>0</v>
      </c>
      <c r="S17" s="198"/>
      <c r="T17" s="156">
        <v>1000</v>
      </c>
      <c r="U17" s="157"/>
      <c r="V17" s="157"/>
      <c r="W17" s="158">
        <v>0</v>
      </c>
      <c r="X17" s="159"/>
    </row>
    <row r="18" spans="1:24" s="6" customFormat="1" ht="9.9499999999999993" customHeight="1" x14ac:dyDescent="0.2">
      <c r="A18" s="180" t="s">
        <v>15</v>
      </c>
      <c r="B18" s="820" t="s">
        <v>31</v>
      </c>
      <c r="C18" s="821"/>
      <c r="D18" s="172" t="s">
        <v>25</v>
      </c>
      <c r="E18" s="38">
        <f t="shared" si="6"/>
        <v>646063</v>
      </c>
      <c r="F18" s="39">
        <f t="shared" si="6"/>
        <v>729511</v>
      </c>
      <c r="G18" s="39">
        <f t="shared" si="6"/>
        <v>724217</v>
      </c>
      <c r="H18" s="10">
        <f t="shared" si="0"/>
        <v>99.274308406590166</v>
      </c>
      <c r="I18" s="40">
        <f t="shared" si="6"/>
        <v>570483</v>
      </c>
      <c r="J18" s="208">
        <v>503000</v>
      </c>
      <c r="K18" s="157">
        <v>403000</v>
      </c>
      <c r="L18" s="157">
        <v>397706</v>
      </c>
      <c r="M18" s="158">
        <f t="shared" si="2"/>
        <v>98.686352357320089</v>
      </c>
      <c r="N18" s="198">
        <v>450508</v>
      </c>
      <c r="O18" s="156">
        <v>143063</v>
      </c>
      <c r="P18" s="157">
        <v>326511</v>
      </c>
      <c r="Q18" s="157">
        <f>4998+178450+143063</f>
        <v>326511</v>
      </c>
      <c r="R18" s="158">
        <f t="shared" si="3"/>
        <v>100</v>
      </c>
      <c r="S18" s="198">
        <v>119975</v>
      </c>
      <c r="T18" s="156">
        <v>20000</v>
      </c>
      <c r="U18" s="157">
        <v>5500</v>
      </c>
      <c r="V18" s="157">
        <v>5017.59</v>
      </c>
      <c r="W18" s="158">
        <f t="shared" si="4"/>
        <v>91.228909090909099</v>
      </c>
      <c r="X18" s="159">
        <v>4477</v>
      </c>
    </row>
    <row r="19" spans="1:24" s="11" customFormat="1" ht="9.9499999999999993" customHeight="1" x14ac:dyDescent="0.2">
      <c r="A19" s="180" t="s">
        <v>16</v>
      </c>
      <c r="B19" s="820" t="s">
        <v>32</v>
      </c>
      <c r="C19" s="821"/>
      <c r="D19" s="172" t="s">
        <v>25</v>
      </c>
      <c r="E19" s="38">
        <f t="shared" si="6"/>
        <v>14878000</v>
      </c>
      <c r="F19" s="39">
        <f t="shared" si="6"/>
        <v>15867720</v>
      </c>
      <c r="G19" s="39">
        <f t="shared" si="6"/>
        <v>15865618</v>
      </c>
      <c r="H19" s="10">
        <f t="shared" si="0"/>
        <v>99.986752980264342</v>
      </c>
      <c r="I19" s="40">
        <f t="shared" si="6"/>
        <v>14781312</v>
      </c>
      <c r="J19" s="209">
        <v>145000</v>
      </c>
      <c r="K19" s="197">
        <f>J19+104200</f>
        <v>249200</v>
      </c>
      <c r="L19" s="157">
        <v>247098</v>
      </c>
      <c r="M19" s="158">
        <f t="shared" si="2"/>
        <v>99.156500802568218</v>
      </c>
      <c r="N19" s="198">
        <v>151810</v>
      </c>
      <c r="O19" s="156">
        <v>14733000</v>
      </c>
      <c r="P19" s="157">
        <v>15618520</v>
      </c>
      <c r="Q19" s="157">
        <f>14988869+77509+486792+40750+24600</f>
        <v>15618520</v>
      </c>
      <c r="R19" s="158">
        <f t="shared" si="3"/>
        <v>100</v>
      </c>
      <c r="S19" s="198">
        <v>14629502</v>
      </c>
      <c r="T19" s="210">
        <v>59000</v>
      </c>
      <c r="U19" s="211">
        <v>78000</v>
      </c>
      <c r="V19" s="211">
        <v>77871.75</v>
      </c>
      <c r="W19" s="158">
        <f t="shared" si="4"/>
        <v>99.835576923076914</v>
      </c>
      <c r="X19" s="212">
        <v>77947</v>
      </c>
    </row>
    <row r="20" spans="1:24" s="6" customFormat="1" ht="9.9499999999999993" customHeight="1" x14ac:dyDescent="0.2">
      <c r="A20" s="180" t="s">
        <v>17</v>
      </c>
      <c r="B20" s="820" t="s">
        <v>47</v>
      </c>
      <c r="C20" s="821"/>
      <c r="D20" s="172" t="s">
        <v>25</v>
      </c>
      <c r="E20" s="38">
        <f t="shared" si="6"/>
        <v>5009220</v>
      </c>
      <c r="F20" s="39">
        <f t="shared" si="6"/>
        <v>5379975</v>
      </c>
      <c r="G20" s="39">
        <f t="shared" si="6"/>
        <v>5362214.5099999988</v>
      </c>
      <c r="H20" s="10">
        <f t="shared" si="0"/>
        <v>99.66987783400478</v>
      </c>
      <c r="I20" s="40">
        <f t="shared" si="6"/>
        <v>4987164</v>
      </c>
      <c r="J20" s="208"/>
      <c r="K20" s="157">
        <f>J20+35500</f>
        <v>35500</v>
      </c>
      <c r="L20" s="157">
        <v>17740</v>
      </c>
      <c r="M20" s="158">
        <f t="shared" si="2"/>
        <v>49.971830985915496</v>
      </c>
      <c r="N20" s="198"/>
      <c r="O20" s="156">
        <v>5009220</v>
      </c>
      <c r="P20" s="157">
        <v>5344475</v>
      </c>
      <c r="Q20" s="157">
        <f>2719.96+2719.89+165509+26353+5081656.77+65515.89</f>
        <v>5344474.5099999988</v>
      </c>
      <c r="R20" s="158">
        <f t="shared" si="3"/>
        <v>99.999990831653236</v>
      </c>
      <c r="S20" s="198">
        <v>4987164</v>
      </c>
      <c r="T20" s="156">
        <v>17000</v>
      </c>
      <c r="U20" s="157">
        <v>26000</v>
      </c>
      <c r="V20" s="157">
        <f>25745.44+175.4</f>
        <v>25920.84</v>
      </c>
      <c r="W20" s="158">
        <f t="shared" si="4"/>
        <v>99.695538461538462</v>
      </c>
      <c r="X20" s="159">
        <v>26501</v>
      </c>
    </row>
    <row r="21" spans="1:24" s="6" customFormat="1" ht="9.9499999999999993" customHeight="1" x14ac:dyDescent="0.2">
      <c r="A21" s="180" t="s">
        <v>18</v>
      </c>
      <c r="B21" s="820" t="s">
        <v>48</v>
      </c>
      <c r="C21" s="821"/>
      <c r="D21" s="172" t="s">
        <v>25</v>
      </c>
      <c r="E21" s="38">
        <f t="shared" si="6"/>
        <v>147330</v>
      </c>
      <c r="F21" s="39">
        <f t="shared" si="6"/>
        <v>192894</v>
      </c>
      <c r="G21" s="39">
        <f t="shared" si="6"/>
        <v>192219.54</v>
      </c>
      <c r="H21" s="10">
        <f t="shared" si="0"/>
        <v>99.650346822607233</v>
      </c>
      <c r="I21" s="40">
        <f t="shared" si="6"/>
        <v>171395</v>
      </c>
      <c r="J21" s="208"/>
      <c r="K21" s="157">
        <f>J21+1050</f>
        <v>1050</v>
      </c>
      <c r="L21" s="157">
        <v>376</v>
      </c>
      <c r="M21" s="158">
        <f t="shared" si="2"/>
        <v>35.80952380952381</v>
      </c>
      <c r="N21" s="198"/>
      <c r="O21" s="156">
        <f>147330</f>
        <v>147330</v>
      </c>
      <c r="P21" s="157">
        <v>191844</v>
      </c>
      <c r="Q21" s="157">
        <f>186040.54+775+4868+80+80</f>
        <v>191843.54</v>
      </c>
      <c r="R21" s="158">
        <f t="shared" si="3"/>
        <v>99.999760221846927</v>
      </c>
      <c r="S21" s="198">
        <v>171395</v>
      </c>
      <c r="T21" s="156">
        <v>1000</v>
      </c>
      <c r="U21" s="157">
        <v>1000</v>
      </c>
      <c r="V21" s="157">
        <v>778.72</v>
      </c>
      <c r="W21" s="158">
        <f t="shared" si="4"/>
        <v>77.872000000000014</v>
      </c>
      <c r="X21" s="159">
        <v>779</v>
      </c>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v>0</v>
      </c>
      <c r="N22" s="198"/>
      <c r="O22" s="156"/>
      <c r="P22" s="157"/>
      <c r="Q22" s="157"/>
      <c r="R22" s="158">
        <v>0</v>
      </c>
      <c r="S22" s="198"/>
      <c r="T22" s="156"/>
      <c r="U22" s="157"/>
      <c r="V22" s="157"/>
      <c r="W22" s="158">
        <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v>0</v>
      </c>
      <c r="N23" s="198"/>
      <c r="O23" s="156"/>
      <c r="P23" s="157"/>
      <c r="Q23" s="157"/>
      <c r="R23" s="158">
        <v>0</v>
      </c>
      <c r="S23" s="198"/>
      <c r="T23" s="156"/>
      <c r="U23" s="157"/>
      <c r="V23" s="157"/>
      <c r="W23" s="158">
        <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v>0</v>
      </c>
      <c r="N24" s="198"/>
      <c r="O24" s="156"/>
      <c r="P24" s="157"/>
      <c r="Q24" s="157"/>
      <c r="R24" s="158">
        <v>0</v>
      </c>
      <c r="S24" s="198"/>
      <c r="T24" s="156"/>
      <c r="U24" s="157"/>
      <c r="V24" s="157"/>
      <c r="W24" s="158">
        <v>0</v>
      </c>
      <c r="X24" s="159"/>
    </row>
    <row r="25" spans="1:24" s="13" customFormat="1" ht="9.9499999999999993" customHeight="1" x14ac:dyDescent="0.2">
      <c r="A25" s="679" t="s">
        <v>22</v>
      </c>
      <c r="B25" s="680" t="s">
        <v>62</v>
      </c>
      <c r="C25" s="681"/>
      <c r="D25" s="672" t="s">
        <v>25</v>
      </c>
      <c r="E25" s="673">
        <f t="shared" si="6"/>
        <v>0</v>
      </c>
      <c r="F25" s="674">
        <f t="shared" si="6"/>
        <v>1214</v>
      </c>
      <c r="G25" s="674">
        <f t="shared" si="6"/>
        <v>1214</v>
      </c>
      <c r="H25" s="675">
        <f>G25/F25*100</f>
        <v>100</v>
      </c>
      <c r="I25" s="676">
        <f>SUM(N25,S25)</f>
        <v>0</v>
      </c>
      <c r="J25" s="208"/>
      <c r="K25" s="213">
        <v>1214</v>
      </c>
      <c r="L25" s="157">
        <v>1214</v>
      </c>
      <c r="M25" s="158">
        <v>100</v>
      </c>
      <c r="N25" s="214"/>
      <c r="O25" s="215"/>
      <c r="P25" s="213"/>
      <c r="Q25" s="213"/>
      <c r="R25" s="158">
        <v>0</v>
      </c>
      <c r="S25" s="216"/>
      <c r="T25" s="218"/>
      <c r="U25" s="197"/>
      <c r="V25" s="197"/>
      <c r="W25" s="261">
        <v>0</v>
      </c>
      <c r="X25" s="219"/>
    </row>
    <row r="26" spans="1:24" s="6" customFormat="1" ht="9.9499999999999993" customHeight="1" x14ac:dyDescent="0.2">
      <c r="A26" s="671" t="s">
        <v>23</v>
      </c>
      <c r="B26" s="839" t="s">
        <v>63</v>
      </c>
      <c r="C26" s="840"/>
      <c r="D26" s="672" t="s">
        <v>25</v>
      </c>
      <c r="E26" s="673">
        <f t="shared" si="6"/>
        <v>319200</v>
      </c>
      <c r="F26" s="674">
        <f t="shared" si="6"/>
        <v>1297610</v>
      </c>
      <c r="G26" s="674">
        <f t="shared" si="6"/>
        <v>1289389</v>
      </c>
      <c r="H26" s="675">
        <f t="shared" si="0"/>
        <v>99.366450628463099</v>
      </c>
      <c r="I26" s="676">
        <f t="shared" si="6"/>
        <v>319132</v>
      </c>
      <c r="J26" s="208">
        <v>319200</v>
      </c>
      <c r="K26" s="197">
        <f>J26-134000+1112410</f>
        <v>1297610</v>
      </c>
      <c r="L26" s="157">
        <v>1289389</v>
      </c>
      <c r="M26" s="158">
        <f t="shared" si="2"/>
        <v>99.366450628463099</v>
      </c>
      <c r="N26" s="198">
        <v>319132</v>
      </c>
      <c r="O26" s="218"/>
      <c r="P26" s="197"/>
      <c r="Q26" s="197"/>
      <c r="R26" s="158">
        <v>0</v>
      </c>
      <c r="S26" s="214"/>
      <c r="T26" s="156"/>
      <c r="U26" s="157">
        <f>T26+134000</f>
        <v>134000</v>
      </c>
      <c r="V26" s="157">
        <v>95161.62</v>
      </c>
      <c r="W26" s="261">
        <f t="shared" si="4"/>
        <v>71.016134328358206</v>
      </c>
      <c r="X26" s="159"/>
    </row>
    <row r="27" spans="1:24" s="13" customFormat="1" ht="9.9499999999999993" customHeight="1" x14ac:dyDescent="0.2">
      <c r="A27" s="180" t="s">
        <v>43</v>
      </c>
      <c r="B27" s="660" t="s">
        <v>64</v>
      </c>
      <c r="C27" s="661"/>
      <c r="D27" s="172" t="s">
        <v>25</v>
      </c>
      <c r="E27" s="38">
        <f t="shared" si="6"/>
        <v>0</v>
      </c>
      <c r="F27" s="39">
        <f t="shared" si="6"/>
        <v>1500</v>
      </c>
      <c r="G27" s="39">
        <f t="shared" si="6"/>
        <v>1500</v>
      </c>
      <c r="H27" s="14">
        <f t="shared" si="0"/>
        <v>100</v>
      </c>
      <c r="I27" s="40">
        <f t="shared" si="6"/>
        <v>0</v>
      </c>
      <c r="J27" s="208"/>
      <c r="K27" s="197">
        <v>1500</v>
      </c>
      <c r="L27" s="157">
        <v>1500</v>
      </c>
      <c r="M27" s="158">
        <f t="shared" si="2"/>
        <v>100</v>
      </c>
      <c r="N27" s="214"/>
      <c r="O27" s="218"/>
      <c r="P27" s="197"/>
      <c r="Q27" s="197"/>
      <c r="R27" s="158">
        <v>0</v>
      </c>
      <c r="S27" s="214"/>
      <c r="T27" s="156"/>
      <c r="U27" s="157"/>
      <c r="V27" s="157"/>
      <c r="W27" s="261">
        <v>0</v>
      </c>
      <c r="X27" s="159"/>
    </row>
    <row r="28" spans="1:24" s="13" customFormat="1" ht="9.9499999999999993" customHeight="1" x14ac:dyDescent="0.2">
      <c r="A28" s="180" t="s">
        <v>49</v>
      </c>
      <c r="B28" s="660" t="s">
        <v>92</v>
      </c>
      <c r="C28" s="661"/>
      <c r="D28" s="172" t="s">
        <v>25</v>
      </c>
      <c r="E28" s="38">
        <f>SUM(J28,O28)</f>
        <v>162637</v>
      </c>
      <c r="F28" s="39">
        <f>SUM(K28,P28)</f>
        <v>851180</v>
      </c>
      <c r="G28" s="39">
        <f>SUM(L28,Q28)</f>
        <v>849366.8</v>
      </c>
      <c r="H28" s="14">
        <f>G28/F28*100</f>
        <v>99.786978077492421</v>
      </c>
      <c r="I28" s="40">
        <f>SUM(N28,S28)</f>
        <v>1240057</v>
      </c>
      <c r="J28" s="208">
        <v>145000</v>
      </c>
      <c r="K28" s="197">
        <v>725000</v>
      </c>
      <c r="L28" s="157">
        <v>723186</v>
      </c>
      <c r="M28" s="158">
        <f t="shared" si="2"/>
        <v>99.749793103448283</v>
      </c>
      <c r="N28" s="214">
        <v>1156094</v>
      </c>
      <c r="O28" s="218">
        <v>17637</v>
      </c>
      <c r="P28" s="197">
        <v>126180</v>
      </c>
      <c r="Q28" s="197">
        <f>17636.8+34200+74344</f>
        <v>126180.8</v>
      </c>
      <c r="R28" s="158">
        <f t="shared" si="3"/>
        <v>100.00063401489936</v>
      </c>
      <c r="S28" s="214">
        <v>83963</v>
      </c>
      <c r="T28" s="156"/>
      <c r="U28" s="157"/>
      <c r="V28" s="157"/>
      <c r="W28" s="261">
        <v>0</v>
      </c>
      <c r="X28" s="159"/>
    </row>
    <row r="29" spans="1:24" s="15" customFormat="1" ht="9.9499999999999993" customHeight="1" x14ac:dyDescent="0.2">
      <c r="A29" s="180" t="s">
        <v>50</v>
      </c>
      <c r="B29" s="820" t="s">
        <v>65</v>
      </c>
      <c r="C29" s="821"/>
      <c r="D29" s="172" t="s">
        <v>25</v>
      </c>
      <c r="E29" s="38">
        <f t="shared" si="6"/>
        <v>1000</v>
      </c>
      <c r="F29" s="39">
        <f t="shared" si="6"/>
        <v>1000</v>
      </c>
      <c r="G29" s="39">
        <f t="shared" si="6"/>
        <v>988</v>
      </c>
      <c r="H29" s="14">
        <f t="shared" si="0"/>
        <v>98.8</v>
      </c>
      <c r="I29" s="40">
        <f t="shared" si="6"/>
        <v>10493</v>
      </c>
      <c r="J29" s="208">
        <v>1000</v>
      </c>
      <c r="K29" s="197">
        <v>1000</v>
      </c>
      <c r="L29" s="157">
        <v>988</v>
      </c>
      <c r="M29" s="158">
        <f t="shared" si="2"/>
        <v>98.8</v>
      </c>
      <c r="N29" s="214">
        <v>10493</v>
      </c>
      <c r="O29" s="218"/>
      <c r="P29" s="197"/>
      <c r="Q29" s="197"/>
      <c r="R29" s="158">
        <v>0</v>
      </c>
      <c r="S29" s="214"/>
      <c r="T29" s="156"/>
      <c r="U29" s="157"/>
      <c r="V29" s="157"/>
      <c r="W29" s="261">
        <v>0</v>
      </c>
      <c r="X29" s="159"/>
    </row>
    <row r="30" spans="1:24" s="6" customFormat="1" ht="9.75" x14ac:dyDescent="0.2">
      <c r="A30" s="180" t="s">
        <v>52</v>
      </c>
      <c r="B30" s="660" t="s">
        <v>51</v>
      </c>
      <c r="C30" s="661"/>
      <c r="D30" s="172" t="s">
        <v>25</v>
      </c>
      <c r="E30" s="38">
        <f t="shared" ref="E30:G31" si="7">SUM(J30,O30)</f>
        <v>0</v>
      </c>
      <c r="F30" s="39">
        <f t="shared" si="7"/>
        <v>0</v>
      </c>
      <c r="G30" s="39">
        <f t="shared" si="7"/>
        <v>0</v>
      </c>
      <c r="H30" s="14" t="e">
        <f t="shared" si="0"/>
        <v>#DIV/0!</v>
      </c>
      <c r="I30" s="40">
        <f>SUM(N30,S30)</f>
        <v>0</v>
      </c>
      <c r="J30" s="208"/>
      <c r="K30" s="197"/>
      <c r="L30" s="197"/>
      <c r="M30" s="158">
        <v>0</v>
      </c>
      <c r="N30" s="214"/>
      <c r="O30" s="218"/>
      <c r="P30" s="197"/>
      <c r="Q30" s="197"/>
      <c r="R30" s="158">
        <v>0</v>
      </c>
      <c r="S30" s="214"/>
      <c r="T30" s="156"/>
      <c r="U30" s="157"/>
      <c r="V30" s="157"/>
      <c r="W30" s="261">
        <v>0</v>
      </c>
      <c r="X30" s="159"/>
    </row>
    <row r="31" spans="1:24" s="23" customFormat="1" ht="9.75" x14ac:dyDescent="0.2">
      <c r="A31" s="180" t="s">
        <v>53</v>
      </c>
      <c r="B31" s="660" t="s">
        <v>66</v>
      </c>
      <c r="C31" s="661"/>
      <c r="D31" s="172" t="s">
        <v>25</v>
      </c>
      <c r="E31" s="38">
        <f t="shared" si="7"/>
        <v>0</v>
      </c>
      <c r="F31" s="39">
        <f t="shared" si="7"/>
        <v>0</v>
      </c>
      <c r="G31" s="39">
        <f t="shared" si="7"/>
        <v>0</v>
      </c>
      <c r="H31" s="14" t="e">
        <f t="shared" si="0"/>
        <v>#DIV/0!</v>
      </c>
      <c r="I31" s="40">
        <f>SUM(N31,S31)</f>
        <v>0</v>
      </c>
      <c r="J31" s="208"/>
      <c r="K31" s="224"/>
      <c r="L31" s="224"/>
      <c r="M31" s="158">
        <v>0</v>
      </c>
      <c r="N31" s="225"/>
      <c r="O31" s="226"/>
      <c r="P31" s="224"/>
      <c r="Q31" s="224"/>
      <c r="R31" s="158">
        <v>0</v>
      </c>
      <c r="S31" s="225"/>
      <c r="T31" s="226"/>
      <c r="U31" s="224"/>
      <c r="V31" s="224"/>
      <c r="W31" s="261">
        <v>0</v>
      </c>
      <c r="X31" s="15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v>0</v>
      </c>
      <c r="N32" s="231"/>
      <c r="O32" s="221"/>
      <c r="P32" s="222"/>
      <c r="Q32" s="222"/>
      <c r="R32" s="201">
        <v>0</v>
      </c>
      <c r="S32" s="231"/>
      <c r="T32" s="260"/>
      <c r="U32" s="259"/>
      <c r="V32" s="259"/>
      <c r="W32" s="262">
        <v>0</v>
      </c>
      <c r="X32" s="263"/>
    </row>
    <row r="33" spans="1:24" s="23" customFormat="1" ht="9.75" x14ac:dyDescent="0.2">
      <c r="A33" s="168" t="s">
        <v>55</v>
      </c>
      <c r="B33" s="21" t="s">
        <v>174</v>
      </c>
      <c r="C33" s="22"/>
      <c r="D33" s="20" t="s">
        <v>25</v>
      </c>
      <c r="E33" s="29">
        <f>E6-E11</f>
        <v>0</v>
      </c>
      <c r="F33" s="29">
        <f>F6-F11</f>
        <v>-0.19999999925494194</v>
      </c>
      <c r="G33" s="29">
        <f>G6-G11</f>
        <v>6666.0000000037253</v>
      </c>
      <c r="H33" s="25">
        <f t="shared" si="0"/>
        <v>-3333000.0124182552</v>
      </c>
      <c r="I33" s="29">
        <f>I6-I11</f>
        <v>41533</v>
      </c>
      <c r="J33" s="29">
        <f t="shared" ref="J33:L33" si="8">J6-J11</f>
        <v>0</v>
      </c>
      <c r="K33" s="29">
        <f t="shared" si="8"/>
        <v>-0.20000000018626451</v>
      </c>
      <c r="L33" s="29">
        <f t="shared" si="8"/>
        <v>6666</v>
      </c>
      <c r="M33" s="19">
        <v>0</v>
      </c>
      <c r="N33" s="29">
        <f>N6-N11+1</f>
        <v>41534</v>
      </c>
      <c r="O33" s="29">
        <f t="shared" ref="O33:Q33" si="9">O6-O11</f>
        <v>0</v>
      </c>
      <c r="P33" s="29">
        <f t="shared" si="9"/>
        <v>0</v>
      </c>
      <c r="Q33" s="29">
        <f t="shared" si="9"/>
        <v>0</v>
      </c>
      <c r="R33" s="19">
        <v>0</v>
      </c>
      <c r="S33" s="29">
        <f t="shared" ref="S33:V33" si="10">S6-S11</f>
        <v>0</v>
      </c>
      <c r="T33" s="29">
        <f t="shared" si="10"/>
        <v>140500</v>
      </c>
      <c r="U33" s="29">
        <f t="shared" si="10"/>
        <v>170000</v>
      </c>
      <c r="V33" s="29">
        <f t="shared" si="10"/>
        <v>197650.12</v>
      </c>
      <c r="W33" s="19">
        <f t="shared" si="4"/>
        <v>116.26477647058823</v>
      </c>
      <c r="X33" s="29">
        <f>X6-X11</f>
        <v>196405</v>
      </c>
    </row>
    <row r="34" spans="1:24" s="4" customFormat="1" ht="9" x14ac:dyDescent="0.2">
      <c r="A34" s="187" t="s">
        <v>56</v>
      </c>
      <c r="B34" s="841" t="s">
        <v>24</v>
      </c>
      <c r="C34" s="842"/>
      <c r="D34" s="188" t="s">
        <v>25</v>
      </c>
      <c r="E34" s="77">
        <v>22228</v>
      </c>
      <c r="F34" s="78">
        <v>23613</v>
      </c>
      <c r="G34" s="78">
        <v>23610</v>
      </c>
      <c r="H34" s="12">
        <v>99.99</v>
      </c>
      <c r="I34" s="79">
        <v>23948</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80">
        <v>56</v>
      </c>
      <c r="F35" s="81">
        <v>56</v>
      </c>
      <c r="G35" s="81">
        <v>56</v>
      </c>
      <c r="H35" s="14">
        <v>100</v>
      </c>
      <c r="I35" s="82">
        <v>51</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83">
        <v>61</v>
      </c>
      <c r="F36" s="84">
        <v>61</v>
      </c>
      <c r="G36" s="84">
        <v>61</v>
      </c>
      <c r="H36" s="16">
        <v>100</v>
      </c>
      <c r="I36" s="85">
        <v>54</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7"/>
  <sheetViews>
    <sheetView tabSelected="1" zoomScaleNormal="100" workbookViewId="0"/>
  </sheetViews>
  <sheetFormatPr defaultRowHeight="12.75" x14ac:dyDescent="0.2"/>
  <cols>
    <col min="1" max="1" width="74.75" style="28" customWidth="1"/>
    <col min="2" max="9" width="23.75" style="28" customWidth="1"/>
    <col min="16" max="16" width="15.5" bestFit="1" customWidth="1"/>
  </cols>
  <sheetData>
    <row r="1" spans="1:9" ht="18.75" x14ac:dyDescent="0.3">
      <c r="A1" s="65" t="s">
        <v>83</v>
      </c>
      <c r="B1" s="65"/>
      <c r="C1" s="65"/>
      <c r="D1" s="65"/>
      <c r="E1" s="65"/>
      <c r="F1" s="65"/>
      <c r="G1" s="65"/>
      <c r="H1" s="65"/>
      <c r="I1" s="65"/>
    </row>
    <row r="2" spans="1:9" x14ac:dyDescent="0.2">
      <c r="A2" s="64"/>
      <c r="B2" s="64"/>
      <c r="C2" s="64"/>
      <c r="D2" s="64"/>
      <c r="E2" s="64"/>
      <c r="F2" s="64"/>
      <c r="G2" s="64"/>
      <c r="H2" s="64"/>
      <c r="I2" s="64"/>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444" t="s">
        <v>25</v>
      </c>
      <c r="D5" s="788" t="s">
        <v>176</v>
      </c>
      <c r="E5" s="788"/>
      <c r="F5" s="788"/>
      <c r="G5" s="788"/>
      <c r="H5" s="788"/>
      <c r="I5" s="788"/>
    </row>
    <row r="6" spans="1:9" s="87" customFormat="1" ht="11.25" x14ac:dyDescent="0.2">
      <c r="A6" s="792" t="s">
        <v>177</v>
      </c>
      <c r="B6" s="792"/>
      <c r="C6" s="283">
        <f>SUM(C7:C9)</f>
        <v>167229.14000000001</v>
      </c>
      <c r="D6" s="793"/>
      <c r="E6" s="794"/>
      <c r="F6" s="794"/>
      <c r="G6" s="794"/>
      <c r="H6" s="794"/>
      <c r="I6" s="795"/>
    </row>
    <row r="7" spans="1:9" s="469" customFormat="1" ht="316.5" customHeight="1" x14ac:dyDescent="0.15">
      <c r="A7" s="467" t="s">
        <v>69</v>
      </c>
      <c r="B7" s="468"/>
      <c r="C7" s="658">
        <v>147159.14000000001</v>
      </c>
      <c r="D7" s="868" t="s">
        <v>1225</v>
      </c>
      <c r="E7" s="868"/>
      <c r="F7" s="868"/>
      <c r="G7" s="868"/>
      <c r="H7" s="868"/>
      <c r="I7" s="868"/>
    </row>
    <row r="8" spans="1:9" s="470" customFormat="1" ht="48" customHeight="1" x14ac:dyDescent="0.15">
      <c r="A8" s="757" t="s">
        <v>178</v>
      </c>
      <c r="B8" s="758"/>
      <c r="C8" s="285">
        <v>20070</v>
      </c>
      <c r="D8" s="867" t="s">
        <v>573</v>
      </c>
      <c r="E8" s="867"/>
      <c r="F8" s="867"/>
      <c r="G8" s="867"/>
      <c r="H8" s="867"/>
      <c r="I8" s="867"/>
    </row>
    <row r="9" spans="1:9" s="470" customFormat="1" ht="10.5" x14ac:dyDescent="0.15">
      <c r="A9" s="757" t="s">
        <v>179</v>
      </c>
      <c r="B9" s="758"/>
      <c r="C9" s="284">
        <v>0</v>
      </c>
      <c r="D9" s="1027"/>
      <c r="E9" s="1028"/>
      <c r="F9" s="1028"/>
      <c r="G9" s="1028"/>
      <c r="H9" s="1028"/>
      <c r="I9" s="1029"/>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444" t="s">
        <v>68</v>
      </c>
      <c r="B13" s="444" t="s">
        <v>181</v>
      </c>
      <c r="C13" s="444" t="s">
        <v>25</v>
      </c>
      <c r="D13" s="286"/>
      <c r="E13" s="287"/>
      <c r="F13" s="287"/>
      <c r="G13" s="287"/>
      <c r="H13" s="287"/>
      <c r="I13" s="287"/>
    </row>
    <row r="14" spans="1:9" s="87" customFormat="1" ht="11.25" x14ac:dyDescent="0.2">
      <c r="A14" s="288" t="s">
        <v>182</v>
      </c>
      <c r="B14" s="289"/>
      <c r="C14" s="290">
        <v>147159.14000000001</v>
      </c>
      <c r="D14" s="291"/>
      <c r="E14" s="292"/>
      <c r="F14" s="292"/>
      <c r="G14" s="292"/>
      <c r="H14" s="292"/>
      <c r="I14" s="292"/>
    </row>
    <row r="15" spans="1:9" s="87" customFormat="1" ht="11.25" x14ac:dyDescent="0.2">
      <c r="A15" s="762" t="s">
        <v>183</v>
      </c>
      <c r="B15" s="293" t="s">
        <v>70</v>
      </c>
      <c r="C15" s="294">
        <v>20070</v>
      </c>
      <c r="D15" s="295"/>
      <c r="E15" s="296"/>
      <c r="F15" s="296"/>
      <c r="G15" s="296"/>
      <c r="H15" s="296"/>
      <c r="I15" s="296"/>
    </row>
    <row r="16" spans="1:9" s="87" customFormat="1" ht="11.25" x14ac:dyDescent="0.2">
      <c r="A16" s="763"/>
      <c r="B16" s="297" t="s">
        <v>71</v>
      </c>
      <c r="C16" s="298">
        <v>0</v>
      </c>
      <c r="D16" s="299"/>
      <c r="E16" s="300"/>
      <c r="F16" s="300"/>
      <c r="G16" s="300"/>
      <c r="H16" s="300"/>
      <c r="I16" s="300"/>
    </row>
    <row r="17" spans="1:9" s="87" customFormat="1" ht="11.25" x14ac:dyDescent="0.2">
      <c r="A17" s="445" t="s">
        <v>177</v>
      </c>
      <c r="B17" s="302"/>
      <c r="C17" s="283">
        <f>SUM(C14:C16)</f>
        <v>167229.14000000001</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442" t="s">
        <v>181</v>
      </c>
      <c r="B21" s="442" t="s">
        <v>185</v>
      </c>
      <c r="C21" s="307" t="s">
        <v>186</v>
      </c>
      <c r="D21" s="442" t="s">
        <v>187</v>
      </c>
      <c r="E21" s="442" t="s">
        <v>188</v>
      </c>
      <c r="F21" s="764" t="s">
        <v>189</v>
      </c>
      <c r="G21" s="764"/>
      <c r="H21" s="764"/>
      <c r="I21" s="764"/>
    </row>
    <row r="22" spans="1:9" s="87" customFormat="1" ht="23.25" customHeight="1" x14ac:dyDescent="0.2">
      <c r="A22" s="310" t="s">
        <v>190</v>
      </c>
      <c r="B22" s="124">
        <v>133913.51999999999</v>
      </c>
      <c r="C22" s="124">
        <v>151850.63</v>
      </c>
      <c r="D22" s="124">
        <v>148213.63</v>
      </c>
      <c r="E22" s="124">
        <f>B22+C22-D22</f>
        <v>137550.52000000002</v>
      </c>
      <c r="F22" s="1030" t="s">
        <v>574</v>
      </c>
      <c r="G22" s="1031"/>
      <c r="H22" s="1031"/>
      <c r="I22" s="1032"/>
    </row>
    <row r="23" spans="1:9" s="87" customFormat="1" ht="46.5" customHeight="1" x14ac:dyDescent="0.2">
      <c r="A23" s="293" t="s">
        <v>191</v>
      </c>
      <c r="B23" s="125">
        <v>108064</v>
      </c>
      <c r="C23" s="125">
        <v>1205411.6299999999</v>
      </c>
      <c r="D23" s="125">
        <v>1205411.6299999999</v>
      </c>
      <c r="E23" s="125">
        <f t="shared" ref="E23:E25" si="0">B23+C23-D23</f>
        <v>108064</v>
      </c>
      <c r="F23" s="739" t="s">
        <v>575</v>
      </c>
      <c r="G23" s="740"/>
      <c r="H23" s="740"/>
      <c r="I23" s="741"/>
    </row>
    <row r="24" spans="1:9" s="87" customFormat="1" ht="22.5" customHeight="1" x14ac:dyDescent="0.2">
      <c r="A24" s="293" t="s">
        <v>71</v>
      </c>
      <c r="B24" s="125">
        <v>53313.98</v>
      </c>
      <c r="C24" s="125">
        <v>0</v>
      </c>
      <c r="D24" s="125">
        <v>9368</v>
      </c>
      <c r="E24" s="125">
        <f t="shared" si="0"/>
        <v>43945.98</v>
      </c>
      <c r="F24" s="739" t="s">
        <v>576</v>
      </c>
      <c r="G24" s="740"/>
      <c r="H24" s="740"/>
      <c r="I24" s="741"/>
    </row>
    <row r="25" spans="1:9" s="87" customFormat="1" ht="23.25" customHeight="1" x14ac:dyDescent="0.2">
      <c r="A25" s="311" t="s">
        <v>193</v>
      </c>
      <c r="B25" s="126">
        <v>77352.52</v>
      </c>
      <c r="C25" s="126">
        <v>77979</v>
      </c>
      <c r="D25" s="126">
        <v>91388</v>
      </c>
      <c r="E25" s="126">
        <f t="shared" si="0"/>
        <v>63943.520000000019</v>
      </c>
      <c r="F25" s="1025" t="s">
        <v>577</v>
      </c>
      <c r="G25" s="1026"/>
      <c r="H25" s="1026"/>
      <c r="I25" s="882"/>
    </row>
    <row r="26" spans="1:9" s="88" customFormat="1" ht="10.5" x14ac:dyDescent="0.15">
      <c r="A26" s="670" t="s">
        <v>34</v>
      </c>
      <c r="B26" s="283">
        <f>SUM(B22:B25)</f>
        <v>372644.02</v>
      </c>
      <c r="C26" s="283">
        <f t="shared" ref="C26:E26" si="1">SUM(C22:C25)</f>
        <v>1435241.2599999998</v>
      </c>
      <c r="D26" s="283">
        <f t="shared" si="1"/>
        <v>1454381.2599999998</v>
      </c>
      <c r="E26" s="283">
        <f t="shared" si="1"/>
        <v>353504.02</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444" t="s">
        <v>72</v>
      </c>
      <c r="B30" s="444" t="s">
        <v>25</v>
      </c>
      <c r="C30" s="443" t="s">
        <v>73</v>
      </c>
      <c r="D30" s="788" t="s">
        <v>196</v>
      </c>
      <c r="E30" s="788"/>
      <c r="F30" s="788"/>
      <c r="G30" s="788"/>
      <c r="H30" s="788"/>
      <c r="I30" s="788"/>
    </row>
    <row r="31" spans="1:9" s="87" customFormat="1" ht="11.25" x14ac:dyDescent="0.2">
      <c r="A31" s="471"/>
      <c r="B31" s="472">
        <v>0</v>
      </c>
      <c r="C31" s="473"/>
      <c r="D31" s="774"/>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customHeight="1"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customHeight="1" x14ac:dyDescent="0.2">
      <c r="A36" s="444" t="s">
        <v>72</v>
      </c>
      <c r="B36" s="444" t="s">
        <v>25</v>
      </c>
      <c r="C36" s="443" t="s">
        <v>73</v>
      </c>
      <c r="D36" s="788" t="s">
        <v>196</v>
      </c>
      <c r="E36" s="788"/>
      <c r="F36" s="788"/>
      <c r="G36" s="788"/>
      <c r="H36" s="788"/>
      <c r="I36" s="788"/>
    </row>
    <row r="37" spans="1:9" s="87" customFormat="1" ht="11.25" x14ac:dyDescent="0.2">
      <c r="A37" s="471"/>
      <c r="B37" s="472">
        <v>0</v>
      </c>
      <c r="C37" s="314"/>
      <c r="D37" s="774"/>
      <c r="E37" s="746"/>
      <c r="F37" s="746"/>
      <c r="G37" s="746"/>
      <c r="H37" s="746"/>
      <c r="I37" s="775"/>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444" t="s">
        <v>25</v>
      </c>
      <c r="B42" s="344" t="s">
        <v>100</v>
      </c>
      <c r="C42" s="765" t="s">
        <v>74</v>
      </c>
      <c r="D42" s="765"/>
      <c r="E42" s="765"/>
      <c r="F42" s="765"/>
      <c r="G42" s="765"/>
      <c r="H42" s="765"/>
      <c r="I42" s="765"/>
    </row>
    <row r="43" spans="1:9" s="87" customFormat="1" ht="11.25" x14ac:dyDescent="0.2">
      <c r="A43" s="124">
        <v>10000</v>
      </c>
      <c r="B43" s="124">
        <v>10000</v>
      </c>
      <c r="C43" s="847" t="s">
        <v>578</v>
      </c>
      <c r="D43" s="847"/>
      <c r="E43" s="847"/>
      <c r="F43" s="847"/>
      <c r="G43" s="847"/>
      <c r="H43" s="847"/>
      <c r="I43" s="847"/>
    </row>
    <row r="44" spans="1:9" s="87" customFormat="1" ht="11.25" x14ac:dyDescent="0.2">
      <c r="A44" s="126">
        <v>7990</v>
      </c>
      <c r="B44" s="126">
        <v>7990</v>
      </c>
      <c r="C44" s="846" t="s">
        <v>579</v>
      </c>
      <c r="D44" s="766"/>
      <c r="E44" s="766"/>
      <c r="F44" s="766"/>
      <c r="G44" s="766"/>
      <c r="H44" s="766"/>
      <c r="I44" s="766"/>
    </row>
    <row r="45" spans="1:9" s="88" customFormat="1" ht="10.5" x14ac:dyDescent="0.15">
      <c r="A45" s="283">
        <f>SUM(A43:A44)</f>
        <v>17990</v>
      </c>
      <c r="B45" s="283">
        <f>SUM(B43:B44)</f>
        <v>17990</v>
      </c>
      <c r="C45" s="767" t="s">
        <v>34</v>
      </c>
      <c r="D45" s="767"/>
      <c r="E45" s="767"/>
      <c r="F45" s="767"/>
      <c r="G45" s="767"/>
      <c r="H45" s="767"/>
      <c r="I45" s="767"/>
    </row>
    <row r="46" spans="1:9" s="87" customFormat="1" ht="11.25" x14ac:dyDescent="0.2">
      <c r="C46" s="89"/>
    </row>
    <row r="47" spans="1:9" s="87" customFormat="1" ht="11.25" x14ac:dyDescent="0.2">
      <c r="A47" s="742" t="s">
        <v>199</v>
      </c>
      <c r="B47" s="742"/>
      <c r="C47" s="742"/>
      <c r="D47" s="742"/>
      <c r="E47" s="742"/>
      <c r="F47" s="742"/>
      <c r="G47" s="742"/>
      <c r="H47" s="742"/>
      <c r="I47" s="742"/>
    </row>
    <row r="48" spans="1:9" s="87" customFormat="1" ht="11.25" x14ac:dyDescent="0.2">
      <c r="C48" s="89"/>
    </row>
    <row r="49" spans="1:8" s="151" customFormat="1" ht="33" x14ac:dyDescent="0.25">
      <c r="A49" s="764" t="s">
        <v>101</v>
      </c>
      <c r="B49" s="764"/>
      <c r="C49" s="764"/>
      <c r="D49" s="442" t="s">
        <v>102</v>
      </c>
      <c r="E49" s="442" t="s">
        <v>554</v>
      </c>
      <c r="F49" s="442" t="s">
        <v>555</v>
      </c>
      <c r="G49" s="442" t="s">
        <v>105</v>
      </c>
      <c r="H49" s="474" t="s">
        <v>94</v>
      </c>
    </row>
    <row r="50" spans="1:8" s="87" customFormat="1" ht="11.25" x14ac:dyDescent="0.2">
      <c r="A50" s="1021" t="s">
        <v>580</v>
      </c>
      <c r="B50" s="1021"/>
      <c r="C50" s="1021"/>
      <c r="D50" s="475" t="s">
        <v>118</v>
      </c>
      <c r="E50" s="476">
        <v>10000</v>
      </c>
      <c r="F50" s="476"/>
      <c r="G50" s="477">
        <v>42094</v>
      </c>
      <c r="H50" s="478"/>
    </row>
    <row r="51" spans="1:8" s="87" customFormat="1" ht="11.25" x14ac:dyDescent="0.2">
      <c r="A51" s="1022" t="s">
        <v>581</v>
      </c>
      <c r="B51" s="1022"/>
      <c r="C51" s="1022"/>
      <c r="D51" s="479" t="s">
        <v>113</v>
      </c>
      <c r="E51" s="480"/>
      <c r="F51" s="480">
        <v>10000</v>
      </c>
      <c r="G51" s="481"/>
      <c r="H51" s="488">
        <v>42102</v>
      </c>
    </row>
    <row r="52" spans="1:8" s="87" customFormat="1" ht="11.25" x14ac:dyDescent="0.2">
      <c r="A52" s="1022" t="s">
        <v>582</v>
      </c>
      <c r="B52" s="1023"/>
      <c r="C52" s="1023"/>
      <c r="D52" s="1023"/>
      <c r="E52" s="1023"/>
      <c r="F52" s="1023"/>
      <c r="G52" s="1023"/>
      <c r="H52" s="1023"/>
    </row>
    <row r="53" spans="1:8" s="87" customFormat="1" ht="11.25" x14ac:dyDescent="0.2">
      <c r="A53" s="1024" t="s">
        <v>583</v>
      </c>
      <c r="B53" s="1024"/>
      <c r="C53" s="1024"/>
      <c r="D53" s="482" t="s">
        <v>114</v>
      </c>
      <c r="E53" s="148">
        <v>1130437</v>
      </c>
      <c r="F53" s="148"/>
      <c r="G53" s="352">
        <v>42107</v>
      </c>
      <c r="H53" s="503"/>
    </row>
    <row r="54" spans="1:8" s="87" customFormat="1" ht="11.25" x14ac:dyDescent="0.2">
      <c r="A54" s="1020" t="s">
        <v>584</v>
      </c>
      <c r="B54" s="1020"/>
      <c r="C54" s="1020"/>
      <c r="D54" s="350" t="s">
        <v>556</v>
      </c>
      <c r="E54" s="483"/>
      <c r="F54" s="351">
        <v>1130437</v>
      </c>
      <c r="G54" s="484"/>
      <c r="H54" s="484">
        <v>42131</v>
      </c>
    </row>
    <row r="55" spans="1:8" s="87" customFormat="1" ht="11.25" x14ac:dyDescent="0.2">
      <c r="A55" s="1019" t="s">
        <v>585</v>
      </c>
      <c r="B55" s="1017"/>
      <c r="C55" s="1017"/>
      <c r="D55" s="1017"/>
      <c r="E55" s="1017"/>
      <c r="F55" s="1017"/>
      <c r="G55" s="1017"/>
      <c r="H55" s="1017"/>
    </row>
    <row r="56" spans="1:8" s="87" customFormat="1" ht="11.25" x14ac:dyDescent="0.2">
      <c r="A56" s="1015" t="s">
        <v>586</v>
      </c>
      <c r="B56" s="1015"/>
      <c r="C56" s="1015"/>
      <c r="D56" s="486" t="s">
        <v>118</v>
      </c>
      <c r="E56" s="487">
        <v>7990</v>
      </c>
      <c r="F56" s="487"/>
      <c r="G56" s="488">
        <v>42185</v>
      </c>
      <c r="H56" s="489"/>
    </row>
    <row r="57" spans="1:8" s="87" customFormat="1" ht="11.25" x14ac:dyDescent="0.2">
      <c r="A57" s="1015" t="s">
        <v>587</v>
      </c>
      <c r="B57" s="1016"/>
      <c r="C57" s="1016"/>
      <c r="D57" s="486" t="s">
        <v>146</v>
      </c>
      <c r="E57" s="487"/>
      <c r="F57" s="487">
        <v>7990</v>
      </c>
      <c r="G57" s="488"/>
      <c r="H57" s="488">
        <v>42307</v>
      </c>
    </row>
    <row r="58" spans="1:8" s="87" customFormat="1" ht="11.25" x14ac:dyDescent="0.2">
      <c r="A58" s="1015" t="s">
        <v>588</v>
      </c>
      <c r="B58" s="1017"/>
      <c r="C58" s="1017"/>
      <c r="D58" s="1017"/>
      <c r="E58" s="1017"/>
      <c r="F58" s="1017"/>
      <c r="G58" s="1017"/>
      <c r="H58" s="1017"/>
    </row>
    <row r="59" spans="1:8" s="87" customFormat="1" ht="11.25" x14ac:dyDescent="0.2">
      <c r="A59" s="1019" t="s">
        <v>593</v>
      </c>
      <c r="B59" s="1017"/>
      <c r="C59" s="1017"/>
      <c r="D59" s="350" t="s">
        <v>557</v>
      </c>
      <c r="E59" s="351">
        <v>5350</v>
      </c>
      <c r="F59" s="351"/>
      <c r="G59" s="484">
        <v>42185</v>
      </c>
      <c r="H59" s="485"/>
    </row>
    <row r="60" spans="1:8" s="87" customFormat="1" ht="11.25" x14ac:dyDescent="0.2">
      <c r="A60" s="1019" t="s">
        <v>594</v>
      </c>
      <c r="B60" s="1017"/>
      <c r="C60" s="1017"/>
      <c r="D60" s="350" t="s">
        <v>558</v>
      </c>
      <c r="E60" s="351"/>
      <c r="F60" s="351">
        <v>5350</v>
      </c>
      <c r="G60" s="484"/>
      <c r="H60" s="484">
        <v>42216</v>
      </c>
    </row>
    <row r="61" spans="1:8" s="87" customFormat="1" ht="11.25" x14ac:dyDescent="0.2">
      <c r="A61" s="1019" t="s">
        <v>1227</v>
      </c>
      <c r="B61" s="1017"/>
      <c r="C61" s="1017"/>
      <c r="D61" s="350" t="s">
        <v>117</v>
      </c>
      <c r="E61" s="351">
        <v>1873</v>
      </c>
      <c r="F61" s="351"/>
      <c r="G61" s="484">
        <v>42185</v>
      </c>
      <c r="H61" s="485"/>
    </row>
    <row r="62" spans="1:8" s="87" customFormat="1" ht="23.25" customHeight="1" x14ac:dyDescent="0.2">
      <c r="A62" s="1019" t="s">
        <v>1226</v>
      </c>
      <c r="B62" s="1017"/>
      <c r="C62" s="1017"/>
      <c r="D62" s="353" t="s">
        <v>559</v>
      </c>
      <c r="E62" s="351"/>
      <c r="F62" s="148">
        <v>1873</v>
      </c>
      <c r="G62" s="484"/>
      <c r="H62" s="484">
        <v>42216</v>
      </c>
    </row>
    <row r="63" spans="1:8" s="87" customFormat="1" ht="11.25" x14ac:dyDescent="0.2">
      <c r="A63" s="1019" t="s">
        <v>589</v>
      </c>
      <c r="B63" s="1017"/>
      <c r="C63" s="1017"/>
      <c r="D63" s="1017"/>
      <c r="E63" s="1017"/>
      <c r="F63" s="1017"/>
      <c r="G63" s="1017"/>
      <c r="H63" s="1017"/>
    </row>
    <row r="64" spans="1:8" s="87" customFormat="1" ht="11.25" x14ac:dyDescent="0.2">
      <c r="A64" s="1015" t="s">
        <v>595</v>
      </c>
      <c r="B64" s="1016"/>
      <c r="C64" s="1016"/>
      <c r="D64" s="479" t="s">
        <v>114</v>
      </c>
      <c r="E64" s="487">
        <v>10000</v>
      </c>
      <c r="F64" s="480"/>
      <c r="G64" s="488">
        <v>42283</v>
      </c>
      <c r="H64" s="489"/>
    </row>
    <row r="65" spans="1:8" s="87" customFormat="1" ht="11.25" x14ac:dyDescent="0.2">
      <c r="A65" s="1015" t="s">
        <v>596</v>
      </c>
      <c r="B65" s="1016"/>
      <c r="C65" s="1016"/>
      <c r="D65" s="479" t="s">
        <v>482</v>
      </c>
      <c r="E65" s="487"/>
      <c r="F65" s="480">
        <v>10000</v>
      </c>
      <c r="G65" s="488"/>
      <c r="H65" s="488">
        <v>42356</v>
      </c>
    </row>
    <row r="66" spans="1:8" s="87" customFormat="1" ht="11.25" x14ac:dyDescent="0.2">
      <c r="A66" s="1015" t="s">
        <v>590</v>
      </c>
      <c r="B66" s="1017"/>
      <c r="C66" s="1017"/>
      <c r="D66" s="1017"/>
      <c r="E66" s="1017"/>
      <c r="F66" s="1017"/>
      <c r="G66" s="1017"/>
      <c r="H66" s="1017"/>
    </row>
    <row r="67" spans="1:8" s="87" customFormat="1" ht="11.25" x14ac:dyDescent="0.2">
      <c r="A67" s="1009" t="s">
        <v>597</v>
      </c>
      <c r="B67" s="1018"/>
      <c r="C67" s="1018"/>
      <c r="D67" s="490" t="s">
        <v>117</v>
      </c>
      <c r="E67" s="491">
        <v>10000</v>
      </c>
      <c r="F67" s="492"/>
      <c r="G67" s="493">
        <v>41975</v>
      </c>
      <c r="H67" s="494"/>
    </row>
    <row r="68" spans="1:8" s="87" customFormat="1" ht="11.25" x14ac:dyDescent="0.2">
      <c r="A68" s="1009" t="s">
        <v>598</v>
      </c>
      <c r="B68" s="1017"/>
      <c r="C68" s="1017"/>
      <c r="D68" s="490" t="s">
        <v>113</v>
      </c>
      <c r="E68" s="491"/>
      <c r="F68" s="492">
        <v>9569</v>
      </c>
      <c r="G68" s="493"/>
      <c r="H68" s="493">
        <v>42307</v>
      </c>
    </row>
    <row r="69" spans="1:8" s="87" customFormat="1" ht="11.25" x14ac:dyDescent="0.2">
      <c r="A69" s="1009" t="s">
        <v>598</v>
      </c>
      <c r="B69" s="1017"/>
      <c r="C69" s="1017"/>
      <c r="D69" s="490" t="s">
        <v>482</v>
      </c>
      <c r="E69" s="491"/>
      <c r="F69" s="492">
        <v>431</v>
      </c>
      <c r="G69" s="493"/>
      <c r="H69" s="493">
        <v>42307</v>
      </c>
    </row>
    <row r="70" spans="1:8" s="87" customFormat="1" ht="11.25" x14ac:dyDescent="0.2">
      <c r="A70" s="1009" t="s">
        <v>591</v>
      </c>
      <c r="B70" s="1017"/>
      <c r="C70" s="1017"/>
      <c r="D70" s="1017"/>
      <c r="E70" s="1017"/>
      <c r="F70" s="1017"/>
      <c r="G70" s="1017"/>
      <c r="H70" s="1017"/>
    </row>
    <row r="71" spans="1:8" s="87" customFormat="1" ht="11.25" x14ac:dyDescent="0.2">
      <c r="A71" s="1015" t="s">
        <v>599</v>
      </c>
      <c r="B71" s="1016"/>
      <c r="C71" s="1016"/>
      <c r="D71" s="479" t="s">
        <v>560</v>
      </c>
      <c r="E71" s="487">
        <v>15000</v>
      </c>
      <c r="F71" s="480"/>
      <c r="G71" s="488">
        <v>42187</v>
      </c>
      <c r="H71" s="489"/>
    </row>
    <row r="72" spans="1:8" s="87" customFormat="1" ht="11.25" x14ac:dyDescent="0.2">
      <c r="A72" s="1015" t="s">
        <v>600</v>
      </c>
      <c r="B72" s="1016"/>
      <c r="C72" s="1016"/>
      <c r="D72" s="479" t="s">
        <v>107</v>
      </c>
      <c r="E72" s="487"/>
      <c r="F72" s="480">
        <v>7100</v>
      </c>
      <c r="G72" s="488"/>
      <c r="H72" s="488">
        <v>42319</v>
      </c>
    </row>
    <row r="73" spans="1:8" s="87" customFormat="1" ht="11.25" x14ac:dyDescent="0.2">
      <c r="A73" s="1015" t="s">
        <v>600</v>
      </c>
      <c r="B73" s="1016"/>
      <c r="C73" s="1016"/>
      <c r="D73" s="479" t="s">
        <v>113</v>
      </c>
      <c r="E73" s="487"/>
      <c r="F73" s="480">
        <v>7900</v>
      </c>
      <c r="G73" s="488"/>
      <c r="H73" s="488">
        <v>42319</v>
      </c>
    </row>
    <row r="74" spans="1:8" s="87" customFormat="1" ht="11.25" x14ac:dyDescent="0.2">
      <c r="A74" s="1015" t="s">
        <v>601</v>
      </c>
      <c r="B74" s="1017"/>
      <c r="C74" s="1017"/>
      <c r="D74" s="1017"/>
      <c r="E74" s="1017"/>
      <c r="F74" s="1017"/>
      <c r="G74" s="1017"/>
      <c r="H74" s="1017"/>
    </row>
    <row r="75" spans="1:8" s="87" customFormat="1" ht="11.25" x14ac:dyDescent="0.2">
      <c r="A75" s="1009" t="s">
        <v>602</v>
      </c>
      <c r="B75" s="1018"/>
      <c r="C75" s="1018"/>
      <c r="D75" s="495" t="s">
        <v>117</v>
      </c>
      <c r="E75" s="491">
        <v>60000</v>
      </c>
      <c r="F75" s="491"/>
      <c r="G75" s="493">
        <v>42297</v>
      </c>
      <c r="H75" s="494"/>
    </row>
    <row r="76" spans="1:8" s="87" customFormat="1" ht="11.25" x14ac:dyDescent="0.2">
      <c r="A76" s="1009" t="s">
        <v>603</v>
      </c>
      <c r="B76" s="1018"/>
      <c r="C76" s="1018"/>
      <c r="D76" s="495" t="s">
        <v>113</v>
      </c>
      <c r="E76" s="491"/>
      <c r="F76" s="491">
        <v>60000</v>
      </c>
      <c r="G76" s="493"/>
      <c r="H76" s="493">
        <v>42341</v>
      </c>
    </row>
    <row r="77" spans="1:8" s="87" customFormat="1" ht="11.25" x14ac:dyDescent="0.2">
      <c r="A77" s="1009" t="s">
        <v>592</v>
      </c>
      <c r="B77" s="1017"/>
      <c r="C77" s="1017"/>
      <c r="D77" s="1017"/>
      <c r="E77" s="1017"/>
      <c r="F77" s="1017"/>
      <c r="G77" s="1017"/>
      <c r="H77" s="1017"/>
    </row>
    <row r="78" spans="1:8" s="87" customFormat="1" ht="11.25" x14ac:dyDescent="0.2">
      <c r="A78" s="1015" t="s">
        <v>604</v>
      </c>
      <c r="B78" s="1016"/>
      <c r="C78" s="1016"/>
      <c r="D78" s="486" t="s">
        <v>557</v>
      </c>
      <c r="E78" s="487">
        <v>4018</v>
      </c>
      <c r="F78" s="487"/>
      <c r="G78" s="488">
        <v>42369</v>
      </c>
      <c r="H78" s="489"/>
    </row>
    <row r="79" spans="1:8" s="87" customFormat="1" ht="11.25" x14ac:dyDescent="0.2">
      <c r="A79" s="1015" t="s">
        <v>1228</v>
      </c>
      <c r="B79" s="1016"/>
      <c r="C79" s="1016"/>
      <c r="D79" s="486" t="s">
        <v>561</v>
      </c>
      <c r="E79" s="487"/>
      <c r="F79" s="487">
        <v>4018</v>
      </c>
      <c r="G79" s="488"/>
      <c r="H79" s="488">
        <v>42369</v>
      </c>
    </row>
    <row r="80" spans="1:8" s="87" customFormat="1" ht="11.25" x14ac:dyDescent="0.2">
      <c r="A80" s="1015" t="s">
        <v>605</v>
      </c>
      <c r="B80" s="1016"/>
      <c r="C80" s="1016"/>
      <c r="D80" s="486" t="s">
        <v>117</v>
      </c>
      <c r="E80" s="487">
        <v>1366</v>
      </c>
      <c r="F80" s="487"/>
      <c r="G80" s="488"/>
      <c r="H80" s="488">
        <v>42369</v>
      </c>
    </row>
    <row r="81" spans="1:9" s="87" customFormat="1" ht="22.5" x14ac:dyDescent="0.2">
      <c r="A81" s="1015" t="s">
        <v>1229</v>
      </c>
      <c r="B81" s="1016"/>
      <c r="C81" s="1016"/>
      <c r="D81" s="479" t="s">
        <v>562</v>
      </c>
      <c r="E81" s="487"/>
      <c r="F81" s="487">
        <v>1366</v>
      </c>
      <c r="G81" s="488"/>
      <c r="H81" s="488">
        <v>42369</v>
      </c>
    </row>
    <row r="82" spans="1:9" s="87" customFormat="1" ht="27.75" customHeight="1" x14ac:dyDescent="0.2">
      <c r="A82" s="1015" t="s">
        <v>606</v>
      </c>
      <c r="B82" s="1017"/>
      <c r="C82" s="1017"/>
      <c r="D82" s="1017"/>
      <c r="E82" s="1017"/>
      <c r="F82" s="1017"/>
      <c r="G82" s="1017"/>
      <c r="H82" s="1017"/>
    </row>
    <row r="83" spans="1:9" s="87" customFormat="1" ht="11.25" x14ac:dyDescent="0.2">
      <c r="A83" s="1009" t="s">
        <v>1230</v>
      </c>
      <c r="B83" s="1018"/>
      <c r="C83" s="1018"/>
      <c r="D83" s="490" t="s">
        <v>563</v>
      </c>
      <c r="E83" s="496"/>
      <c r="F83" s="496" t="s">
        <v>564</v>
      </c>
      <c r="G83" s="493"/>
      <c r="H83" s="493">
        <v>42369</v>
      </c>
    </row>
    <row r="84" spans="1:9" s="87" customFormat="1" ht="11.25" x14ac:dyDescent="0.2">
      <c r="A84" s="1009" t="s">
        <v>607</v>
      </c>
      <c r="B84" s="1018"/>
      <c r="C84" s="1018"/>
      <c r="D84" s="490" t="s">
        <v>131</v>
      </c>
      <c r="E84" s="496"/>
      <c r="F84" s="496" t="s">
        <v>565</v>
      </c>
      <c r="G84" s="493"/>
      <c r="H84" s="493">
        <v>42369</v>
      </c>
    </row>
    <row r="85" spans="1:9" s="87" customFormat="1" ht="23.25" customHeight="1" x14ac:dyDescent="0.2">
      <c r="A85" s="1011" t="s">
        <v>1231</v>
      </c>
      <c r="B85" s="1012"/>
      <c r="C85" s="1012"/>
      <c r="D85" s="1013"/>
      <c r="E85" s="1013"/>
      <c r="F85" s="1013"/>
      <c r="G85" s="1013"/>
      <c r="H85" s="1013"/>
    </row>
    <row r="86" spans="1:9" s="87" customFormat="1" ht="11.25" x14ac:dyDescent="0.2">
      <c r="A86" s="1014" t="s">
        <v>111</v>
      </c>
      <c r="B86" s="1014"/>
      <c r="C86" s="1014"/>
      <c r="D86" s="497"/>
      <c r="E86" s="498">
        <f>SUM(E50:E51,E53:E54,E56:E57,E59:E62,E64:E65,E67:E69,E71:E73,E75,E78:E81,E83:E84)</f>
        <v>1256034</v>
      </c>
      <c r="F86" s="498">
        <f>SUM(F50:F51,F53:F54,F56:F57,F59:F62,F64:F65,F68:F69,F72:F73,F75:F76,F78:F81,F83:F84)</f>
        <v>1256034</v>
      </c>
      <c r="G86" s="499"/>
      <c r="H86" s="500"/>
    </row>
    <row r="87" spans="1:9" s="87" customFormat="1" ht="11.25" x14ac:dyDescent="0.2">
      <c r="C87" s="89"/>
    </row>
    <row r="88" spans="1:9" s="87" customFormat="1" ht="11.25" x14ac:dyDescent="0.2">
      <c r="A88" s="742" t="s">
        <v>211</v>
      </c>
      <c r="B88" s="742"/>
      <c r="C88" s="742"/>
      <c r="D88" s="742"/>
      <c r="E88" s="742"/>
      <c r="F88" s="742"/>
      <c r="G88" s="742"/>
      <c r="H88" s="742"/>
      <c r="I88" s="742"/>
    </row>
    <row r="89" spans="1:9" s="87" customFormat="1" ht="11.25" x14ac:dyDescent="0.2">
      <c r="C89" s="89"/>
    </row>
    <row r="90" spans="1:9" s="151" customFormat="1" ht="31.5" x14ac:dyDescent="0.25">
      <c r="A90" s="743" t="s">
        <v>101</v>
      </c>
      <c r="B90" s="744"/>
      <c r="C90" s="442" t="s">
        <v>102</v>
      </c>
      <c r="D90" s="442" t="s">
        <v>103</v>
      </c>
      <c r="E90" s="442" t="s">
        <v>104</v>
      </c>
      <c r="F90" s="442" t="s">
        <v>105</v>
      </c>
      <c r="G90" s="442" t="s">
        <v>94</v>
      </c>
    </row>
    <row r="91" spans="1:9" s="87" customFormat="1" ht="35.25" customHeight="1" x14ac:dyDescent="0.2">
      <c r="A91" s="1007" t="s">
        <v>612</v>
      </c>
      <c r="B91" s="1008"/>
      <c r="C91" s="504" t="s">
        <v>566</v>
      </c>
      <c r="D91" s="505">
        <v>41325</v>
      </c>
      <c r="E91" s="505">
        <v>0</v>
      </c>
      <c r="F91" s="506">
        <v>42369</v>
      </c>
      <c r="G91" s="506">
        <v>42369</v>
      </c>
    </row>
    <row r="92" spans="1:9" s="87" customFormat="1" ht="24" customHeight="1" x14ac:dyDescent="0.2">
      <c r="A92" s="1009" t="s">
        <v>613</v>
      </c>
      <c r="B92" s="1010"/>
      <c r="C92" s="490" t="s">
        <v>567</v>
      </c>
      <c r="D92" s="492">
        <v>14450</v>
      </c>
      <c r="E92" s="492">
        <v>0</v>
      </c>
      <c r="F92" s="147">
        <v>42369</v>
      </c>
      <c r="G92" s="147">
        <v>42369</v>
      </c>
    </row>
    <row r="93" spans="1:9" s="87" customFormat="1" ht="11.25" x14ac:dyDescent="0.2">
      <c r="A93" s="1009" t="s">
        <v>608</v>
      </c>
      <c r="B93" s="1010"/>
      <c r="C93" s="490" t="s">
        <v>568</v>
      </c>
      <c r="D93" s="492"/>
      <c r="E93" s="492">
        <v>22251</v>
      </c>
      <c r="F93" s="147">
        <v>42369</v>
      </c>
      <c r="G93" s="147">
        <v>42369</v>
      </c>
    </row>
    <row r="94" spans="1:9" s="87" customFormat="1" ht="11.25" x14ac:dyDescent="0.2">
      <c r="A94" s="1009" t="s">
        <v>609</v>
      </c>
      <c r="B94" s="1010"/>
      <c r="C94" s="490" t="s">
        <v>569</v>
      </c>
      <c r="D94" s="492"/>
      <c r="E94" s="492">
        <v>12994</v>
      </c>
      <c r="F94" s="147">
        <v>42369</v>
      </c>
      <c r="G94" s="147">
        <v>42369</v>
      </c>
    </row>
    <row r="95" spans="1:9" s="87" customFormat="1" ht="11.25" x14ac:dyDescent="0.2">
      <c r="A95" s="1009" t="s">
        <v>610</v>
      </c>
      <c r="B95" s="1010"/>
      <c r="C95" s="490" t="s">
        <v>570</v>
      </c>
      <c r="D95" s="492"/>
      <c r="E95" s="492">
        <v>9359</v>
      </c>
      <c r="F95" s="147">
        <v>42369</v>
      </c>
      <c r="G95" s="147">
        <v>42369</v>
      </c>
    </row>
    <row r="96" spans="1:9" s="87" customFormat="1" ht="11.25" x14ac:dyDescent="0.2">
      <c r="A96" s="1003" t="s">
        <v>611</v>
      </c>
      <c r="B96" s="1004"/>
      <c r="C96" s="507" t="s">
        <v>571</v>
      </c>
      <c r="D96" s="508"/>
      <c r="E96" s="508">
        <v>1087</v>
      </c>
      <c r="F96" s="509">
        <v>42369</v>
      </c>
      <c r="G96" s="509">
        <v>42369</v>
      </c>
    </row>
    <row r="97" spans="1:9" s="87" customFormat="1" ht="11.25" customHeight="1" x14ac:dyDescent="0.2">
      <c r="A97" s="1005" t="s">
        <v>111</v>
      </c>
      <c r="B97" s="1006"/>
      <c r="C97" s="501"/>
      <c r="D97" s="90">
        <f>SUM(D91:D96)</f>
        <v>55775</v>
      </c>
      <c r="E97" s="90">
        <f>SUM(E91:E96)</f>
        <v>45691</v>
      </c>
      <c r="F97" s="502"/>
      <c r="G97" s="502"/>
    </row>
    <row r="98" spans="1:9" s="87" customFormat="1" ht="11.25" x14ac:dyDescent="0.2">
      <c r="C98" s="89"/>
    </row>
    <row r="99" spans="1:9" s="87" customFormat="1" ht="11.25" customHeight="1" x14ac:dyDescent="0.2">
      <c r="A99" s="738" t="s">
        <v>212</v>
      </c>
      <c r="B99" s="738"/>
      <c r="C99" s="738"/>
      <c r="D99" s="738"/>
      <c r="E99" s="738"/>
      <c r="F99" s="738"/>
      <c r="G99" s="738"/>
      <c r="H99" s="738"/>
      <c r="I99" s="738"/>
    </row>
    <row r="100" spans="1:9" s="87" customFormat="1" ht="11.25" customHeight="1" x14ac:dyDescent="0.2"/>
    <row r="101" spans="1:9" s="87" customFormat="1" ht="11.25" customHeight="1" x14ac:dyDescent="0.2">
      <c r="A101" s="739" t="s">
        <v>614</v>
      </c>
      <c r="B101" s="740"/>
      <c r="C101" s="740"/>
      <c r="D101" s="740"/>
      <c r="E101" s="740"/>
      <c r="F101" s="740"/>
      <c r="G101" s="740"/>
      <c r="H101" s="740"/>
      <c r="I101" s="741"/>
    </row>
    <row r="102" spans="1:9" s="87" customFormat="1" ht="11.25" x14ac:dyDescent="0.2">
      <c r="C102" s="89"/>
    </row>
    <row r="103" spans="1:9" s="88" customFormat="1" ht="10.5" x14ac:dyDescent="0.15">
      <c r="A103" s="742" t="s">
        <v>213</v>
      </c>
      <c r="B103" s="742"/>
      <c r="C103" s="742"/>
      <c r="D103" s="742"/>
      <c r="E103" s="742"/>
      <c r="F103" s="742"/>
      <c r="G103" s="742"/>
      <c r="H103" s="742"/>
      <c r="I103" s="742"/>
    </row>
    <row r="104" spans="1:9" s="87" customFormat="1" ht="11.25" x14ac:dyDescent="0.2"/>
    <row r="105" spans="1:9" s="87" customFormat="1" ht="34.5" customHeight="1" x14ac:dyDescent="0.2">
      <c r="A105" s="739" t="s">
        <v>615</v>
      </c>
      <c r="B105" s="740"/>
      <c r="C105" s="740"/>
      <c r="D105" s="740"/>
      <c r="E105" s="740"/>
      <c r="F105" s="740"/>
      <c r="G105" s="740"/>
      <c r="H105" s="740"/>
      <c r="I105" s="741"/>
    </row>
    <row r="106" spans="1:9" s="87" customFormat="1" ht="23.25" customHeight="1" x14ac:dyDescent="0.2">
      <c r="A106" s="739" t="s">
        <v>616</v>
      </c>
      <c r="B106" s="740"/>
      <c r="C106" s="740"/>
      <c r="D106" s="740"/>
      <c r="E106" s="740"/>
      <c r="F106" s="740"/>
      <c r="G106" s="740"/>
      <c r="H106" s="740"/>
      <c r="I106" s="741"/>
    </row>
    <row r="107" spans="1:9" s="87" customFormat="1" ht="12.75" customHeight="1" x14ac:dyDescent="0.2">
      <c r="A107" s="739" t="s">
        <v>572</v>
      </c>
      <c r="B107" s="740"/>
      <c r="C107" s="740"/>
      <c r="D107" s="740"/>
      <c r="E107" s="740"/>
      <c r="F107" s="740"/>
      <c r="G107" s="740"/>
      <c r="H107" s="740"/>
      <c r="I107" s="741"/>
    </row>
    <row r="108" spans="1:9" s="28" customFormat="1" x14ac:dyDescent="0.2"/>
    <row r="109" spans="1:9" s="28" customFormat="1" x14ac:dyDescent="0.2">
      <c r="A109" s="342"/>
    </row>
    <row r="110" spans="1:9" s="28" customFormat="1" x14ac:dyDescent="0.2">
      <c r="A110" s="70"/>
      <c r="E110" s="1001"/>
      <c r="F110" s="1002"/>
    </row>
    <row r="111" spans="1:9" s="28" customFormat="1" x14ac:dyDescent="0.2">
      <c r="E111" s="1001"/>
      <c r="F111" s="1002"/>
    </row>
    <row r="112" spans="1:9" s="28" customFormat="1" x14ac:dyDescent="0.2"/>
    <row r="113" s="28" customFormat="1" x14ac:dyDescent="0.2"/>
    <row r="114" s="28" customFormat="1" x14ac:dyDescent="0.2"/>
    <row r="115" s="28" customFormat="1" x14ac:dyDescent="0.2"/>
    <row r="116" s="28" customFormat="1" x14ac:dyDescent="0.2"/>
    <row r="117" s="28" customFormat="1" x14ac:dyDescent="0.2"/>
  </sheetData>
  <mergeCells count="88">
    <mergeCell ref="A3:I3"/>
    <mergeCell ref="A5:B5"/>
    <mergeCell ref="D5:I5"/>
    <mergeCell ref="A6:B6"/>
    <mergeCell ref="D6:I6"/>
    <mergeCell ref="F24:I24"/>
    <mergeCell ref="F25:I25"/>
    <mergeCell ref="F26:I26"/>
    <mergeCell ref="A19:I19"/>
    <mergeCell ref="D7:I7"/>
    <mergeCell ref="A8:B8"/>
    <mergeCell ref="D8:I8"/>
    <mergeCell ref="A9:B9"/>
    <mergeCell ref="D9:I9"/>
    <mergeCell ref="A11:I11"/>
    <mergeCell ref="A15:A16"/>
    <mergeCell ref="F21:I21"/>
    <mergeCell ref="F22:I22"/>
    <mergeCell ref="F23:I23"/>
    <mergeCell ref="D36:I36"/>
    <mergeCell ref="D37:I37"/>
    <mergeCell ref="C38:I38"/>
    <mergeCell ref="A40:I40"/>
    <mergeCell ref="C42:I42"/>
    <mergeCell ref="A28:I28"/>
    <mergeCell ref="D30:I30"/>
    <mergeCell ref="D31:I31"/>
    <mergeCell ref="C32:I32"/>
    <mergeCell ref="A34:I34"/>
    <mergeCell ref="A54:C54"/>
    <mergeCell ref="C43:I43"/>
    <mergeCell ref="C44:I44"/>
    <mergeCell ref="C45:I45"/>
    <mergeCell ref="A47:I47"/>
    <mergeCell ref="A49:C49"/>
    <mergeCell ref="A50:C50"/>
    <mergeCell ref="A51:C51"/>
    <mergeCell ref="A52:H52"/>
    <mergeCell ref="A53:C53"/>
    <mergeCell ref="A55:H55"/>
    <mergeCell ref="A56:C56"/>
    <mergeCell ref="A57:C57"/>
    <mergeCell ref="A58:H58"/>
    <mergeCell ref="A59:C59"/>
    <mergeCell ref="A60:C60"/>
    <mergeCell ref="A61:C61"/>
    <mergeCell ref="A62:C62"/>
    <mergeCell ref="A63:H63"/>
    <mergeCell ref="A64:C64"/>
    <mergeCell ref="A65:C65"/>
    <mergeCell ref="A66:H66"/>
    <mergeCell ref="A67:C67"/>
    <mergeCell ref="A68:C68"/>
    <mergeCell ref="A69:C69"/>
    <mergeCell ref="A70:H70"/>
    <mergeCell ref="A71:C71"/>
    <mergeCell ref="A72:C72"/>
    <mergeCell ref="A73:C73"/>
    <mergeCell ref="A74:H74"/>
    <mergeCell ref="A75:C75"/>
    <mergeCell ref="A76:C76"/>
    <mergeCell ref="A77:H77"/>
    <mergeCell ref="A78:C78"/>
    <mergeCell ref="A79:C79"/>
    <mergeCell ref="A85:H85"/>
    <mergeCell ref="A86:C86"/>
    <mergeCell ref="A88:I88"/>
    <mergeCell ref="A90:B90"/>
    <mergeCell ref="A80:C80"/>
    <mergeCell ref="A81:C81"/>
    <mergeCell ref="A82:H82"/>
    <mergeCell ref="A83:C83"/>
    <mergeCell ref="A84:C84"/>
    <mergeCell ref="A96:B96"/>
    <mergeCell ref="A97:B97"/>
    <mergeCell ref="A99:I99"/>
    <mergeCell ref="A101:I101"/>
    <mergeCell ref="A91:B91"/>
    <mergeCell ref="A92:B92"/>
    <mergeCell ref="A93:B93"/>
    <mergeCell ref="A94:B94"/>
    <mergeCell ref="A95:B95"/>
    <mergeCell ref="E110:F110"/>
    <mergeCell ref="E111:F111"/>
    <mergeCell ref="A103:I103"/>
    <mergeCell ref="A105:I105"/>
    <mergeCell ref="A106:I106"/>
    <mergeCell ref="A107:I107"/>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11" enableFormatConditionsCalculation="0">
    <tabColor rgb="FF92D050"/>
  </sheetPr>
  <dimension ref="A1:AE68"/>
  <sheetViews>
    <sheetView tabSelected="1" zoomScaleNormal="100" workbookViewId="0"/>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799" t="s">
        <v>91</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1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19"/>
      <c r="B4" s="812"/>
      <c r="C4" s="81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06"/>
      <c r="B5" s="814"/>
      <c r="C5" s="81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6827500</v>
      </c>
      <c r="F6" s="29">
        <f>SUM(F7:F9)</f>
        <v>7332067</v>
      </c>
      <c r="G6" s="29">
        <f>SUM(G7:G9)</f>
        <v>7344050</v>
      </c>
      <c r="H6" s="24">
        <f t="shared" ref="H6:H36" si="0">G6/F6*100</f>
        <v>100.16343276732196</v>
      </c>
      <c r="I6" s="29">
        <f>SUM(I7:I9)</f>
        <v>7168078</v>
      </c>
      <c r="J6" s="29">
        <f>SUM(J7:J9)</f>
        <v>1980300</v>
      </c>
      <c r="K6" s="29">
        <f t="shared" ref="K6:X6" si="1">SUM(K7:K9)</f>
        <v>2277250</v>
      </c>
      <c r="L6" s="29">
        <f t="shared" si="1"/>
        <v>2289233</v>
      </c>
      <c r="M6" s="24">
        <f t="shared" ref="M6:M33" si="2">L6/K6*100</f>
        <v>100.52620485234382</v>
      </c>
      <c r="N6" s="30">
        <f t="shared" si="1"/>
        <v>2223214</v>
      </c>
      <c r="O6" s="29">
        <f t="shared" si="1"/>
        <v>4847200</v>
      </c>
      <c r="P6" s="29">
        <f t="shared" si="1"/>
        <v>5054817</v>
      </c>
      <c r="Q6" s="29">
        <f t="shared" si="1"/>
        <v>5054817</v>
      </c>
      <c r="R6" s="24">
        <f t="shared" ref="R6:R33" si="3">Q6/P6*100</f>
        <v>100</v>
      </c>
      <c r="S6" s="29">
        <f t="shared" si="1"/>
        <v>4944864</v>
      </c>
      <c r="T6" s="29">
        <f t="shared" si="1"/>
        <v>0</v>
      </c>
      <c r="U6" s="29">
        <f t="shared" si="1"/>
        <v>0</v>
      </c>
      <c r="V6" s="29">
        <f t="shared" si="1"/>
        <v>0</v>
      </c>
      <c r="W6" s="24"/>
      <c r="X6" s="29">
        <f t="shared" si="1"/>
        <v>0</v>
      </c>
    </row>
    <row r="7" spans="1:24" s="6" customFormat="1" ht="9.9499999999999993" customHeight="1" x14ac:dyDescent="0.2">
      <c r="A7" s="169" t="s">
        <v>2</v>
      </c>
      <c r="B7" s="823" t="s">
        <v>44</v>
      </c>
      <c r="C7" s="824"/>
      <c r="D7" s="170" t="s">
        <v>25</v>
      </c>
      <c r="E7" s="32">
        <f t="shared" ref="E7:G10" si="4">SUM(J7,O7)</f>
        <v>770000</v>
      </c>
      <c r="F7" s="33">
        <f t="shared" si="4"/>
        <v>936301</v>
      </c>
      <c r="G7" s="33">
        <f t="shared" si="4"/>
        <v>948584</v>
      </c>
      <c r="H7" s="9">
        <f t="shared" si="0"/>
        <v>101.3118644538455</v>
      </c>
      <c r="I7" s="34">
        <f>SUM(N7,S7)</f>
        <v>931237</v>
      </c>
      <c r="J7" s="193">
        <v>770000</v>
      </c>
      <c r="K7" s="35">
        <v>936301</v>
      </c>
      <c r="L7" s="35">
        <v>948584</v>
      </c>
      <c r="M7" s="9">
        <f t="shared" si="2"/>
        <v>101.3118644538455</v>
      </c>
      <c r="N7" s="36">
        <v>931237</v>
      </c>
      <c r="O7" s="195"/>
      <c r="P7" s="35"/>
      <c r="Q7" s="35"/>
      <c r="R7" s="9" t="e">
        <f t="shared" si="3"/>
        <v>#DIV/0!</v>
      </c>
      <c r="S7" s="36"/>
      <c r="T7" s="195"/>
      <c r="U7" s="35"/>
      <c r="V7" s="35"/>
      <c r="W7" s="9" t="e">
        <f t="shared" ref="W7:W11" si="5">V7/U7*100</f>
        <v>#DIV/0!</v>
      </c>
      <c r="X7" s="59"/>
    </row>
    <row r="8" spans="1:24" s="6" customFormat="1" ht="9.9499999999999993" customHeight="1" x14ac:dyDescent="0.2">
      <c r="A8" s="171" t="s">
        <v>3</v>
      </c>
      <c r="B8" s="825" t="s">
        <v>45</v>
      </c>
      <c r="C8" s="826"/>
      <c r="D8" s="172" t="s">
        <v>25</v>
      </c>
      <c r="E8" s="38">
        <f t="shared" si="4"/>
        <v>300</v>
      </c>
      <c r="F8" s="39">
        <f t="shared" si="4"/>
        <v>300</v>
      </c>
      <c r="G8" s="39">
        <f t="shared" si="4"/>
        <v>0</v>
      </c>
      <c r="H8" s="10">
        <f t="shared" si="0"/>
        <v>0</v>
      </c>
      <c r="I8" s="40">
        <f>SUM(N8,S8)</f>
        <v>25</v>
      </c>
      <c r="J8" s="196">
        <v>300</v>
      </c>
      <c r="K8" s="157">
        <v>300</v>
      </c>
      <c r="L8" s="157"/>
      <c r="M8" s="158">
        <f t="shared" si="2"/>
        <v>0</v>
      </c>
      <c r="N8" s="198">
        <v>25</v>
      </c>
      <c r="O8" s="156"/>
      <c r="P8" s="157"/>
      <c r="Q8" s="157"/>
      <c r="R8" s="158" t="e">
        <f t="shared" si="3"/>
        <v>#DIV/0!</v>
      </c>
      <c r="S8" s="198"/>
      <c r="T8" s="156"/>
      <c r="U8" s="157"/>
      <c r="V8" s="157"/>
      <c r="W8" s="158" t="e">
        <f t="shared" si="5"/>
        <v>#DIV/0!</v>
      </c>
      <c r="X8" s="159"/>
    </row>
    <row r="9" spans="1:24" s="6" customFormat="1" ht="9.9499999999999993" customHeight="1" x14ac:dyDescent="0.2">
      <c r="A9" s="173" t="s">
        <v>4</v>
      </c>
      <c r="B9" s="174" t="s">
        <v>59</v>
      </c>
      <c r="C9" s="175"/>
      <c r="D9" s="176" t="s">
        <v>25</v>
      </c>
      <c r="E9" s="42">
        <f t="shared" si="4"/>
        <v>6057200</v>
      </c>
      <c r="F9" s="43">
        <f t="shared" si="4"/>
        <v>6395466</v>
      </c>
      <c r="G9" s="43">
        <f t="shared" si="4"/>
        <v>6395466</v>
      </c>
      <c r="H9" s="26">
        <f t="shared" si="0"/>
        <v>100</v>
      </c>
      <c r="I9" s="44">
        <f>SUM(N9,S9)</f>
        <v>6236816</v>
      </c>
      <c r="J9" s="199">
        <v>1210000</v>
      </c>
      <c r="K9" s="203">
        <v>1340649</v>
      </c>
      <c r="L9" s="203">
        <v>1340649</v>
      </c>
      <c r="M9" s="201">
        <f t="shared" si="2"/>
        <v>100</v>
      </c>
      <c r="N9" s="202">
        <v>1291952</v>
      </c>
      <c r="O9" s="160">
        <v>4847200</v>
      </c>
      <c r="P9" s="203">
        <v>5054817</v>
      </c>
      <c r="Q9" s="203">
        <v>5054817</v>
      </c>
      <c r="R9" s="201">
        <f t="shared" si="3"/>
        <v>100</v>
      </c>
      <c r="S9" s="202">
        <v>4944864</v>
      </c>
      <c r="T9" s="160"/>
      <c r="U9" s="203"/>
      <c r="V9" s="203"/>
      <c r="W9" s="201" t="e">
        <f t="shared" si="5"/>
        <v>#DIV/0!</v>
      </c>
      <c r="X9" s="161"/>
    </row>
    <row r="10" spans="1:24" s="6" customFormat="1" ht="9.9499999999999993" customHeight="1" x14ac:dyDescent="0.2">
      <c r="A10" s="168" t="s">
        <v>5</v>
      </c>
      <c r="B10" s="822" t="s">
        <v>7</v>
      </c>
      <c r="C10" s="822"/>
      <c r="D10" s="177" t="s">
        <v>25</v>
      </c>
      <c r="E10" s="45">
        <f t="shared" si="4"/>
        <v>0</v>
      </c>
      <c r="F10" s="45">
        <f t="shared" si="4"/>
        <v>58970</v>
      </c>
      <c r="G10" s="45">
        <f t="shared" si="4"/>
        <v>58970</v>
      </c>
      <c r="H10" s="24">
        <f t="shared" si="0"/>
        <v>100</v>
      </c>
      <c r="I10" s="46">
        <f>SUM(N10,S10)</f>
        <v>0</v>
      </c>
      <c r="J10" s="31"/>
      <c r="K10" s="45">
        <v>58970</v>
      </c>
      <c r="L10" s="45">
        <v>58970</v>
      </c>
      <c r="M10" s="24">
        <f t="shared" si="2"/>
        <v>100</v>
      </c>
      <c r="N10" s="46"/>
      <c r="O10" s="45"/>
      <c r="P10" s="45"/>
      <c r="Q10" s="45"/>
      <c r="R10" s="24" t="e">
        <f t="shared" si="3"/>
        <v>#DIV/0!</v>
      </c>
      <c r="S10" s="46"/>
      <c r="T10" s="45"/>
      <c r="U10" s="45"/>
      <c r="V10" s="45"/>
      <c r="W10" s="24" t="e">
        <f t="shared" si="5"/>
        <v>#DIV/0!</v>
      </c>
      <c r="X10" s="45"/>
    </row>
    <row r="11" spans="1:24" s="6" customFormat="1" ht="9.9499999999999993" customHeight="1" x14ac:dyDescent="0.2">
      <c r="A11" s="168" t="s">
        <v>6</v>
      </c>
      <c r="B11" s="822" t="s">
        <v>9</v>
      </c>
      <c r="C11" s="822"/>
      <c r="D11" s="177" t="s">
        <v>25</v>
      </c>
      <c r="E11" s="29">
        <f>SUM(E12:E31)</f>
        <v>6827500</v>
      </c>
      <c r="F11" s="29">
        <f>SUM(F12:F31)</f>
        <v>7332067</v>
      </c>
      <c r="G11" s="29">
        <f>SUM(G12:G31)</f>
        <v>7234029</v>
      </c>
      <c r="H11" s="24">
        <f t="shared" si="0"/>
        <v>98.662887286763748</v>
      </c>
      <c r="I11" s="30">
        <f>SUM(I12:I31)</f>
        <v>7074034</v>
      </c>
      <c r="J11" s="29">
        <f>SUM(J12:J31)</f>
        <v>1980300</v>
      </c>
      <c r="K11" s="29">
        <f>SUM(K12:K31)</f>
        <v>2277250</v>
      </c>
      <c r="L11" s="29">
        <f>SUM(L12:L31)</f>
        <v>2179212</v>
      </c>
      <c r="M11" s="24">
        <f t="shared" si="2"/>
        <v>95.694895158634324</v>
      </c>
      <c r="N11" s="30">
        <f>SUM(N12:N31)</f>
        <v>2129170</v>
      </c>
      <c r="O11" s="29">
        <f>SUM(O12:O31)</f>
        <v>4847200</v>
      </c>
      <c r="P11" s="29">
        <f>SUM(P12:P31)</f>
        <v>5054817</v>
      </c>
      <c r="Q11" s="29">
        <f>SUM(Q12:Q31)</f>
        <v>5054817</v>
      </c>
      <c r="R11" s="24">
        <f t="shared" si="3"/>
        <v>100</v>
      </c>
      <c r="S11" s="30">
        <f>SUM(S12:S31)</f>
        <v>4944864</v>
      </c>
      <c r="T11" s="29">
        <f>SUM(T12:T31)</f>
        <v>0</v>
      </c>
      <c r="U11" s="29">
        <f>SUM(U12:U31)</f>
        <v>0</v>
      </c>
      <c r="V11" s="29">
        <f>SUM(V12:V31)</f>
        <v>0</v>
      </c>
      <c r="W11" s="24" t="e">
        <f t="shared" si="5"/>
        <v>#DIV/0!</v>
      </c>
      <c r="X11" s="29">
        <f>SUM(X12:X31)</f>
        <v>0</v>
      </c>
    </row>
    <row r="12" spans="1:24" s="6" customFormat="1" ht="9.9499999999999993" customHeight="1" x14ac:dyDescent="0.2">
      <c r="A12" s="178" t="s">
        <v>8</v>
      </c>
      <c r="B12" s="827" t="s">
        <v>28</v>
      </c>
      <c r="C12" s="828"/>
      <c r="D12" s="179" t="s">
        <v>25</v>
      </c>
      <c r="E12" s="32">
        <f t="shared" ref="E12:I29" si="6">SUM(J12,O12)</f>
        <v>631602</v>
      </c>
      <c r="F12" s="33">
        <f t="shared" si="6"/>
        <v>718037</v>
      </c>
      <c r="G12" s="33">
        <f t="shared" si="6"/>
        <v>717691</v>
      </c>
      <c r="H12" s="9">
        <f t="shared" si="0"/>
        <v>99.9518130681288</v>
      </c>
      <c r="I12" s="34">
        <f t="shared" si="6"/>
        <v>748675</v>
      </c>
      <c r="J12" s="204">
        <v>601602</v>
      </c>
      <c r="K12" s="47">
        <v>709602</v>
      </c>
      <c r="L12" s="47">
        <v>709256</v>
      </c>
      <c r="M12" s="9">
        <f t="shared" si="2"/>
        <v>99.951240272716262</v>
      </c>
      <c r="N12" s="48">
        <v>743936</v>
      </c>
      <c r="O12" s="206">
        <v>30000</v>
      </c>
      <c r="P12" s="47">
        <v>8435</v>
      </c>
      <c r="Q12" s="47">
        <v>8435</v>
      </c>
      <c r="R12" s="9">
        <f t="shared" si="3"/>
        <v>100</v>
      </c>
      <c r="S12" s="50">
        <v>4739</v>
      </c>
      <c r="T12" s="274"/>
      <c r="U12" s="275"/>
      <c r="V12" s="275"/>
      <c r="W12" s="276" t="e">
        <f t="shared" ref="W12:W33" si="7">V12/U12*100</f>
        <v>#DIV/0!</v>
      </c>
      <c r="X12" s="51"/>
    </row>
    <row r="13" spans="1:24" s="6" customFormat="1" ht="9.9499999999999993" customHeight="1" x14ac:dyDescent="0.2">
      <c r="A13" s="180" t="s">
        <v>10</v>
      </c>
      <c r="B13" s="820" t="s">
        <v>29</v>
      </c>
      <c r="C13" s="821"/>
      <c r="D13" s="172" t="s">
        <v>25</v>
      </c>
      <c r="E13" s="38">
        <f t="shared" si="6"/>
        <v>740000</v>
      </c>
      <c r="F13" s="39">
        <f t="shared" si="6"/>
        <v>630000</v>
      </c>
      <c r="G13" s="39">
        <f t="shared" si="6"/>
        <v>551987</v>
      </c>
      <c r="H13" s="10">
        <f t="shared" si="0"/>
        <v>87.616984126984136</v>
      </c>
      <c r="I13" s="40">
        <f t="shared" si="6"/>
        <v>527974</v>
      </c>
      <c r="J13" s="208">
        <v>740000</v>
      </c>
      <c r="K13" s="157">
        <v>630000</v>
      </c>
      <c r="L13" s="157">
        <v>551987</v>
      </c>
      <c r="M13" s="158">
        <f t="shared" si="2"/>
        <v>87.616984126984136</v>
      </c>
      <c r="N13" s="198">
        <v>527974</v>
      </c>
      <c r="O13" s="156"/>
      <c r="P13" s="157"/>
      <c r="Q13" s="157"/>
      <c r="R13" s="158" t="e">
        <f t="shared" si="3"/>
        <v>#DIV/0!</v>
      </c>
      <c r="S13" s="198"/>
      <c r="T13" s="156"/>
      <c r="U13" s="157"/>
      <c r="V13" s="157"/>
      <c r="W13" s="261" t="e">
        <f t="shared" si="7"/>
        <v>#DIV/0!</v>
      </c>
      <c r="X13" s="159"/>
    </row>
    <row r="14" spans="1:24" s="6" customFormat="1" ht="9.9499999999999993" customHeight="1" x14ac:dyDescent="0.2">
      <c r="A14" s="180" t="s">
        <v>11</v>
      </c>
      <c r="B14" s="181" t="s">
        <v>60</v>
      </c>
      <c r="C14" s="182"/>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261" t="e">
        <f t="shared" si="7"/>
        <v>#DIV/0!</v>
      </c>
      <c r="X14" s="159"/>
    </row>
    <row r="15" spans="1:24" s="6" customFormat="1" ht="9.9499999999999993" customHeight="1" x14ac:dyDescent="0.2">
      <c r="A15" s="180" t="s">
        <v>12</v>
      </c>
      <c r="B15" s="820" t="s">
        <v>171</v>
      </c>
      <c r="C15" s="821"/>
      <c r="D15" s="172" t="s">
        <v>25</v>
      </c>
      <c r="E15" s="38">
        <f t="shared" si="6"/>
        <v>309000</v>
      </c>
      <c r="F15" s="39">
        <f t="shared" si="6"/>
        <v>325000</v>
      </c>
      <c r="G15" s="39">
        <f t="shared" si="6"/>
        <v>323465</v>
      </c>
      <c r="H15" s="10">
        <f t="shared" si="0"/>
        <v>99.527692307692305</v>
      </c>
      <c r="I15" s="40">
        <f t="shared" si="6"/>
        <v>426664</v>
      </c>
      <c r="J15" s="208">
        <v>309000</v>
      </c>
      <c r="K15" s="157">
        <v>325000</v>
      </c>
      <c r="L15" s="157">
        <v>323465</v>
      </c>
      <c r="M15" s="158">
        <f t="shared" si="2"/>
        <v>99.527692307692305</v>
      </c>
      <c r="N15" s="198">
        <v>426664</v>
      </c>
      <c r="O15" s="156"/>
      <c r="P15" s="157"/>
      <c r="Q15" s="157"/>
      <c r="R15" s="158" t="e">
        <f t="shared" si="3"/>
        <v>#DIV/0!</v>
      </c>
      <c r="S15" s="198"/>
      <c r="T15" s="156"/>
      <c r="U15" s="157"/>
      <c r="V15" s="157"/>
      <c r="W15" s="261" t="e">
        <f t="shared" si="7"/>
        <v>#DIV/0!</v>
      </c>
      <c r="X15" s="159"/>
    </row>
    <row r="16" spans="1:24" s="6" customFormat="1" ht="9.9499999999999993" customHeight="1" x14ac:dyDescent="0.2">
      <c r="A16" s="180" t="s">
        <v>13</v>
      </c>
      <c r="B16" s="820" t="s">
        <v>30</v>
      </c>
      <c r="C16" s="821"/>
      <c r="D16" s="172" t="s">
        <v>25</v>
      </c>
      <c r="E16" s="38">
        <f t="shared" si="6"/>
        <v>2000</v>
      </c>
      <c r="F16" s="39">
        <f t="shared" si="6"/>
        <v>0</v>
      </c>
      <c r="G16" s="39">
        <f t="shared" si="6"/>
        <v>0</v>
      </c>
      <c r="H16" s="10" t="e">
        <f t="shared" si="0"/>
        <v>#DIV/0!</v>
      </c>
      <c r="I16" s="40">
        <f t="shared" si="6"/>
        <v>1162</v>
      </c>
      <c r="J16" s="208">
        <v>2000</v>
      </c>
      <c r="K16" s="157"/>
      <c r="L16" s="157"/>
      <c r="M16" s="158" t="e">
        <f t="shared" si="2"/>
        <v>#DIV/0!</v>
      </c>
      <c r="N16" s="198">
        <v>1162</v>
      </c>
      <c r="O16" s="156"/>
      <c r="P16" s="157"/>
      <c r="Q16" s="157"/>
      <c r="R16" s="158" t="e">
        <f t="shared" si="3"/>
        <v>#DIV/0!</v>
      </c>
      <c r="S16" s="198"/>
      <c r="T16" s="156"/>
      <c r="U16" s="157"/>
      <c r="V16" s="157"/>
      <c r="W16" s="261" t="e">
        <f t="shared" si="7"/>
        <v>#DIV/0!</v>
      </c>
      <c r="X16" s="159"/>
    </row>
    <row r="17" spans="1:24" s="6" customFormat="1" ht="9.9499999999999993" customHeight="1" x14ac:dyDescent="0.2">
      <c r="A17" s="180" t="s">
        <v>14</v>
      </c>
      <c r="B17" s="181" t="s">
        <v>46</v>
      </c>
      <c r="C17" s="182"/>
      <c r="D17" s="172" t="s">
        <v>25</v>
      </c>
      <c r="E17" s="38">
        <f t="shared" si="6"/>
        <v>1000</v>
      </c>
      <c r="F17" s="39">
        <f t="shared" si="6"/>
        <v>0</v>
      </c>
      <c r="G17" s="39">
        <f t="shared" si="6"/>
        <v>0</v>
      </c>
      <c r="H17" s="10" t="e">
        <f t="shared" si="0"/>
        <v>#DIV/0!</v>
      </c>
      <c r="I17" s="40">
        <f t="shared" si="6"/>
        <v>0</v>
      </c>
      <c r="J17" s="208">
        <v>1000</v>
      </c>
      <c r="K17" s="157"/>
      <c r="L17" s="157"/>
      <c r="M17" s="158" t="e">
        <f t="shared" si="2"/>
        <v>#DIV/0!</v>
      </c>
      <c r="N17" s="198"/>
      <c r="O17" s="156"/>
      <c r="P17" s="157"/>
      <c r="Q17" s="157"/>
      <c r="R17" s="158" t="e">
        <f t="shared" si="3"/>
        <v>#DIV/0!</v>
      </c>
      <c r="S17" s="198"/>
      <c r="T17" s="156"/>
      <c r="U17" s="157"/>
      <c r="V17" s="157"/>
      <c r="W17" s="261" t="e">
        <f t="shared" si="7"/>
        <v>#DIV/0!</v>
      </c>
      <c r="X17" s="159"/>
    </row>
    <row r="18" spans="1:24" s="6" customFormat="1" ht="9.9499999999999993" customHeight="1" x14ac:dyDescent="0.2">
      <c r="A18" s="180" t="s">
        <v>15</v>
      </c>
      <c r="B18" s="820" t="s">
        <v>31</v>
      </c>
      <c r="C18" s="821"/>
      <c r="D18" s="172" t="s">
        <v>25</v>
      </c>
      <c r="E18" s="38">
        <f t="shared" si="6"/>
        <v>208790</v>
      </c>
      <c r="F18" s="39">
        <f t="shared" si="6"/>
        <v>186250</v>
      </c>
      <c r="G18" s="39">
        <f t="shared" si="6"/>
        <v>176234</v>
      </c>
      <c r="H18" s="10">
        <f t="shared" si="0"/>
        <v>94.622281879194631</v>
      </c>
      <c r="I18" s="40">
        <f t="shared" si="6"/>
        <v>185766</v>
      </c>
      <c r="J18" s="208">
        <v>199000</v>
      </c>
      <c r="K18" s="157">
        <v>183000</v>
      </c>
      <c r="L18" s="157">
        <v>172984</v>
      </c>
      <c r="M18" s="158">
        <f t="shared" si="2"/>
        <v>94.526775956284155</v>
      </c>
      <c r="N18" s="198">
        <v>185416</v>
      </c>
      <c r="O18" s="156">
        <v>9790</v>
      </c>
      <c r="P18" s="157">
        <v>3250</v>
      </c>
      <c r="Q18" s="157">
        <v>3250</v>
      </c>
      <c r="R18" s="158">
        <f t="shared" si="3"/>
        <v>100</v>
      </c>
      <c r="S18" s="198">
        <v>350</v>
      </c>
      <c r="T18" s="156"/>
      <c r="U18" s="157"/>
      <c r="V18" s="157"/>
      <c r="W18" s="261" t="e">
        <f t="shared" si="7"/>
        <v>#DIV/0!</v>
      </c>
      <c r="X18" s="159"/>
    </row>
    <row r="19" spans="1:24" s="11" customFormat="1" ht="9.9499999999999993" customHeight="1" x14ac:dyDescent="0.2">
      <c r="A19" s="180" t="s">
        <v>16</v>
      </c>
      <c r="B19" s="820" t="s">
        <v>32</v>
      </c>
      <c r="C19" s="821"/>
      <c r="D19" s="172" t="s">
        <v>25</v>
      </c>
      <c r="E19" s="38">
        <f t="shared" si="6"/>
        <v>3550000</v>
      </c>
      <c r="F19" s="39">
        <f t="shared" si="6"/>
        <v>3725154</v>
      </c>
      <c r="G19" s="39">
        <f t="shared" si="6"/>
        <v>3725154</v>
      </c>
      <c r="H19" s="10">
        <f t="shared" si="0"/>
        <v>100</v>
      </c>
      <c r="I19" s="40">
        <f t="shared" si="6"/>
        <v>3640526</v>
      </c>
      <c r="J19" s="209"/>
      <c r="K19" s="157"/>
      <c r="L19" s="157"/>
      <c r="M19" s="158" t="e">
        <f t="shared" si="2"/>
        <v>#DIV/0!</v>
      </c>
      <c r="N19" s="198"/>
      <c r="O19" s="156">
        <v>3550000</v>
      </c>
      <c r="P19" s="157">
        <v>3725154</v>
      </c>
      <c r="Q19" s="157">
        <v>3725154</v>
      </c>
      <c r="R19" s="158">
        <f t="shared" si="3"/>
        <v>100</v>
      </c>
      <c r="S19" s="198">
        <v>3640526</v>
      </c>
      <c r="T19" s="156"/>
      <c r="U19" s="157"/>
      <c r="V19" s="157"/>
      <c r="W19" s="261" t="e">
        <f t="shared" si="7"/>
        <v>#DIV/0!</v>
      </c>
      <c r="X19" s="159"/>
    </row>
    <row r="20" spans="1:24" s="6" customFormat="1" ht="9.9499999999999993" customHeight="1" x14ac:dyDescent="0.2">
      <c r="A20" s="180" t="s">
        <v>17</v>
      </c>
      <c r="B20" s="820" t="s">
        <v>47</v>
      </c>
      <c r="C20" s="821"/>
      <c r="D20" s="172" t="s">
        <v>25</v>
      </c>
      <c r="E20" s="38">
        <f t="shared" si="6"/>
        <v>1221910</v>
      </c>
      <c r="F20" s="39">
        <f t="shared" si="6"/>
        <v>1273738</v>
      </c>
      <c r="G20" s="39">
        <f t="shared" si="6"/>
        <v>1273738</v>
      </c>
      <c r="H20" s="10">
        <f t="shared" si="0"/>
        <v>100</v>
      </c>
      <c r="I20" s="40">
        <f t="shared" si="6"/>
        <v>1246437</v>
      </c>
      <c r="J20" s="208"/>
      <c r="K20" s="157"/>
      <c r="L20" s="157"/>
      <c r="M20" s="158" t="e">
        <f t="shared" si="2"/>
        <v>#DIV/0!</v>
      </c>
      <c r="N20" s="198"/>
      <c r="O20" s="156">
        <v>1221910</v>
      </c>
      <c r="P20" s="157">
        <v>1273738</v>
      </c>
      <c r="Q20" s="157">
        <v>1273738</v>
      </c>
      <c r="R20" s="158">
        <f t="shared" si="3"/>
        <v>100</v>
      </c>
      <c r="S20" s="198">
        <v>1246437</v>
      </c>
      <c r="T20" s="156"/>
      <c r="U20" s="157"/>
      <c r="V20" s="157"/>
      <c r="W20" s="261" t="e">
        <f t="shared" si="7"/>
        <v>#DIV/0!</v>
      </c>
      <c r="X20" s="159"/>
    </row>
    <row r="21" spans="1:24" s="6" customFormat="1" ht="9.9499999999999993" customHeight="1" x14ac:dyDescent="0.2">
      <c r="A21" s="180" t="s">
        <v>18</v>
      </c>
      <c r="B21" s="820" t="s">
        <v>48</v>
      </c>
      <c r="C21" s="821"/>
      <c r="D21" s="172" t="s">
        <v>25</v>
      </c>
      <c r="E21" s="38">
        <f t="shared" si="6"/>
        <v>45500</v>
      </c>
      <c r="F21" s="39">
        <f t="shared" si="6"/>
        <v>54240</v>
      </c>
      <c r="G21" s="39">
        <f t="shared" si="6"/>
        <v>51308</v>
      </c>
      <c r="H21" s="10">
        <f t="shared" si="0"/>
        <v>94.594395280235986</v>
      </c>
      <c r="I21" s="40">
        <f t="shared" si="6"/>
        <v>52812</v>
      </c>
      <c r="J21" s="208">
        <v>10000</v>
      </c>
      <c r="K21" s="157">
        <v>10000</v>
      </c>
      <c r="L21" s="157">
        <v>7068</v>
      </c>
      <c r="M21" s="158">
        <f t="shared" si="2"/>
        <v>70.679999999999993</v>
      </c>
      <c r="N21" s="198"/>
      <c r="O21" s="156">
        <v>35500</v>
      </c>
      <c r="P21" s="157">
        <v>44240</v>
      </c>
      <c r="Q21" s="157">
        <v>44240</v>
      </c>
      <c r="R21" s="158">
        <f t="shared" si="3"/>
        <v>100</v>
      </c>
      <c r="S21" s="198">
        <v>52812</v>
      </c>
      <c r="T21" s="156"/>
      <c r="U21" s="157"/>
      <c r="V21" s="157"/>
      <c r="W21" s="261" t="e">
        <f t="shared" si="7"/>
        <v>#DIV/0!</v>
      </c>
      <c r="X21" s="159"/>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261" t="e">
        <f t="shared" si="7"/>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261" t="e">
        <f t="shared" si="7"/>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261" t="e">
        <f t="shared" si="7"/>
        <v>#DIV/0!</v>
      </c>
      <c r="X24" s="159"/>
    </row>
    <row r="25" spans="1:24" s="13" customFormat="1" ht="9.9499999999999993" customHeight="1" x14ac:dyDescent="0.2">
      <c r="A25" s="679" t="s">
        <v>22</v>
      </c>
      <c r="B25" s="680" t="s">
        <v>62</v>
      </c>
      <c r="C25" s="681"/>
      <c r="D25" s="672" t="s">
        <v>25</v>
      </c>
      <c r="E25" s="673">
        <f t="shared" si="6"/>
        <v>1000</v>
      </c>
      <c r="F25" s="674">
        <f t="shared" si="6"/>
        <v>1000</v>
      </c>
      <c r="G25" s="674">
        <f t="shared" si="6"/>
        <v>665</v>
      </c>
      <c r="H25" s="675">
        <f>G25/F25*100</f>
        <v>66.5</v>
      </c>
      <c r="I25" s="676">
        <f>SUM(N25,S25)</f>
        <v>4175</v>
      </c>
      <c r="J25" s="208">
        <v>1000</v>
      </c>
      <c r="K25" s="213">
        <v>1000</v>
      </c>
      <c r="L25" s="213">
        <v>665</v>
      </c>
      <c r="M25" s="158">
        <f t="shared" si="2"/>
        <v>66.5</v>
      </c>
      <c r="N25" s="214">
        <v>4175</v>
      </c>
      <c r="O25" s="215"/>
      <c r="P25" s="213"/>
      <c r="Q25" s="213"/>
      <c r="R25" s="158" t="e">
        <f t="shared" si="3"/>
        <v>#DIV/0!</v>
      </c>
      <c r="S25" s="216"/>
      <c r="T25" s="218"/>
      <c r="U25" s="197"/>
      <c r="V25" s="197"/>
      <c r="W25" s="261" t="e">
        <f t="shared" si="7"/>
        <v>#DIV/0!</v>
      </c>
      <c r="X25" s="219"/>
    </row>
    <row r="26" spans="1:24" s="6" customFormat="1" ht="9.9499999999999993" customHeight="1" x14ac:dyDescent="0.2">
      <c r="A26" s="671" t="s">
        <v>23</v>
      </c>
      <c r="B26" s="839" t="s">
        <v>63</v>
      </c>
      <c r="C26" s="840"/>
      <c r="D26" s="672" t="s">
        <v>25</v>
      </c>
      <c r="E26" s="673">
        <f t="shared" si="6"/>
        <v>16698</v>
      </c>
      <c r="F26" s="674">
        <f t="shared" si="6"/>
        <v>147347</v>
      </c>
      <c r="G26" s="674">
        <f t="shared" si="6"/>
        <v>143671</v>
      </c>
      <c r="H26" s="675">
        <f t="shared" si="0"/>
        <v>97.50520879284953</v>
      </c>
      <c r="I26" s="676">
        <f t="shared" si="6"/>
        <v>40415</v>
      </c>
      <c r="J26" s="208">
        <v>16698</v>
      </c>
      <c r="K26" s="197">
        <v>147347</v>
      </c>
      <c r="L26" s="197">
        <v>143671</v>
      </c>
      <c r="M26" s="158">
        <f t="shared" si="2"/>
        <v>97.50520879284953</v>
      </c>
      <c r="N26" s="198">
        <v>40415</v>
      </c>
      <c r="O26" s="218"/>
      <c r="P26" s="197"/>
      <c r="Q26" s="197"/>
      <c r="R26" s="158" t="e">
        <f t="shared" si="3"/>
        <v>#DIV/0!</v>
      </c>
      <c r="S26" s="214"/>
      <c r="T26" s="218"/>
      <c r="U26" s="197"/>
      <c r="V26" s="197"/>
      <c r="W26" s="261" t="e">
        <f t="shared" si="7"/>
        <v>#DIV/0!</v>
      </c>
      <c r="X26" s="219"/>
    </row>
    <row r="27" spans="1:24" s="13" customFormat="1" ht="9.9499999999999993" customHeight="1" x14ac:dyDescent="0.2">
      <c r="A27" s="180" t="s">
        <v>43</v>
      </c>
      <c r="B27" s="181" t="s">
        <v>64</v>
      </c>
      <c r="C27" s="182"/>
      <c r="D27" s="172" t="s">
        <v>25</v>
      </c>
      <c r="E27" s="38">
        <f t="shared" si="6"/>
        <v>0</v>
      </c>
      <c r="F27" s="39">
        <f t="shared" si="6"/>
        <v>0</v>
      </c>
      <c r="G27" s="39">
        <f t="shared" si="6"/>
        <v>0</v>
      </c>
      <c r="H27" s="14" t="e">
        <f t="shared" si="0"/>
        <v>#DIV/0!</v>
      </c>
      <c r="I27" s="40">
        <f t="shared" si="6"/>
        <v>0</v>
      </c>
      <c r="J27" s="208"/>
      <c r="K27" s="197"/>
      <c r="L27" s="197"/>
      <c r="M27" s="158" t="e">
        <f t="shared" si="2"/>
        <v>#DIV/0!</v>
      </c>
      <c r="N27" s="214"/>
      <c r="O27" s="218"/>
      <c r="P27" s="197"/>
      <c r="Q27" s="197"/>
      <c r="R27" s="158" t="e">
        <f t="shared" si="3"/>
        <v>#DIV/0!</v>
      </c>
      <c r="S27" s="214"/>
      <c r="T27" s="218"/>
      <c r="U27" s="197"/>
      <c r="V27" s="197"/>
      <c r="W27" s="261" t="e">
        <f t="shared" si="7"/>
        <v>#DIV/0!</v>
      </c>
      <c r="X27" s="219"/>
    </row>
    <row r="28" spans="1:24" s="13" customFormat="1" ht="9.9499999999999993" customHeight="1" x14ac:dyDescent="0.2">
      <c r="A28" s="180" t="s">
        <v>49</v>
      </c>
      <c r="B28" s="181" t="s">
        <v>92</v>
      </c>
      <c r="C28" s="182"/>
      <c r="D28" s="172" t="s">
        <v>25</v>
      </c>
      <c r="E28" s="38">
        <f>SUM(J28,O28)</f>
        <v>100000</v>
      </c>
      <c r="F28" s="39">
        <f>SUM(K28,P28)</f>
        <v>271301</v>
      </c>
      <c r="G28" s="39">
        <f>SUM(L28,Q28)</f>
        <v>270116</v>
      </c>
      <c r="H28" s="14">
        <f>G28/F28*100</f>
        <v>99.563215764040677</v>
      </c>
      <c r="I28" s="40">
        <f>SUM(N28,S28)</f>
        <v>199428</v>
      </c>
      <c r="J28" s="208">
        <v>100000</v>
      </c>
      <c r="K28" s="197">
        <v>271301</v>
      </c>
      <c r="L28" s="197">
        <v>270116</v>
      </c>
      <c r="M28" s="158">
        <f t="shared" si="2"/>
        <v>99.563215764040677</v>
      </c>
      <c r="N28" s="214">
        <v>199428</v>
      </c>
      <c r="O28" s="218"/>
      <c r="P28" s="197"/>
      <c r="Q28" s="197"/>
      <c r="R28" s="158" t="e">
        <f t="shared" si="3"/>
        <v>#DIV/0!</v>
      </c>
      <c r="S28" s="214"/>
      <c r="T28" s="218"/>
      <c r="U28" s="197"/>
      <c r="V28" s="197"/>
      <c r="W28" s="261" t="e">
        <f t="shared" si="7"/>
        <v>#DIV/0!</v>
      </c>
      <c r="X28" s="219"/>
    </row>
    <row r="29" spans="1:24" s="15" customFormat="1" ht="9.9499999999999993" customHeight="1" x14ac:dyDescent="0.2">
      <c r="A29" s="180" t="s">
        <v>50</v>
      </c>
      <c r="B29" s="820" t="s">
        <v>65</v>
      </c>
      <c r="C29" s="821"/>
      <c r="D29" s="172" t="s">
        <v>25</v>
      </c>
      <c r="E29" s="38">
        <f t="shared" si="6"/>
        <v>0</v>
      </c>
      <c r="F29" s="39">
        <f t="shared" si="6"/>
        <v>0</v>
      </c>
      <c r="G29" s="39">
        <f t="shared" si="6"/>
        <v>0</v>
      </c>
      <c r="H29" s="14" t="e">
        <f t="shared" si="0"/>
        <v>#DIV/0!</v>
      </c>
      <c r="I29" s="40">
        <f t="shared" si="6"/>
        <v>0</v>
      </c>
      <c r="J29" s="208"/>
      <c r="K29" s="197"/>
      <c r="L29" s="197"/>
      <c r="M29" s="158" t="e">
        <f t="shared" si="2"/>
        <v>#DIV/0!</v>
      </c>
      <c r="N29" s="214"/>
      <c r="O29" s="218"/>
      <c r="P29" s="197"/>
      <c r="Q29" s="197"/>
      <c r="R29" s="158" t="e">
        <f t="shared" si="3"/>
        <v>#DIV/0!</v>
      </c>
      <c r="S29" s="214"/>
      <c r="T29" s="218"/>
      <c r="U29" s="197"/>
      <c r="V29" s="197"/>
      <c r="W29" s="261" t="e">
        <f t="shared" si="7"/>
        <v>#DIV/0!</v>
      </c>
      <c r="X29" s="219"/>
    </row>
    <row r="30" spans="1:24" s="6" customFormat="1" ht="9.75" x14ac:dyDescent="0.2">
      <c r="A30" s="180" t="s">
        <v>52</v>
      </c>
      <c r="B30" s="181" t="s">
        <v>51</v>
      </c>
      <c r="C30" s="182"/>
      <c r="D30" s="172" t="s">
        <v>25</v>
      </c>
      <c r="E30" s="38">
        <f t="shared" ref="E30:G31" si="8">SUM(J30,O30)</f>
        <v>0</v>
      </c>
      <c r="F30" s="39">
        <f t="shared" si="8"/>
        <v>0</v>
      </c>
      <c r="G30" s="39">
        <f t="shared" si="8"/>
        <v>0</v>
      </c>
      <c r="H30" s="14" t="e">
        <f t="shared" si="0"/>
        <v>#DIV/0!</v>
      </c>
      <c r="I30" s="40">
        <f>SUM(N30,S30)</f>
        <v>0</v>
      </c>
      <c r="J30" s="208"/>
      <c r="K30" s="197"/>
      <c r="L30" s="197"/>
      <c r="M30" s="158" t="e">
        <f t="shared" si="2"/>
        <v>#DIV/0!</v>
      </c>
      <c r="N30" s="214"/>
      <c r="O30" s="218"/>
      <c r="P30" s="197"/>
      <c r="Q30" s="197"/>
      <c r="R30" s="158" t="e">
        <f t="shared" si="3"/>
        <v>#DIV/0!</v>
      </c>
      <c r="S30" s="214"/>
      <c r="T30" s="218"/>
      <c r="U30" s="197"/>
      <c r="V30" s="197"/>
      <c r="W30" s="261" t="e">
        <f t="shared" si="7"/>
        <v>#DIV/0!</v>
      </c>
      <c r="X30" s="219"/>
    </row>
    <row r="31" spans="1:24" s="23" customFormat="1" ht="9.75" x14ac:dyDescent="0.2">
      <c r="A31" s="180" t="s">
        <v>53</v>
      </c>
      <c r="B31" s="257" t="s">
        <v>66</v>
      </c>
      <c r="C31" s="258"/>
      <c r="D31" s="172" t="s">
        <v>25</v>
      </c>
      <c r="E31" s="38">
        <f t="shared" si="8"/>
        <v>0</v>
      </c>
      <c r="F31" s="39">
        <f t="shared" si="8"/>
        <v>0</v>
      </c>
      <c r="G31" s="39">
        <f t="shared" si="8"/>
        <v>0</v>
      </c>
      <c r="H31" s="14" t="e">
        <f t="shared" si="0"/>
        <v>#DIV/0!</v>
      </c>
      <c r="I31" s="40">
        <f>SUM(N31,S31)</f>
        <v>0</v>
      </c>
      <c r="J31" s="208"/>
      <c r="K31" s="224"/>
      <c r="L31" s="224"/>
      <c r="M31" s="158" t="e">
        <f t="shared" si="2"/>
        <v>#DIV/0!</v>
      </c>
      <c r="N31" s="225"/>
      <c r="O31" s="226"/>
      <c r="P31" s="224"/>
      <c r="Q31" s="224"/>
      <c r="R31" s="158" t="e">
        <f t="shared" si="3"/>
        <v>#DIV/0!</v>
      </c>
      <c r="S31" s="225"/>
      <c r="T31" s="226"/>
      <c r="U31" s="224"/>
      <c r="V31" s="224"/>
      <c r="W31" s="261" t="e">
        <f t="shared" si="7"/>
        <v>#DIV/0!</v>
      </c>
      <c r="X31" s="265"/>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60"/>
      <c r="U32" s="259"/>
      <c r="V32" s="259"/>
      <c r="W32" s="262" t="e">
        <f t="shared" si="7"/>
        <v>#DIV/0!</v>
      </c>
      <c r="X32" s="263"/>
    </row>
    <row r="33" spans="1:31" s="23" customFormat="1" ht="9.75" x14ac:dyDescent="0.2">
      <c r="A33" s="168" t="s">
        <v>55</v>
      </c>
      <c r="B33" s="21" t="s">
        <v>174</v>
      </c>
      <c r="C33" s="22"/>
      <c r="D33" s="20" t="s">
        <v>25</v>
      </c>
      <c r="E33" s="29">
        <f>E6-E11</f>
        <v>0</v>
      </c>
      <c r="F33" s="29">
        <f>F6-F11</f>
        <v>0</v>
      </c>
      <c r="G33" s="29">
        <f>G6-G11</f>
        <v>110021</v>
      </c>
      <c r="H33" s="25" t="e">
        <f t="shared" si="0"/>
        <v>#DIV/0!</v>
      </c>
      <c r="I33" s="29">
        <f>I6-I11</f>
        <v>94044</v>
      </c>
      <c r="J33" s="29">
        <f t="shared" ref="J33:L33" si="9">J6-J11</f>
        <v>0</v>
      </c>
      <c r="K33" s="29">
        <f t="shared" si="9"/>
        <v>0</v>
      </c>
      <c r="L33" s="29">
        <f t="shared" si="9"/>
        <v>110021</v>
      </c>
      <c r="M33" s="24" t="e">
        <f t="shared" si="2"/>
        <v>#DIV/0!</v>
      </c>
      <c r="N33" s="29">
        <f t="shared" ref="N33:Q33" si="10">N6-N11</f>
        <v>94044</v>
      </c>
      <c r="O33" s="29">
        <f t="shared" si="10"/>
        <v>0</v>
      </c>
      <c r="P33" s="29">
        <f t="shared" si="10"/>
        <v>0</v>
      </c>
      <c r="Q33" s="29">
        <f t="shared" si="10"/>
        <v>0</v>
      </c>
      <c r="R33" s="24" t="e">
        <f t="shared" si="3"/>
        <v>#DIV/0!</v>
      </c>
      <c r="S33" s="29">
        <f t="shared" ref="S33:V33" si="11">S6-S11</f>
        <v>0</v>
      </c>
      <c r="T33" s="29">
        <f t="shared" si="11"/>
        <v>0</v>
      </c>
      <c r="U33" s="29">
        <f t="shared" si="11"/>
        <v>0</v>
      </c>
      <c r="V33" s="29">
        <f t="shared" si="11"/>
        <v>0</v>
      </c>
      <c r="W33" s="24" t="e">
        <f t="shared" si="7"/>
        <v>#DIV/0!</v>
      </c>
      <c r="X33" s="29">
        <f>X6-X11</f>
        <v>0</v>
      </c>
    </row>
    <row r="34" spans="1:31" ht="9" x14ac:dyDescent="0.2">
      <c r="A34" s="187" t="s">
        <v>56</v>
      </c>
      <c r="B34" s="841" t="s">
        <v>24</v>
      </c>
      <c r="C34" s="842"/>
      <c r="D34" s="188" t="s">
        <v>25</v>
      </c>
      <c r="E34" s="142">
        <v>18490</v>
      </c>
      <c r="F34" s="143">
        <v>19402</v>
      </c>
      <c r="G34" s="143">
        <v>19402</v>
      </c>
      <c r="H34" s="12">
        <f t="shared" si="0"/>
        <v>100</v>
      </c>
      <c r="I34" s="247">
        <v>18961</v>
      </c>
      <c r="J34" s="833"/>
      <c r="K34" s="834"/>
      <c r="L34" s="834"/>
      <c r="M34" s="834"/>
      <c r="N34" s="834"/>
      <c r="O34" s="834"/>
      <c r="P34" s="834"/>
      <c r="Q34" s="834"/>
      <c r="R34" s="834"/>
      <c r="S34" s="834"/>
      <c r="T34" s="834"/>
      <c r="U34" s="834"/>
      <c r="V34" s="834"/>
      <c r="W34" s="834"/>
      <c r="X34" s="835"/>
    </row>
    <row r="35" spans="1:31" ht="9" x14ac:dyDescent="0.2">
      <c r="A35" s="189" t="s">
        <v>57</v>
      </c>
      <c r="B35" s="829" t="s">
        <v>33</v>
      </c>
      <c r="C35" s="830"/>
      <c r="D35" s="190" t="s">
        <v>26</v>
      </c>
      <c r="E35" s="144">
        <v>16</v>
      </c>
      <c r="F35" s="145">
        <v>16</v>
      </c>
      <c r="G35" s="145">
        <v>16</v>
      </c>
      <c r="H35" s="232">
        <f t="shared" si="0"/>
        <v>100</v>
      </c>
      <c r="I35" s="248">
        <v>16</v>
      </c>
      <c r="J35" s="833"/>
      <c r="K35" s="834"/>
      <c r="L35" s="834"/>
      <c r="M35" s="834"/>
      <c r="N35" s="834"/>
      <c r="O35" s="834"/>
      <c r="P35" s="834"/>
      <c r="Q35" s="834"/>
      <c r="R35" s="834"/>
      <c r="S35" s="834"/>
      <c r="T35" s="834"/>
      <c r="U35" s="834"/>
      <c r="V35" s="834"/>
      <c r="W35" s="834"/>
      <c r="X35" s="835"/>
    </row>
    <row r="36" spans="1:31" ht="9" x14ac:dyDescent="0.2">
      <c r="A36" s="191" t="s">
        <v>58</v>
      </c>
      <c r="B36" s="831" t="s">
        <v>27</v>
      </c>
      <c r="C36" s="832"/>
      <c r="D36" s="192" t="s">
        <v>26</v>
      </c>
      <c r="E36" s="146">
        <v>21</v>
      </c>
      <c r="F36" s="249">
        <v>21</v>
      </c>
      <c r="G36" s="249">
        <v>21</v>
      </c>
      <c r="H36" s="233">
        <f t="shared" si="0"/>
        <v>100</v>
      </c>
      <c r="I36" s="250">
        <v>21</v>
      </c>
      <c r="J36" s="836"/>
      <c r="K36" s="837"/>
      <c r="L36" s="837"/>
      <c r="M36" s="837"/>
      <c r="N36" s="837"/>
      <c r="O36" s="837"/>
      <c r="P36" s="837"/>
      <c r="Q36" s="837"/>
      <c r="R36" s="837"/>
      <c r="S36" s="837"/>
      <c r="T36" s="837"/>
      <c r="U36" s="837"/>
      <c r="V36" s="837"/>
      <c r="W36" s="837"/>
      <c r="X36" s="838"/>
    </row>
    <row r="37" spans="1:31" customFormat="1" x14ac:dyDescent="0.15">
      <c r="A37" s="2"/>
    </row>
    <row r="38" spans="1:31" s="67" customFormat="1" x14ac:dyDescent="0.15">
      <c r="A38" s="68"/>
    </row>
    <row r="39" spans="1:31" s="67" customFormat="1" x14ac:dyDescent="0.15">
      <c r="A39" s="68"/>
      <c r="P39" s="69"/>
    </row>
    <row r="40" spans="1:31" s="67" customFormat="1" x14ac:dyDescent="0.15">
      <c r="A40" s="68"/>
    </row>
    <row r="41" spans="1:31" s="67" customFormat="1" x14ac:dyDescent="0.15">
      <c r="A41" s="68"/>
    </row>
    <row r="42" spans="1:31" s="67" customFormat="1" x14ac:dyDescent="0.15">
      <c r="A42" s="68"/>
    </row>
    <row r="43" spans="1:31" s="67" customFormat="1" x14ac:dyDescent="0.15">
      <c r="A43" s="68"/>
    </row>
    <row r="44" spans="1:31" s="67" customFormat="1" x14ac:dyDescent="0.15">
      <c r="A44" s="68"/>
    </row>
    <row r="45" spans="1:31" s="67" customFormat="1" x14ac:dyDescent="0.15">
      <c r="A45" s="68"/>
    </row>
    <row r="46" spans="1:31" s="67" customFormat="1" x14ac:dyDescent="0.15">
      <c r="A46" s="68"/>
      <c r="AE46" s="69"/>
    </row>
    <row r="47" spans="1:31" s="67" customFormat="1" x14ac:dyDescent="0.15">
      <c r="A47" s="68"/>
    </row>
    <row r="48" spans="1:31"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B35:C35"/>
    <mergeCell ref="B36:C36"/>
    <mergeCell ref="J34:X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83</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11371000</v>
      </c>
      <c r="F6" s="29">
        <f>SUM(F7:F9)</f>
        <v>14639435</v>
      </c>
      <c r="G6" s="29">
        <f>SUM(G7:G9)</f>
        <v>14647624</v>
      </c>
      <c r="H6" s="24">
        <f t="shared" ref="H6:H36" si="0">G6/F6*100</f>
        <v>100.05593795115726</v>
      </c>
      <c r="I6" s="29">
        <f>SUM(I7:I9)</f>
        <v>11294796</v>
      </c>
      <c r="J6" s="29">
        <f>SUM(J7:J9)</f>
        <v>1471000</v>
      </c>
      <c r="K6" s="29">
        <f t="shared" ref="K6:X6" si="1">SUM(K7:K9)</f>
        <v>2727034</v>
      </c>
      <c r="L6" s="29">
        <f t="shared" si="1"/>
        <v>2735223</v>
      </c>
      <c r="M6" s="24">
        <f t="shared" ref="M6:M33" si="2">L6/K6*100</f>
        <v>100.30028961868463</v>
      </c>
      <c r="N6" s="30">
        <f t="shared" si="1"/>
        <v>1548956</v>
      </c>
      <c r="O6" s="29">
        <f t="shared" si="1"/>
        <v>9900000</v>
      </c>
      <c r="P6" s="29">
        <f t="shared" si="1"/>
        <v>11912401</v>
      </c>
      <c r="Q6" s="29">
        <f t="shared" si="1"/>
        <v>11912401</v>
      </c>
      <c r="R6" s="24">
        <f t="shared" ref="R6:R33" si="3">Q6/P6*100</f>
        <v>100</v>
      </c>
      <c r="S6" s="29">
        <f t="shared" si="1"/>
        <v>9745840</v>
      </c>
      <c r="T6" s="29">
        <f t="shared" si="1"/>
        <v>120300</v>
      </c>
      <c r="U6" s="29">
        <f t="shared" si="1"/>
        <v>176075</v>
      </c>
      <c r="V6" s="29">
        <f t="shared" si="1"/>
        <v>176075</v>
      </c>
      <c r="W6" s="24">
        <f t="shared" ref="W6:W33" si="4">V6/U6*100</f>
        <v>100</v>
      </c>
      <c r="X6" s="29">
        <f t="shared" si="1"/>
        <v>195923</v>
      </c>
    </row>
    <row r="7" spans="1:24" s="6" customFormat="1" ht="9.9499999999999993" customHeight="1" x14ac:dyDescent="0.2">
      <c r="A7" s="169" t="s">
        <v>2</v>
      </c>
      <c r="B7" s="823" t="s">
        <v>44</v>
      </c>
      <c r="C7" s="824"/>
      <c r="D7" s="238" t="s">
        <v>25</v>
      </c>
      <c r="E7" s="32">
        <f t="shared" ref="E7:G10" si="5">SUM(J7,O7)</f>
        <v>59500</v>
      </c>
      <c r="F7" s="33">
        <f t="shared" si="5"/>
        <v>175097</v>
      </c>
      <c r="G7" s="33">
        <f t="shared" si="5"/>
        <v>183749</v>
      </c>
      <c r="H7" s="9">
        <f t="shared" si="0"/>
        <v>104.94126112954534</v>
      </c>
      <c r="I7" s="34">
        <f>SUM(N7,S7)</f>
        <v>94371</v>
      </c>
      <c r="J7" s="193">
        <v>59500</v>
      </c>
      <c r="K7" s="35">
        <v>175097</v>
      </c>
      <c r="L7" s="35">
        <v>183749</v>
      </c>
      <c r="M7" s="9">
        <f t="shared" si="2"/>
        <v>104.94126112954534</v>
      </c>
      <c r="N7" s="194">
        <v>94371</v>
      </c>
      <c r="O7" s="195"/>
      <c r="P7" s="35"/>
      <c r="Q7" s="35"/>
      <c r="R7" s="9" t="e">
        <f t="shared" si="3"/>
        <v>#DIV/0!</v>
      </c>
      <c r="S7" s="194"/>
      <c r="T7" s="195">
        <v>120300</v>
      </c>
      <c r="U7" s="35">
        <v>176075</v>
      </c>
      <c r="V7" s="35">
        <v>176075</v>
      </c>
      <c r="W7" s="9">
        <f t="shared" si="4"/>
        <v>100</v>
      </c>
      <c r="X7" s="59">
        <v>195923</v>
      </c>
    </row>
    <row r="8" spans="1:24" s="6" customFormat="1" ht="9.9499999999999993" customHeight="1" x14ac:dyDescent="0.2">
      <c r="A8" s="171" t="s">
        <v>3</v>
      </c>
      <c r="B8" s="825" t="s">
        <v>45</v>
      </c>
      <c r="C8" s="826"/>
      <c r="D8" s="172" t="s">
        <v>25</v>
      </c>
      <c r="E8" s="38">
        <f t="shared" si="5"/>
        <v>500</v>
      </c>
      <c r="F8" s="39">
        <f t="shared" si="5"/>
        <v>500</v>
      </c>
      <c r="G8" s="39">
        <f t="shared" si="5"/>
        <v>37</v>
      </c>
      <c r="H8" s="10">
        <f t="shared" si="0"/>
        <v>7.3999999999999995</v>
      </c>
      <c r="I8" s="40">
        <f>SUM(N8,S8)</f>
        <v>85</v>
      </c>
      <c r="J8" s="196">
        <v>500</v>
      </c>
      <c r="K8" s="157">
        <v>500</v>
      </c>
      <c r="L8" s="157">
        <v>37</v>
      </c>
      <c r="M8" s="158">
        <f t="shared" si="2"/>
        <v>7.3999999999999995</v>
      </c>
      <c r="N8" s="198">
        <v>85</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449" t="s">
        <v>59</v>
      </c>
      <c r="C9" s="450"/>
      <c r="D9" s="186" t="s">
        <v>25</v>
      </c>
      <c r="E9" s="42">
        <f t="shared" si="5"/>
        <v>11311000</v>
      </c>
      <c r="F9" s="43">
        <f t="shared" si="5"/>
        <v>14463838</v>
      </c>
      <c r="G9" s="43">
        <f t="shared" si="5"/>
        <v>14463838</v>
      </c>
      <c r="H9" s="26">
        <f t="shared" si="0"/>
        <v>100</v>
      </c>
      <c r="I9" s="44">
        <f>SUM(N9,S9)</f>
        <v>11200340</v>
      </c>
      <c r="J9" s="199">
        <v>1411000</v>
      </c>
      <c r="K9" s="203">
        <v>2551437</v>
      </c>
      <c r="L9" s="203">
        <v>2551437</v>
      </c>
      <c r="M9" s="201">
        <f t="shared" si="2"/>
        <v>100</v>
      </c>
      <c r="N9" s="202">
        <v>1454500</v>
      </c>
      <c r="O9" s="160">
        <v>9900000</v>
      </c>
      <c r="P9" s="203">
        <v>11912401</v>
      </c>
      <c r="Q9" s="203">
        <v>11912401</v>
      </c>
      <c r="R9" s="201">
        <f t="shared" si="3"/>
        <v>100</v>
      </c>
      <c r="S9" s="202">
        <v>9745840</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11371000</v>
      </c>
      <c r="F11" s="29">
        <f>SUM(F12:F31)</f>
        <v>14639435</v>
      </c>
      <c r="G11" s="29">
        <f>SUM(G12:G31)</f>
        <v>14500465.300000001</v>
      </c>
      <c r="H11" s="24">
        <f t="shared" si="0"/>
        <v>99.050716779711792</v>
      </c>
      <c r="I11" s="30">
        <f>SUM(I12:I31)</f>
        <v>11219823</v>
      </c>
      <c r="J11" s="29">
        <f>SUM(J12:J31)</f>
        <v>1471000</v>
      </c>
      <c r="K11" s="29">
        <f>SUM(K12:K31)</f>
        <v>2727034</v>
      </c>
      <c r="L11" s="29">
        <f>SUM(L12:L31)</f>
        <v>2588064.2999999998</v>
      </c>
      <c r="M11" s="24">
        <f t="shared" si="2"/>
        <v>94.903998263314634</v>
      </c>
      <c r="N11" s="29">
        <f>SUM(N12:N31)</f>
        <v>1473983</v>
      </c>
      <c r="O11" s="29">
        <f>SUM(O12:O31)</f>
        <v>9900000</v>
      </c>
      <c r="P11" s="29">
        <f>SUM(P12:P31)</f>
        <v>11912401</v>
      </c>
      <c r="Q11" s="29">
        <f>SUM(Q12:Q31)</f>
        <v>11912401</v>
      </c>
      <c r="R11" s="24">
        <f t="shared" si="3"/>
        <v>100</v>
      </c>
      <c r="S11" s="30">
        <f>SUM(S12:S31)</f>
        <v>9745840</v>
      </c>
      <c r="T11" s="29">
        <f>SUM(T12:T31)</f>
        <v>110314</v>
      </c>
      <c r="U11" s="29">
        <f>SUM(U12:U31)</f>
        <v>156005</v>
      </c>
      <c r="V11" s="29">
        <f>SUM(V12:V31)</f>
        <v>156005</v>
      </c>
      <c r="W11" s="24">
        <f t="shared" si="4"/>
        <v>100</v>
      </c>
      <c r="X11" s="29">
        <f>SUM(X12:X31)</f>
        <v>129047</v>
      </c>
    </row>
    <row r="12" spans="1:24" s="6" customFormat="1" ht="9.9499999999999993" customHeight="1" x14ac:dyDescent="0.2">
      <c r="A12" s="178" t="s">
        <v>8</v>
      </c>
      <c r="B12" s="827" t="s">
        <v>28</v>
      </c>
      <c r="C12" s="828"/>
      <c r="D12" s="238" t="s">
        <v>25</v>
      </c>
      <c r="E12" s="32">
        <f t="shared" ref="E12:I29" si="6">SUM(J12,O12)</f>
        <v>333500</v>
      </c>
      <c r="F12" s="33">
        <f t="shared" si="6"/>
        <v>487082</v>
      </c>
      <c r="G12" s="33">
        <f t="shared" si="6"/>
        <v>463116</v>
      </c>
      <c r="H12" s="10">
        <f t="shared" si="0"/>
        <v>95.079678575681299</v>
      </c>
      <c r="I12" s="34">
        <f t="shared" si="6"/>
        <v>369770</v>
      </c>
      <c r="J12" s="108">
        <v>195500</v>
      </c>
      <c r="K12" s="47">
        <v>213031</v>
      </c>
      <c r="L12" s="47">
        <v>189065</v>
      </c>
      <c r="M12" s="9">
        <f t="shared" si="2"/>
        <v>88.749994132309382</v>
      </c>
      <c r="N12" s="48">
        <v>262081</v>
      </c>
      <c r="O12" s="49">
        <v>138000</v>
      </c>
      <c r="P12" s="47">
        <v>274051</v>
      </c>
      <c r="Q12" s="47">
        <v>274051</v>
      </c>
      <c r="R12" s="9">
        <f t="shared" si="3"/>
        <v>100</v>
      </c>
      <c r="S12" s="50">
        <v>107689</v>
      </c>
      <c r="T12" s="49">
        <v>3098</v>
      </c>
      <c r="U12" s="47">
        <v>4185</v>
      </c>
      <c r="V12" s="47">
        <v>4185</v>
      </c>
      <c r="W12" s="9">
        <f t="shared" si="4"/>
        <v>100</v>
      </c>
      <c r="X12" s="51">
        <v>4285</v>
      </c>
    </row>
    <row r="13" spans="1:24" s="6" customFormat="1" ht="9.9499999999999993" customHeight="1" x14ac:dyDescent="0.2">
      <c r="A13" s="180" t="s">
        <v>10</v>
      </c>
      <c r="B13" s="820" t="s">
        <v>29</v>
      </c>
      <c r="C13" s="821"/>
      <c r="D13" s="172" t="s">
        <v>25</v>
      </c>
      <c r="E13" s="38">
        <f t="shared" si="6"/>
        <v>532784</v>
      </c>
      <c r="F13" s="39">
        <f t="shared" si="6"/>
        <v>532784</v>
      </c>
      <c r="G13" s="39">
        <f t="shared" si="6"/>
        <v>498926</v>
      </c>
      <c r="H13" s="10">
        <f t="shared" si="0"/>
        <v>93.645079431814764</v>
      </c>
      <c r="I13" s="40">
        <f t="shared" si="6"/>
        <v>302655</v>
      </c>
      <c r="J13" s="208">
        <v>532784</v>
      </c>
      <c r="K13" s="157">
        <v>532784</v>
      </c>
      <c r="L13" s="157">
        <v>498926</v>
      </c>
      <c r="M13" s="158">
        <f t="shared" si="2"/>
        <v>93.645079431814764</v>
      </c>
      <c r="N13" s="198">
        <v>302655</v>
      </c>
      <c r="O13" s="156"/>
      <c r="P13" s="157"/>
      <c r="Q13" s="157"/>
      <c r="R13" s="158" t="e">
        <f t="shared" si="3"/>
        <v>#DIV/0!</v>
      </c>
      <c r="S13" s="198"/>
      <c r="T13" s="156">
        <v>107216</v>
      </c>
      <c r="U13" s="157">
        <v>151820</v>
      </c>
      <c r="V13" s="157">
        <v>151820</v>
      </c>
      <c r="W13" s="158">
        <f t="shared" si="4"/>
        <v>100</v>
      </c>
      <c r="X13" s="159">
        <v>124762</v>
      </c>
    </row>
    <row r="14" spans="1:24" s="6" customFormat="1" ht="9.9499999999999993" customHeight="1" x14ac:dyDescent="0.2">
      <c r="A14" s="180" t="s">
        <v>11</v>
      </c>
      <c r="B14" s="234" t="s">
        <v>60</v>
      </c>
      <c r="C14" s="235"/>
      <c r="D14" s="172" t="s">
        <v>25</v>
      </c>
      <c r="E14" s="38">
        <v>0</v>
      </c>
      <c r="F14" s="39">
        <v>0</v>
      </c>
      <c r="G14" s="39">
        <v>0</v>
      </c>
      <c r="H14" s="10" t="e">
        <f t="shared" si="0"/>
        <v>#DIV/0!</v>
      </c>
      <c r="I14" s="40">
        <v>0</v>
      </c>
      <c r="J14" s="208"/>
      <c r="K14" s="157"/>
      <c r="L14" s="157"/>
      <c r="M14" s="158"/>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254293</v>
      </c>
      <c r="F15" s="39">
        <f t="shared" si="6"/>
        <v>254293</v>
      </c>
      <c r="G15" s="39">
        <f t="shared" si="6"/>
        <v>220954</v>
      </c>
      <c r="H15" s="10">
        <f t="shared" si="0"/>
        <v>86.889532940348332</v>
      </c>
      <c r="I15" s="40">
        <f t="shared" si="6"/>
        <v>269538</v>
      </c>
      <c r="J15" s="208">
        <v>254293</v>
      </c>
      <c r="K15" s="157">
        <v>254293</v>
      </c>
      <c r="L15" s="157">
        <v>220954</v>
      </c>
      <c r="M15" s="158">
        <f t="shared" si="2"/>
        <v>86.889532940348332</v>
      </c>
      <c r="N15" s="198">
        <v>269538</v>
      </c>
      <c r="O15" s="156"/>
      <c r="P15" s="157"/>
      <c r="Q15" s="157"/>
      <c r="R15" s="158" t="e">
        <f t="shared" si="3"/>
        <v>#DIV/0!</v>
      </c>
      <c r="S15" s="198"/>
      <c r="T15" s="156"/>
      <c r="U15" s="157"/>
      <c r="V15" s="157"/>
      <c r="W15" s="158" t="e">
        <f t="shared" si="4"/>
        <v>#DIV/0!</v>
      </c>
      <c r="X15" s="159"/>
    </row>
    <row r="16" spans="1:24" s="6" customFormat="1" ht="9.9499999999999993" customHeight="1" x14ac:dyDescent="0.2">
      <c r="A16" s="180" t="s">
        <v>13</v>
      </c>
      <c r="B16" s="820" t="s">
        <v>30</v>
      </c>
      <c r="C16" s="821"/>
      <c r="D16" s="172" t="s">
        <v>25</v>
      </c>
      <c r="E16" s="38">
        <f t="shared" si="6"/>
        <v>20000</v>
      </c>
      <c r="F16" s="39">
        <f t="shared" si="6"/>
        <v>84210</v>
      </c>
      <c r="G16" s="39">
        <f t="shared" si="6"/>
        <v>83819</v>
      </c>
      <c r="H16" s="10">
        <f t="shared" si="0"/>
        <v>99.535684598028737</v>
      </c>
      <c r="I16" s="40">
        <f t="shared" si="6"/>
        <v>4442</v>
      </c>
      <c r="J16" s="208">
        <v>5000</v>
      </c>
      <c r="K16" s="157">
        <v>1470</v>
      </c>
      <c r="L16" s="157">
        <v>1079</v>
      </c>
      <c r="M16" s="158">
        <f t="shared" si="2"/>
        <v>73.401360544217681</v>
      </c>
      <c r="N16" s="198">
        <v>2278</v>
      </c>
      <c r="O16" s="156">
        <v>15000</v>
      </c>
      <c r="P16" s="157">
        <v>82740</v>
      </c>
      <c r="Q16" s="157">
        <v>82740</v>
      </c>
      <c r="R16" s="158">
        <f t="shared" si="3"/>
        <v>100</v>
      </c>
      <c r="S16" s="198">
        <v>2164</v>
      </c>
      <c r="T16" s="156"/>
      <c r="U16" s="157"/>
      <c r="V16" s="157"/>
      <c r="W16" s="158" t="e">
        <f t="shared" si="4"/>
        <v>#DIV/0!</v>
      </c>
      <c r="X16" s="159"/>
    </row>
    <row r="17" spans="1:24" s="6" customFormat="1" ht="9.9499999999999993" customHeight="1" x14ac:dyDescent="0.2">
      <c r="A17" s="180" t="s">
        <v>14</v>
      </c>
      <c r="B17" s="234" t="s">
        <v>46</v>
      </c>
      <c r="C17" s="235"/>
      <c r="D17" s="172" t="s">
        <v>25</v>
      </c>
      <c r="E17" s="38">
        <f t="shared" si="6"/>
        <v>2000</v>
      </c>
      <c r="F17" s="39">
        <f t="shared" si="6"/>
        <v>2000</v>
      </c>
      <c r="G17" s="39">
        <f t="shared" si="6"/>
        <v>1953</v>
      </c>
      <c r="H17" s="10">
        <f t="shared" si="0"/>
        <v>97.65</v>
      </c>
      <c r="I17" s="40">
        <f t="shared" si="6"/>
        <v>3998</v>
      </c>
      <c r="J17" s="208">
        <v>2000</v>
      </c>
      <c r="K17" s="157">
        <v>2000</v>
      </c>
      <c r="L17" s="157">
        <v>1953</v>
      </c>
      <c r="M17" s="158">
        <f t="shared" si="2"/>
        <v>97.65</v>
      </c>
      <c r="N17" s="198">
        <v>3998</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380000</v>
      </c>
      <c r="F18" s="39">
        <f t="shared" si="6"/>
        <v>1071950</v>
      </c>
      <c r="G18" s="39">
        <f t="shared" si="6"/>
        <v>1030064.3</v>
      </c>
      <c r="H18" s="10">
        <f t="shared" si="0"/>
        <v>96.092569616120159</v>
      </c>
      <c r="I18" s="40">
        <f t="shared" si="6"/>
        <v>340367</v>
      </c>
      <c r="J18" s="208">
        <v>280000</v>
      </c>
      <c r="K18" s="157">
        <v>280000</v>
      </c>
      <c r="L18" s="157">
        <v>238114.3</v>
      </c>
      <c r="M18" s="158">
        <f t="shared" si="2"/>
        <v>85.040821428571419</v>
      </c>
      <c r="N18" s="198">
        <v>226007</v>
      </c>
      <c r="O18" s="156">
        <v>100000</v>
      </c>
      <c r="P18" s="157">
        <v>791950</v>
      </c>
      <c r="Q18" s="157">
        <v>791950</v>
      </c>
      <c r="R18" s="158">
        <f t="shared" si="3"/>
        <v>100</v>
      </c>
      <c r="S18" s="198">
        <v>114360</v>
      </c>
      <c r="T18" s="156"/>
      <c r="U18" s="157"/>
      <c r="V18" s="157"/>
      <c r="W18" s="158" t="e">
        <f t="shared" si="4"/>
        <v>#DIV/0!</v>
      </c>
      <c r="X18" s="159"/>
    </row>
    <row r="19" spans="1:24" s="11" customFormat="1" ht="9.9499999999999993" customHeight="1" x14ac:dyDescent="0.2">
      <c r="A19" s="180" t="s">
        <v>16</v>
      </c>
      <c r="B19" s="820" t="s">
        <v>32</v>
      </c>
      <c r="C19" s="821"/>
      <c r="D19" s="172" t="s">
        <v>25</v>
      </c>
      <c r="E19" s="38">
        <f t="shared" si="6"/>
        <v>7205922</v>
      </c>
      <c r="F19" s="39">
        <f t="shared" si="6"/>
        <v>7989520</v>
      </c>
      <c r="G19" s="39">
        <f t="shared" si="6"/>
        <v>7989486</v>
      </c>
      <c r="H19" s="10">
        <f t="shared" si="0"/>
        <v>99.999574442519702</v>
      </c>
      <c r="I19" s="40">
        <f t="shared" si="6"/>
        <v>7116804</v>
      </c>
      <c r="J19" s="209">
        <v>85922</v>
      </c>
      <c r="K19" s="157">
        <v>95290</v>
      </c>
      <c r="L19" s="157">
        <v>95256</v>
      </c>
      <c r="M19" s="158">
        <f t="shared" si="2"/>
        <v>99.964319445901978</v>
      </c>
      <c r="N19" s="198">
        <v>78936</v>
      </c>
      <c r="O19" s="156">
        <v>7120000</v>
      </c>
      <c r="P19" s="157">
        <v>7894230</v>
      </c>
      <c r="Q19" s="157">
        <v>7894230</v>
      </c>
      <c r="R19" s="158">
        <f t="shared" si="3"/>
        <v>100</v>
      </c>
      <c r="S19" s="198">
        <v>7037868</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6"/>
        <v>2467998</v>
      </c>
      <c r="F20" s="39">
        <f t="shared" si="6"/>
        <v>2687688</v>
      </c>
      <c r="G20" s="39">
        <f t="shared" si="6"/>
        <v>2687664</v>
      </c>
      <c r="H20" s="10">
        <f t="shared" si="0"/>
        <v>99.999107039209918</v>
      </c>
      <c r="I20" s="40">
        <f t="shared" si="6"/>
        <v>2425415</v>
      </c>
      <c r="J20" s="208">
        <v>12198</v>
      </c>
      <c r="K20" s="157">
        <v>15384</v>
      </c>
      <c r="L20" s="157">
        <v>15360</v>
      </c>
      <c r="M20" s="158">
        <f t="shared" si="2"/>
        <v>99.84399375975039</v>
      </c>
      <c r="N20" s="198">
        <v>12054</v>
      </c>
      <c r="O20" s="156">
        <v>2455800</v>
      </c>
      <c r="P20" s="157">
        <v>2672304</v>
      </c>
      <c r="Q20" s="157">
        <v>2672304</v>
      </c>
      <c r="R20" s="158">
        <f t="shared" si="3"/>
        <v>100</v>
      </c>
      <c r="S20" s="198">
        <v>2413361</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6"/>
        <v>102700</v>
      </c>
      <c r="F21" s="39">
        <f t="shared" si="6"/>
        <v>120608</v>
      </c>
      <c r="G21" s="39">
        <f t="shared" si="6"/>
        <v>118558</v>
      </c>
      <c r="H21" s="10">
        <f t="shared" si="0"/>
        <v>98.300278588485014</v>
      </c>
      <c r="I21" s="40">
        <f t="shared" si="6"/>
        <v>100518</v>
      </c>
      <c r="J21" s="208">
        <v>31500</v>
      </c>
      <c r="K21" s="157">
        <v>35083</v>
      </c>
      <c r="L21" s="157">
        <v>33033</v>
      </c>
      <c r="M21" s="158">
        <f t="shared" si="2"/>
        <v>94.156714078043507</v>
      </c>
      <c r="N21" s="198">
        <v>30120</v>
      </c>
      <c r="O21" s="156">
        <v>71200</v>
      </c>
      <c r="P21" s="157">
        <v>85525</v>
      </c>
      <c r="Q21" s="157">
        <v>85525</v>
      </c>
      <c r="R21" s="158">
        <f t="shared" si="3"/>
        <v>100</v>
      </c>
      <c r="S21" s="198">
        <v>70398</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 t="shared" si="0"/>
        <v>#DIV/0!</v>
      </c>
      <c r="I25" s="676">
        <f>SUM(N25,S25)</f>
        <v>0</v>
      </c>
      <c r="J25" s="208"/>
      <c r="K25" s="213"/>
      <c r="L25" s="213"/>
      <c r="M25" s="158" t="e">
        <f t="shared" si="2"/>
        <v>#DIV/0!</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0</v>
      </c>
      <c r="F26" s="674">
        <f t="shared" si="6"/>
        <v>1130437</v>
      </c>
      <c r="G26" s="674">
        <f t="shared" si="6"/>
        <v>1130437</v>
      </c>
      <c r="H26" s="675">
        <f t="shared" si="0"/>
        <v>100</v>
      </c>
      <c r="I26" s="676">
        <f t="shared" si="6"/>
        <v>0</v>
      </c>
      <c r="J26" s="208"/>
      <c r="K26" s="197">
        <v>1130437</v>
      </c>
      <c r="L26" s="197">
        <v>1130437</v>
      </c>
      <c r="M26" s="158">
        <f t="shared" si="2"/>
        <v>100</v>
      </c>
      <c r="N26" s="198"/>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234" t="s">
        <v>64</v>
      </c>
      <c r="C27" s="235"/>
      <c r="D27" s="172" t="s">
        <v>25</v>
      </c>
      <c r="E27" s="38">
        <f t="shared" si="6"/>
        <v>0</v>
      </c>
      <c r="F27" s="39">
        <f t="shared" si="6"/>
        <v>0</v>
      </c>
      <c r="G27" s="39">
        <f t="shared" si="6"/>
        <v>0</v>
      </c>
      <c r="H27" s="10" t="e">
        <f t="shared" si="0"/>
        <v>#DIV/0!</v>
      </c>
      <c r="I27" s="40">
        <f t="shared" si="6"/>
        <v>0</v>
      </c>
      <c r="J27" s="208"/>
      <c r="K27" s="197"/>
      <c r="L27" s="197"/>
      <c r="M27" s="158" t="e">
        <f t="shared" si="2"/>
        <v>#DIV/0!</v>
      </c>
      <c r="N27" s="214"/>
      <c r="O27" s="218"/>
      <c r="P27" s="197"/>
      <c r="Q27" s="197"/>
      <c r="R27" s="158" t="e">
        <f t="shared" si="3"/>
        <v>#DIV/0!</v>
      </c>
      <c r="S27" s="214"/>
      <c r="T27" s="236"/>
      <c r="U27" s="220"/>
      <c r="V27" s="220"/>
      <c r="W27" s="158" t="e">
        <f t="shared" si="4"/>
        <v>#DIV/0!</v>
      </c>
      <c r="X27" s="237"/>
    </row>
    <row r="28" spans="1:24" s="13" customFormat="1" ht="9.9499999999999993" customHeight="1" x14ac:dyDescent="0.2">
      <c r="A28" s="180" t="s">
        <v>49</v>
      </c>
      <c r="B28" s="234" t="s">
        <v>92</v>
      </c>
      <c r="C28" s="235"/>
      <c r="D28" s="172" t="s">
        <v>25</v>
      </c>
      <c r="E28" s="38">
        <f>SUM(J28,O28)</f>
        <v>71000</v>
      </c>
      <c r="F28" s="39">
        <f>SUM(K28,P28)</f>
        <v>278060</v>
      </c>
      <c r="G28" s="39">
        <f>SUM(L28,Q28)</f>
        <v>275185</v>
      </c>
      <c r="H28" s="10">
        <f t="shared" si="0"/>
        <v>98.966050492699424</v>
      </c>
      <c r="I28" s="40">
        <f>SUM(N28,S28)</f>
        <v>286013</v>
      </c>
      <c r="J28" s="208">
        <v>71000</v>
      </c>
      <c r="K28" s="197">
        <v>166459</v>
      </c>
      <c r="L28" s="197">
        <v>163584</v>
      </c>
      <c r="M28" s="158">
        <f t="shared" si="2"/>
        <v>98.27284796856884</v>
      </c>
      <c r="N28" s="214">
        <v>286013</v>
      </c>
      <c r="O28" s="218"/>
      <c r="P28" s="197">
        <v>111601</v>
      </c>
      <c r="Q28" s="197">
        <v>111601</v>
      </c>
      <c r="R28" s="158">
        <f t="shared" si="3"/>
        <v>100</v>
      </c>
      <c r="S28" s="214"/>
      <c r="T28" s="236"/>
      <c r="U28" s="220"/>
      <c r="V28" s="220"/>
      <c r="W28" s="158" t="e">
        <f t="shared" si="4"/>
        <v>#DIV/0!</v>
      </c>
      <c r="X28" s="237"/>
    </row>
    <row r="29" spans="1:24" s="15" customFormat="1" ht="9.9499999999999993" customHeight="1" x14ac:dyDescent="0.2">
      <c r="A29" s="180" t="s">
        <v>50</v>
      </c>
      <c r="B29" s="820" t="s">
        <v>65</v>
      </c>
      <c r="C29" s="821"/>
      <c r="D29" s="172" t="s">
        <v>25</v>
      </c>
      <c r="E29" s="38">
        <f t="shared" si="6"/>
        <v>803</v>
      </c>
      <c r="F29" s="39">
        <f t="shared" si="6"/>
        <v>803</v>
      </c>
      <c r="G29" s="39">
        <f t="shared" si="6"/>
        <v>303</v>
      </c>
      <c r="H29" s="10">
        <f t="shared" si="0"/>
        <v>37.733499377334994</v>
      </c>
      <c r="I29" s="40">
        <f t="shared" si="6"/>
        <v>303</v>
      </c>
      <c r="J29" s="208">
        <v>803</v>
      </c>
      <c r="K29" s="197">
        <v>803</v>
      </c>
      <c r="L29" s="197">
        <v>303</v>
      </c>
      <c r="M29" s="158">
        <f t="shared" si="2"/>
        <v>37.733499377334994</v>
      </c>
      <c r="N29" s="214">
        <v>303</v>
      </c>
      <c r="O29" s="218"/>
      <c r="P29" s="197"/>
      <c r="Q29" s="197"/>
      <c r="R29" s="158" t="e">
        <f t="shared" si="3"/>
        <v>#DIV/0!</v>
      </c>
      <c r="S29" s="214"/>
      <c r="T29" s="236"/>
      <c r="U29" s="220"/>
      <c r="V29" s="220"/>
      <c r="W29" s="158" t="e">
        <f t="shared" si="4"/>
        <v>#DIV/0!</v>
      </c>
      <c r="X29" s="237"/>
    </row>
    <row r="30" spans="1:24" s="6" customFormat="1" ht="9.75" x14ac:dyDescent="0.2">
      <c r="A30" s="180" t="s">
        <v>52</v>
      </c>
      <c r="B30" s="234" t="s">
        <v>51</v>
      </c>
      <c r="C30" s="235"/>
      <c r="D30" s="172" t="s">
        <v>25</v>
      </c>
      <c r="E30" s="38">
        <f t="shared" ref="E30:G31" si="7">SUM(J30,O30)</f>
        <v>0</v>
      </c>
      <c r="F30" s="39">
        <f t="shared" si="7"/>
        <v>0</v>
      </c>
      <c r="G30" s="39">
        <f t="shared" si="7"/>
        <v>0</v>
      </c>
      <c r="H30" s="10"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446" t="s">
        <v>66</v>
      </c>
      <c r="C31" s="447"/>
      <c r="D31" s="172" t="s">
        <v>25</v>
      </c>
      <c r="E31" s="38">
        <f t="shared" si="7"/>
        <v>0</v>
      </c>
      <c r="F31" s="39">
        <f t="shared" si="7"/>
        <v>0</v>
      </c>
      <c r="G31" s="39">
        <f t="shared" si="7"/>
        <v>0</v>
      </c>
      <c r="H31" s="10"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0"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147158.69999999925</v>
      </c>
      <c r="H33" s="24" t="e">
        <f t="shared" si="0"/>
        <v>#DIV/0!</v>
      </c>
      <c r="I33" s="29">
        <f>I6-I11</f>
        <v>74973</v>
      </c>
      <c r="J33" s="29">
        <f t="shared" ref="J33:L33" si="8">J6-J11</f>
        <v>0</v>
      </c>
      <c r="K33" s="29">
        <f t="shared" si="8"/>
        <v>0</v>
      </c>
      <c r="L33" s="29">
        <f t="shared" si="8"/>
        <v>147158.70000000019</v>
      </c>
      <c r="M33" s="19" t="e">
        <f t="shared" si="2"/>
        <v>#DIV/0!</v>
      </c>
      <c r="N33" s="29">
        <f t="shared" ref="N33:Q33" si="9">N6-N11</f>
        <v>74973</v>
      </c>
      <c r="O33" s="29">
        <f t="shared" si="9"/>
        <v>0</v>
      </c>
      <c r="P33" s="29">
        <f t="shared" si="9"/>
        <v>0</v>
      </c>
      <c r="Q33" s="29">
        <f t="shared" si="9"/>
        <v>0</v>
      </c>
      <c r="R33" s="19" t="e">
        <f t="shared" si="3"/>
        <v>#DIV/0!</v>
      </c>
      <c r="S33" s="29">
        <f t="shared" ref="S33:V33" si="10">S6-S11</f>
        <v>0</v>
      </c>
      <c r="T33" s="29">
        <f t="shared" si="10"/>
        <v>9986</v>
      </c>
      <c r="U33" s="29">
        <f t="shared" si="10"/>
        <v>20070</v>
      </c>
      <c r="V33" s="29">
        <f t="shared" si="10"/>
        <v>20070</v>
      </c>
      <c r="W33" s="19">
        <f t="shared" si="4"/>
        <v>100</v>
      </c>
      <c r="X33" s="29">
        <f>X6-X11</f>
        <v>66876</v>
      </c>
    </row>
    <row r="34" spans="1:24" s="4" customFormat="1" ht="9" x14ac:dyDescent="0.2">
      <c r="A34" s="187" t="s">
        <v>56</v>
      </c>
      <c r="B34" s="841" t="s">
        <v>24</v>
      </c>
      <c r="C34" s="842"/>
      <c r="D34" s="188" t="s">
        <v>25</v>
      </c>
      <c r="E34" s="142">
        <v>22449</v>
      </c>
      <c r="F34" s="143">
        <v>22490</v>
      </c>
      <c r="G34" s="143">
        <v>24508</v>
      </c>
      <c r="H34" s="12">
        <f t="shared" si="0"/>
        <v>108.97287683414851</v>
      </c>
      <c r="I34" s="247">
        <v>24683</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357">
        <v>26.43</v>
      </c>
      <c r="F35" s="358">
        <v>27.85</v>
      </c>
      <c r="G35" s="358">
        <v>25.556999999999999</v>
      </c>
      <c r="H35" s="232">
        <f t="shared" si="0"/>
        <v>91.766606822262105</v>
      </c>
      <c r="I35" s="359">
        <v>23.7</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30</v>
      </c>
      <c r="F36" s="249">
        <v>30</v>
      </c>
      <c r="G36" s="249">
        <v>32</v>
      </c>
      <c r="H36" s="233">
        <f t="shared" si="0"/>
        <v>106.66666666666667</v>
      </c>
      <c r="I36" s="250">
        <v>29</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07"/>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3">
      <c r="A1" s="1035" t="s">
        <v>84</v>
      </c>
      <c r="B1" s="1035"/>
      <c r="C1" s="1035"/>
      <c r="D1" s="1035"/>
      <c r="E1" s="1035"/>
      <c r="F1" s="1035"/>
      <c r="G1" s="1035"/>
      <c r="H1" s="1035"/>
      <c r="I1" s="1035"/>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456" t="s">
        <v>25</v>
      </c>
      <c r="D5" s="788" t="s">
        <v>176</v>
      </c>
      <c r="E5" s="788"/>
      <c r="F5" s="788"/>
      <c r="G5" s="788"/>
      <c r="H5" s="788"/>
      <c r="I5" s="788"/>
    </row>
    <row r="6" spans="1:9" s="87" customFormat="1" ht="11.25" x14ac:dyDescent="0.2">
      <c r="A6" s="792" t="s">
        <v>177</v>
      </c>
      <c r="B6" s="792"/>
      <c r="C6" s="283">
        <f>SUM(C7:C9)</f>
        <v>197521.59</v>
      </c>
      <c r="D6" s="793"/>
      <c r="E6" s="794"/>
      <c r="F6" s="794"/>
      <c r="G6" s="794"/>
      <c r="H6" s="794"/>
      <c r="I6" s="795"/>
    </row>
    <row r="7" spans="1:9" s="87" customFormat="1" ht="81" customHeight="1" x14ac:dyDescent="0.2">
      <c r="A7" s="796" t="s">
        <v>69</v>
      </c>
      <c r="B7" s="797"/>
      <c r="C7" s="284">
        <v>163825.59</v>
      </c>
      <c r="D7" s="798" t="s">
        <v>648</v>
      </c>
      <c r="E7" s="798"/>
      <c r="F7" s="798"/>
      <c r="G7" s="798"/>
      <c r="H7" s="798"/>
      <c r="I7" s="798"/>
    </row>
    <row r="8" spans="1:9" s="88" customFormat="1" ht="80.25" customHeight="1" x14ac:dyDescent="0.15">
      <c r="A8" s="757" t="s">
        <v>178</v>
      </c>
      <c r="B8" s="758"/>
      <c r="C8" s="285">
        <v>33696</v>
      </c>
      <c r="D8" s="737" t="s">
        <v>617</v>
      </c>
      <c r="E8" s="737"/>
      <c r="F8" s="737"/>
      <c r="G8" s="737"/>
      <c r="H8" s="737"/>
      <c r="I8" s="737"/>
    </row>
    <row r="9" spans="1:9" s="88" customFormat="1" ht="28.5" customHeight="1"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456" t="s">
        <v>68</v>
      </c>
      <c r="B13" s="456" t="s">
        <v>181</v>
      </c>
      <c r="C13" s="456" t="s">
        <v>25</v>
      </c>
      <c r="D13" s="286"/>
      <c r="E13" s="287"/>
      <c r="F13" s="287"/>
      <c r="G13" s="287"/>
      <c r="H13" s="287"/>
      <c r="I13" s="287"/>
    </row>
    <row r="14" spans="1:9" s="87" customFormat="1" ht="16.5" customHeight="1" x14ac:dyDescent="0.2">
      <c r="A14" s="288" t="s">
        <v>182</v>
      </c>
      <c r="B14" s="289"/>
      <c r="C14" s="290">
        <v>147049</v>
      </c>
      <c r="D14" s="291"/>
      <c r="E14" s="292"/>
      <c r="F14" s="292"/>
      <c r="G14" s="292"/>
      <c r="H14" s="292"/>
      <c r="I14" s="292"/>
    </row>
    <row r="15" spans="1:9" s="87" customFormat="1" ht="16.5" customHeight="1" x14ac:dyDescent="0.2">
      <c r="A15" s="762" t="s">
        <v>183</v>
      </c>
      <c r="B15" s="293" t="s">
        <v>70</v>
      </c>
      <c r="C15" s="294">
        <v>30472.59</v>
      </c>
      <c r="D15" s="295"/>
      <c r="E15" s="296"/>
      <c r="F15" s="296"/>
      <c r="G15" s="296"/>
      <c r="H15" s="296"/>
      <c r="I15" s="296"/>
    </row>
    <row r="16" spans="1:9" s="87" customFormat="1" ht="16.5" customHeight="1" x14ac:dyDescent="0.2">
      <c r="A16" s="763"/>
      <c r="B16" s="297" t="s">
        <v>71</v>
      </c>
      <c r="C16" s="298">
        <v>20000</v>
      </c>
      <c r="D16" s="299"/>
      <c r="E16" s="300"/>
      <c r="F16" s="300"/>
      <c r="G16" s="300"/>
      <c r="H16" s="300"/>
      <c r="I16" s="300"/>
    </row>
    <row r="17" spans="1:9" s="87" customFormat="1" ht="16.5" customHeight="1" x14ac:dyDescent="0.2">
      <c r="A17" s="457" t="s">
        <v>177</v>
      </c>
      <c r="B17" s="302"/>
      <c r="C17" s="283">
        <f>SUM(C14:C16)</f>
        <v>197521.59</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459" t="s">
        <v>181</v>
      </c>
      <c r="B21" s="459" t="s">
        <v>185</v>
      </c>
      <c r="C21" s="307" t="s">
        <v>186</v>
      </c>
      <c r="D21" s="459" t="s">
        <v>187</v>
      </c>
      <c r="E21" s="459" t="s">
        <v>188</v>
      </c>
      <c r="F21" s="764" t="s">
        <v>189</v>
      </c>
      <c r="G21" s="764"/>
      <c r="H21" s="764"/>
      <c r="I21" s="764"/>
    </row>
    <row r="22" spans="1:9" s="87" customFormat="1" ht="113.25" customHeight="1" x14ac:dyDescent="0.2">
      <c r="A22" s="310" t="s">
        <v>190</v>
      </c>
      <c r="B22" s="687">
        <v>299749.23</v>
      </c>
      <c r="C22" s="687">
        <v>262343.12</v>
      </c>
      <c r="D22" s="687">
        <v>223269.12</v>
      </c>
      <c r="E22" s="128">
        <f t="shared" ref="E22:E23" si="0">B22+C22-D22</f>
        <v>338823.23</v>
      </c>
      <c r="F22" s="778" t="s">
        <v>618</v>
      </c>
      <c r="G22" s="779"/>
      <c r="H22" s="779"/>
      <c r="I22" s="780"/>
    </row>
    <row r="23" spans="1:9" s="87" customFormat="1" ht="35.25" customHeight="1" x14ac:dyDescent="0.2">
      <c r="A23" s="293" t="s">
        <v>191</v>
      </c>
      <c r="B23" s="128">
        <v>365740.21</v>
      </c>
      <c r="C23" s="128">
        <v>1104561.1200000001</v>
      </c>
      <c r="D23" s="128">
        <v>1049955.1200000001</v>
      </c>
      <c r="E23" s="128">
        <f t="shared" si="0"/>
        <v>420346.20999999996</v>
      </c>
      <c r="F23" s="781" t="s">
        <v>619</v>
      </c>
      <c r="G23" s="782"/>
      <c r="H23" s="782"/>
      <c r="I23" s="783"/>
    </row>
    <row r="24" spans="1:9" s="87" customFormat="1" ht="24.75" customHeight="1" x14ac:dyDescent="0.2">
      <c r="A24" s="293" t="s">
        <v>71</v>
      </c>
      <c r="B24" s="128">
        <v>92624</v>
      </c>
      <c r="C24" s="128">
        <v>50000</v>
      </c>
      <c r="D24" s="128">
        <v>17340</v>
      </c>
      <c r="E24" s="128">
        <f>B24+C24-D24</f>
        <v>125284</v>
      </c>
      <c r="F24" s="781" t="s">
        <v>620</v>
      </c>
      <c r="G24" s="782"/>
      <c r="H24" s="782"/>
      <c r="I24" s="783"/>
    </row>
    <row r="25" spans="1:9" s="87" customFormat="1" ht="57.75" customHeight="1" x14ac:dyDescent="0.2">
      <c r="A25" s="311" t="s">
        <v>193</v>
      </c>
      <c r="B25" s="688">
        <v>223693.08</v>
      </c>
      <c r="C25" s="688">
        <v>243647.69</v>
      </c>
      <c r="D25" s="688">
        <v>264432</v>
      </c>
      <c r="E25" s="128">
        <f>B25+C25-D25</f>
        <v>202908.77000000002</v>
      </c>
      <c r="F25" s="784" t="s">
        <v>621</v>
      </c>
      <c r="G25" s="785"/>
      <c r="H25" s="785"/>
      <c r="I25" s="786"/>
    </row>
    <row r="26" spans="1:9" s="88" customFormat="1" ht="22.5" customHeight="1" x14ac:dyDescent="0.15">
      <c r="A26" s="670" t="s">
        <v>34</v>
      </c>
      <c r="B26" s="283">
        <f>SUM(B22:B25)</f>
        <v>981806.5199999999</v>
      </c>
      <c r="C26" s="283">
        <f t="shared" ref="C26:E26" si="1">SUM(C22:C25)</f>
        <v>1660551.9300000002</v>
      </c>
      <c r="D26" s="283">
        <f t="shared" si="1"/>
        <v>1554996.2400000002</v>
      </c>
      <c r="E26" s="283">
        <f t="shared" si="1"/>
        <v>1087362.21</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456" t="s">
        <v>72</v>
      </c>
      <c r="B30" s="456" t="s">
        <v>25</v>
      </c>
      <c r="C30" s="458" t="s">
        <v>73</v>
      </c>
      <c r="D30" s="788" t="s">
        <v>196</v>
      </c>
      <c r="E30" s="788"/>
      <c r="F30" s="788"/>
      <c r="G30" s="788"/>
      <c r="H30" s="788"/>
      <c r="I30" s="788"/>
    </row>
    <row r="31" spans="1:9" s="87" customFormat="1" ht="11.25" x14ac:dyDescent="0.2">
      <c r="A31" s="471"/>
      <c r="B31" s="472">
        <v>0</v>
      </c>
      <c r="C31" s="473"/>
      <c r="D31" s="774"/>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customHeight="1"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customHeight="1" x14ac:dyDescent="0.2">
      <c r="A36" s="456" t="s">
        <v>72</v>
      </c>
      <c r="B36" s="456" t="s">
        <v>25</v>
      </c>
      <c r="C36" s="458" t="s">
        <v>73</v>
      </c>
      <c r="D36" s="788" t="s">
        <v>196</v>
      </c>
      <c r="E36" s="788"/>
      <c r="F36" s="788"/>
      <c r="G36" s="788"/>
      <c r="H36" s="788"/>
      <c r="I36" s="788"/>
    </row>
    <row r="37" spans="1:9" s="87" customFormat="1" ht="11.25" x14ac:dyDescent="0.2">
      <c r="A37" s="471"/>
      <c r="B37" s="472">
        <v>0</v>
      </c>
      <c r="C37" s="314"/>
      <c r="D37" s="774"/>
      <c r="E37" s="746"/>
      <c r="F37" s="746"/>
      <c r="G37" s="746"/>
      <c r="H37" s="746"/>
      <c r="I37" s="775"/>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11.25" x14ac:dyDescent="0.2">
      <c r="A42" s="456" t="s">
        <v>25</v>
      </c>
      <c r="B42" s="514" t="s">
        <v>100</v>
      </c>
      <c r="C42" s="765" t="s">
        <v>74</v>
      </c>
      <c r="D42" s="765"/>
      <c r="E42" s="765"/>
      <c r="F42" s="765"/>
      <c r="G42" s="765"/>
      <c r="H42" s="765"/>
      <c r="I42" s="765"/>
    </row>
    <row r="43" spans="1:9" s="91" customFormat="1" ht="23.25" customHeight="1" x14ac:dyDescent="0.2">
      <c r="A43" s="131">
        <v>57509</v>
      </c>
      <c r="B43" s="131">
        <f>A43</f>
        <v>57509</v>
      </c>
      <c r="C43" s="1034" t="s">
        <v>651</v>
      </c>
      <c r="D43" s="1034"/>
      <c r="E43" s="1034"/>
      <c r="F43" s="1034"/>
      <c r="G43" s="1034"/>
      <c r="H43" s="1034"/>
      <c r="I43" s="1034"/>
    </row>
    <row r="44" spans="1:9" s="91" customFormat="1" ht="22.5" customHeight="1" x14ac:dyDescent="0.2">
      <c r="A44" s="131">
        <v>14132</v>
      </c>
      <c r="B44" s="131">
        <f>A44</f>
        <v>14132</v>
      </c>
      <c r="C44" s="1034" t="s">
        <v>650</v>
      </c>
      <c r="D44" s="1034"/>
      <c r="E44" s="1034"/>
      <c r="F44" s="1034"/>
      <c r="G44" s="1034"/>
      <c r="H44" s="1034"/>
      <c r="I44" s="1034"/>
    </row>
    <row r="45" spans="1:9" s="91" customFormat="1" ht="22.5" customHeight="1" x14ac:dyDescent="0.2">
      <c r="A45" s="131">
        <v>48405</v>
      </c>
      <c r="B45" s="131">
        <v>11636</v>
      </c>
      <c r="C45" s="1034" t="s">
        <v>649</v>
      </c>
      <c r="D45" s="1034"/>
      <c r="E45" s="1034"/>
      <c r="F45" s="1034"/>
      <c r="G45" s="1034"/>
      <c r="H45" s="1034"/>
      <c r="I45" s="1034"/>
    </row>
    <row r="46" spans="1:9" s="88" customFormat="1" ht="11.25" customHeight="1" x14ac:dyDescent="0.15">
      <c r="A46" s="283">
        <f>SUM(A43:A45)</f>
        <v>120046</v>
      </c>
      <c r="B46" s="283">
        <f>SUM(B43:B45)</f>
        <v>83277</v>
      </c>
      <c r="C46" s="767" t="s">
        <v>34</v>
      </c>
      <c r="D46" s="767"/>
      <c r="E46" s="767"/>
      <c r="F46" s="767"/>
      <c r="G46" s="767"/>
      <c r="H46" s="767"/>
      <c r="I46" s="767"/>
    </row>
    <row r="47" spans="1:9" s="87" customFormat="1" ht="11.25" x14ac:dyDescent="0.2">
      <c r="C47" s="89"/>
    </row>
    <row r="48" spans="1:9" s="87" customFormat="1" ht="11.25" x14ac:dyDescent="0.2">
      <c r="A48" s="742" t="s">
        <v>199</v>
      </c>
      <c r="B48" s="742"/>
      <c r="C48" s="742"/>
      <c r="D48" s="742"/>
      <c r="E48" s="742"/>
      <c r="F48" s="742"/>
      <c r="G48" s="742"/>
      <c r="H48" s="742"/>
      <c r="I48" s="742"/>
    </row>
    <row r="49" spans="1:7" s="87" customFormat="1" ht="11.25" x14ac:dyDescent="0.2">
      <c r="C49" s="89"/>
    </row>
    <row r="50" spans="1:7" s="151" customFormat="1" ht="31.5" x14ac:dyDescent="0.25">
      <c r="A50" s="743" t="s">
        <v>101</v>
      </c>
      <c r="B50" s="744"/>
      <c r="C50" s="459" t="s">
        <v>102</v>
      </c>
      <c r="D50" s="459" t="s">
        <v>103</v>
      </c>
      <c r="E50" s="459" t="s">
        <v>104</v>
      </c>
      <c r="F50" s="459" t="s">
        <v>105</v>
      </c>
      <c r="G50" s="459" t="s">
        <v>94</v>
      </c>
    </row>
    <row r="51" spans="1:7" s="105" customFormat="1" ht="21.75" customHeight="1" x14ac:dyDescent="0.2">
      <c r="A51" s="1033" t="s">
        <v>652</v>
      </c>
      <c r="B51" s="868"/>
      <c r="C51" s="348" t="s">
        <v>108</v>
      </c>
      <c r="D51" s="521"/>
      <c r="E51" s="521">
        <v>11880</v>
      </c>
      <c r="F51" s="349">
        <v>42080</v>
      </c>
      <c r="G51" s="349">
        <v>42129</v>
      </c>
    </row>
    <row r="52" spans="1:7" s="105" customFormat="1" ht="34.5" customHeight="1" x14ac:dyDescent="0.2">
      <c r="A52" s="1036" t="s">
        <v>653</v>
      </c>
      <c r="B52" s="867"/>
      <c r="C52" s="353" t="s">
        <v>114</v>
      </c>
      <c r="D52" s="522">
        <v>11880</v>
      </c>
      <c r="E52" s="522"/>
      <c r="F52" s="352">
        <v>42080</v>
      </c>
      <c r="G52" s="352">
        <v>42129</v>
      </c>
    </row>
    <row r="53" spans="1:7" s="105" customFormat="1" ht="36" customHeight="1" x14ac:dyDescent="0.2">
      <c r="A53" s="1037" t="s">
        <v>654</v>
      </c>
      <c r="B53" s="1022"/>
      <c r="C53" s="479" t="s">
        <v>147</v>
      </c>
      <c r="D53" s="523">
        <v>841753</v>
      </c>
      <c r="E53" s="523"/>
      <c r="F53" s="481">
        <v>42107</v>
      </c>
      <c r="G53" s="481">
        <v>42129</v>
      </c>
    </row>
    <row r="54" spans="1:7" s="105" customFormat="1" ht="36.75" customHeight="1" x14ac:dyDescent="0.2">
      <c r="A54" s="1037" t="s">
        <v>655</v>
      </c>
      <c r="B54" s="1022"/>
      <c r="C54" s="479" t="s">
        <v>112</v>
      </c>
      <c r="D54" s="523"/>
      <c r="E54" s="523">
        <v>841753</v>
      </c>
      <c r="F54" s="481">
        <v>42122</v>
      </c>
      <c r="G54" s="481">
        <v>42129</v>
      </c>
    </row>
    <row r="55" spans="1:7" s="105" customFormat="1" ht="22.5" customHeight="1" x14ac:dyDescent="0.2">
      <c r="A55" s="1036" t="s">
        <v>656</v>
      </c>
      <c r="B55" s="867"/>
      <c r="C55" s="353" t="s">
        <v>117</v>
      </c>
      <c r="D55" s="522">
        <v>17340</v>
      </c>
      <c r="E55" s="522"/>
      <c r="F55" s="352">
        <v>42193</v>
      </c>
      <c r="G55" s="352">
        <v>42193</v>
      </c>
    </row>
    <row r="56" spans="1:7" s="105" customFormat="1" ht="23.25" customHeight="1" x14ac:dyDescent="0.2">
      <c r="A56" s="1036" t="s">
        <v>657</v>
      </c>
      <c r="B56" s="867"/>
      <c r="C56" s="353" t="s">
        <v>622</v>
      </c>
      <c r="D56" s="522"/>
      <c r="E56" s="522">
        <v>17340</v>
      </c>
      <c r="F56" s="352"/>
      <c r="G56" s="352"/>
    </row>
    <row r="57" spans="1:7" s="515" customFormat="1" ht="46.5" customHeight="1" x14ac:dyDescent="0.2">
      <c r="A57" s="1038" t="s">
        <v>1232</v>
      </c>
      <c r="B57" s="1039"/>
      <c r="C57" s="490" t="s">
        <v>623</v>
      </c>
      <c r="D57" s="524">
        <v>-25000</v>
      </c>
      <c r="E57" s="524"/>
      <c r="F57" s="147">
        <v>42205</v>
      </c>
      <c r="G57" s="147">
        <v>42205</v>
      </c>
    </row>
    <row r="58" spans="1:7" s="515" customFormat="1" ht="24" customHeight="1" x14ac:dyDescent="0.2">
      <c r="A58" s="1038" t="s">
        <v>1233</v>
      </c>
      <c r="B58" s="1039"/>
      <c r="C58" s="490" t="s">
        <v>482</v>
      </c>
      <c r="D58" s="524"/>
      <c r="E58" s="524">
        <v>-25000</v>
      </c>
      <c r="F58" s="147"/>
      <c r="G58" s="147"/>
    </row>
    <row r="59" spans="1:7" s="105" customFormat="1" ht="13.5" customHeight="1" x14ac:dyDescent="0.2">
      <c r="A59" s="1037" t="s">
        <v>694</v>
      </c>
      <c r="B59" s="1022"/>
      <c r="C59" s="479" t="s">
        <v>624</v>
      </c>
      <c r="D59" s="523">
        <v>16000</v>
      </c>
      <c r="E59" s="523"/>
      <c r="F59" s="481">
        <v>42205</v>
      </c>
      <c r="G59" s="481">
        <v>42205</v>
      </c>
    </row>
    <row r="60" spans="1:7" s="105" customFormat="1" ht="24" customHeight="1" x14ac:dyDescent="0.2">
      <c r="A60" s="1037" t="s">
        <v>658</v>
      </c>
      <c r="B60" s="1022"/>
      <c r="C60" s="479" t="s">
        <v>254</v>
      </c>
      <c r="D60" s="523"/>
      <c r="E60" s="523">
        <v>10000</v>
      </c>
      <c r="F60" s="481"/>
      <c r="G60" s="481"/>
    </row>
    <row r="61" spans="1:7" s="105" customFormat="1" ht="12.75" customHeight="1" x14ac:dyDescent="0.2">
      <c r="A61" s="1037" t="s">
        <v>659</v>
      </c>
      <c r="B61" s="1022"/>
      <c r="C61" s="479" t="s">
        <v>625</v>
      </c>
      <c r="D61" s="523"/>
      <c r="E61" s="523">
        <v>3000</v>
      </c>
      <c r="F61" s="481"/>
      <c r="G61" s="481"/>
    </row>
    <row r="62" spans="1:7" s="105" customFormat="1" ht="12.75" customHeight="1" x14ac:dyDescent="0.2">
      <c r="A62" s="1037" t="s">
        <v>660</v>
      </c>
      <c r="B62" s="1022"/>
      <c r="C62" s="479" t="s">
        <v>626</v>
      </c>
      <c r="D62" s="523"/>
      <c r="E62" s="523">
        <v>1700</v>
      </c>
      <c r="F62" s="481"/>
      <c r="G62" s="481"/>
    </row>
    <row r="63" spans="1:7" s="105" customFormat="1" ht="24" customHeight="1" x14ac:dyDescent="0.2">
      <c r="A63" s="1037" t="s">
        <v>661</v>
      </c>
      <c r="B63" s="1022"/>
      <c r="C63" s="479" t="s">
        <v>627</v>
      </c>
      <c r="D63" s="523"/>
      <c r="E63" s="523">
        <v>300</v>
      </c>
      <c r="F63" s="481"/>
      <c r="G63" s="481"/>
    </row>
    <row r="64" spans="1:7" s="105" customFormat="1" ht="12" customHeight="1" x14ac:dyDescent="0.2">
      <c r="A64" s="1037" t="s">
        <v>662</v>
      </c>
      <c r="B64" s="1022"/>
      <c r="C64" s="479" t="s">
        <v>628</v>
      </c>
      <c r="D64" s="523"/>
      <c r="E64" s="523">
        <v>1000</v>
      </c>
      <c r="F64" s="481"/>
      <c r="G64" s="481"/>
    </row>
    <row r="65" spans="1:7" s="105" customFormat="1" ht="23.25" customHeight="1" x14ac:dyDescent="0.2">
      <c r="A65" s="1038" t="s">
        <v>663</v>
      </c>
      <c r="B65" s="1039"/>
      <c r="C65" s="490" t="s">
        <v>629</v>
      </c>
      <c r="D65" s="524">
        <v>57509</v>
      </c>
      <c r="E65" s="524"/>
      <c r="F65" s="147">
        <v>42205</v>
      </c>
      <c r="G65" s="147">
        <v>42205</v>
      </c>
    </row>
    <row r="66" spans="1:7" s="105" customFormat="1" ht="22.5" customHeight="1" x14ac:dyDescent="0.2">
      <c r="A66" s="1038" t="s">
        <v>663</v>
      </c>
      <c r="B66" s="1039"/>
      <c r="C66" s="490" t="s">
        <v>107</v>
      </c>
      <c r="D66" s="524"/>
      <c r="E66" s="524">
        <v>20870</v>
      </c>
      <c r="F66" s="147"/>
      <c r="G66" s="147"/>
    </row>
    <row r="67" spans="1:7" s="105" customFormat="1" ht="22.5" customHeight="1" x14ac:dyDescent="0.2">
      <c r="A67" s="1038" t="s">
        <v>663</v>
      </c>
      <c r="B67" s="1039"/>
      <c r="C67" s="490" t="s">
        <v>113</v>
      </c>
      <c r="D67" s="524"/>
      <c r="E67" s="524">
        <v>36639</v>
      </c>
      <c r="F67" s="147"/>
      <c r="G67" s="147"/>
    </row>
    <row r="68" spans="1:7" s="105" customFormat="1" ht="24" customHeight="1" x14ac:dyDescent="0.2">
      <c r="A68" s="1037" t="s">
        <v>664</v>
      </c>
      <c r="B68" s="1022"/>
      <c r="C68" s="479" t="s">
        <v>630</v>
      </c>
      <c r="D68" s="523">
        <v>50000</v>
      </c>
      <c r="E68" s="523"/>
      <c r="F68" s="481">
        <v>42215</v>
      </c>
      <c r="G68" s="481">
        <v>42215</v>
      </c>
    </row>
    <row r="69" spans="1:7" s="105" customFormat="1" ht="22.5" customHeight="1" x14ac:dyDescent="0.2">
      <c r="A69" s="1037" t="s">
        <v>664</v>
      </c>
      <c r="B69" s="1022"/>
      <c r="C69" s="479" t="s">
        <v>631</v>
      </c>
      <c r="D69" s="523"/>
      <c r="E69" s="523">
        <v>50000</v>
      </c>
      <c r="F69" s="481"/>
      <c r="G69" s="481"/>
    </row>
    <row r="70" spans="1:7" s="105" customFormat="1" ht="23.25" customHeight="1" x14ac:dyDescent="0.2">
      <c r="A70" s="1038" t="s">
        <v>665</v>
      </c>
      <c r="B70" s="1039"/>
      <c r="C70" s="490" t="s">
        <v>166</v>
      </c>
      <c r="D70" s="524"/>
      <c r="E70" s="524">
        <v>61000</v>
      </c>
      <c r="F70" s="147">
        <v>42215</v>
      </c>
      <c r="G70" s="147">
        <v>42215</v>
      </c>
    </row>
    <row r="71" spans="1:7" s="105" customFormat="1" ht="22.5" customHeight="1" x14ac:dyDescent="0.2">
      <c r="A71" s="1038" t="s">
        <v>666</v>
      </c>
      <c r="B71" s="1039"/>
      <c r="C71" s="490" t="s">
        <v>254</v>
      </c>
      <c r="D71" s="524"/>
      <c r="E71" s="524">
        <v>-25000</v>
      </c>
      <c r="F71" s="147"/>
      <c r="G71" s="147"/>
    </row>
    <row r="72" spans="1:7" s="105" customFormat="1" ht="34.5" customHeight="1" x14ac:dyDescent="0.2">
      <c r="A72" s="1038" t="s">
        <v>667</v>
      </c>
      <c r="B72" s="1039"/>
      <c r="C72" s="490" t="s">
        <v>632</v>
      </c>
      <c r="D72" s="524"/>
      <c r="E72" s="524">
        <v>-36000</v>
      </c>
      <c r="F72" s="147"/>
      <c r="G72" s="147"/>
    </row>
    <row r="73" spans="1:7" s="105" customFormat="1" ht="23.25" customHeight="1" x14ac:dyDescent="0.2">
      <c r="A73" s="1038" t="s">
        <v>668</v>
      </c>
      <c r="B73" s="1039"/>
      <c r="C73" s="490" t="s">
        <v>629</v>
      </c>
      <c r="D73" s="524">
        <v>14132</v>
      </c>
      <c r="E73" s="524"/>
      <c r="F73" s="147">
        <v>42324</v>
      </c>
      <c r="G73" s="147">
        <v>42324</v>
      </c>
    </row>
    <row r="74" spans="1:7" s="105" customFormat="1" ht="22.5" customHeight="1" x14ac:dyDescent="0.2">
      <c r="A74" s="1038" t="s">
        <v>668</v>
      </c>
      <c r="B74" s="1039"/>
      <c r="C74" s="490" t="s">
        <v>113</v>
      </c>
      <c r="D74" s="524"/>
      <c r="E74" s="524">
        <v>14132</v>
      </c>
      <c r="F74" s="147"/>
      <c r="G74" s="147"/>
    </row>
    <row r="75" spans="1:7" s="105" customFormat="1" ht="45.75" customHeight="1" x14ac:dyDescent="0.2">
      <c r="A75" s="1037" t="s">
        <v>669</v>
      </c>
      <c r="B75" s="1022"/>
      <c r="C75" s="479" t="s">
        <v>633</v>
      </c>
      <c r="D75" s="523"/>
      <c r="E75" s="523">
        <v>-200000</v>
      </c>
      <c r="F75" s="481">
        <v>42327</v>
      </c>
      <c r="G75" s="481">
        <v>42327</v>
      </c>
    </row>
    <row r="76" spans="1:7" s="105" customFormat="1" ht="35.25" customHeight="1" x14ac:dyDescent="0.2">
      <c r="A76" s="1037" t="s">
        <v>1234</v>
      </c>
      <c r="B76" s="1022"/>
      <c r="C76" s="479" t="s">
        <v>107</v>
      </c>
      <c r="D76" s="523"/>
      <c r="E76" s="523">
        <v>132000</v>
      </c>
      <c r="F76" s="481"/>
      <c r="G76" s="481"/>
    </row>
    <row r="77" spans="1:7" s="105" customFormat="1" ht="35.25" customHeight="1" x14ac:dyDescent="0.2">
      <c r="A77" s="1037" t="s">
        <v>670</v>
      </c>
      <c r="B77" s="1022"/>
      <c r="C77" s="479" t="s">
        <v>113</v>
      </c>
      <c r="D77" s="523"/>
      <c r="E77" s="523">
        <v>68000</v>
      </c>
      <c r="F77" s="481"/>
      <c r="G77" s="481"/>
    </row>
    <row r="78" spans="1:7" s="515" customFormat="1" ht="34.5" customHeight="1" x14ac:dyDescent="0.2">
      <c r="A78" s="1038" t="s">
        <v>671</v>
      </c>
      <c r="B78" s="1039"/>
      <c r="C78" s="490" t="s">
        <v>112</v>
      </c>
      <c r="D78" s="524"/>
      <c r="E78" s="524">
        <v>-95000</v>
      </c>
      <c r="F78" s="147">
        <v>42349</v>
      </c>
      <c r="G78" s="147">
        <v>42349</v>
      </c>
    </row>
    <row r="79" spans="1:7" s="515" customFormat="1" ht="34.5" customHeight="1" x14ac:dyDescent="0.2">
      <c r="A79" s="1038" t="s">
        <v>1235</v>
      </c>
      <c r="B79" s="1039"/>
      <c r="C79" s="490" t="s">
        <v>107</v>
      </c>
      <c r="D79" s="524"/>
      <c r="E79" s="524">
        <v>88000</v>
      </c>
      <c r="F79" s="147"/>
      <c r="G79" s="147"/>
    </row>
    <row r="80" spans="1:7" s="515" customFormat="1" ht="36" customHeight="1" x14ac:dyDescent="0.2">
      <c r="A80" s="1038" t="s">
        <v>672</v>
      </c>
      <c r="B80" s="1039"/>
      <c r="C80" s="490" t="s">
        <v>113</v>
      </c>
      <c r="D80" s="524"/>
      <c r="E80" s="524">
        <v>7000</v>
      </c>
      <c r="F80" s="147"/>
      <c r="G80" s="147"/>
    </row>
    <row r="81" spans="1:9" s="105" customFormat="1" ht="24.75" customHeight="1" x14ac:dyDescent="0.2">
      <c r="A81" s="1037" t="s">
        <v>673</v>
      </c>
      <c r="B81" s="1022"/>
      <c r="C81" s="479" t="s">
        <v>623</v>
      </c>
      <c r="D81" s="523">
        <v>-30000</v>
      </c>
      <c r="E81" s="523"/>
      <c r="F81" s="481">
        <v>42358</v>
      </c>
      <c r="G81" s="481">
        <v>42358</v>
      </c>
    </row>
    <row r="82" spans="1:9" s="105" customFormat="1" ht="22.5" customHeight="1" x14ac:dyDescent="0.2">
      <c r="A82" s="1037" t="s">
        <v>674</v>
      </c>
      <c r="B82" s="1022"/>
      <c r="C82" s="479" t="s">
        <v>233</v>
      </c>
      <c r="D82" s="523"/>
      <c r="E82" s="523">
        <v>-30000</v>
      </c>
      <c r="F82" s="481"/>
      <c r="G82" s="481"/>
    </row>
    <row r="83" spans="1:9" s="515" customFormat="1" ht="12" customHeight="1" x14ac:dyDescent="0.2">
      <c r="A83" s="1038" t="s">
        <v>675</v>
      </c>
      <c r="B83" s="1039"/>
      <c r="C83" s="490" t="s">
        <v>634</v>
      </c>
      <c r="D83" s="524">
        <v>-4000</v>
      </c>
      <c r="E83" s="524"/>
      <c r="F83" s="147">
        <v>42358</v>
      </c>
      <c r="G83" s="147">
        <v>42358</v>
      </c>
    </row>
    <row r="84" spans="1:9" s="515" customFormat="1" ht="12.75" customHeight="1" x14ac:dyDescent="0.2">
      <c r="A84" s="1038" t="s">
        <v>676</v>
      </c>
      <c r="B84" s="1039"/>
      <c r="C84" s="490" t="s">
        <v>635</v>
      </c>
      <c r="D84" s="524"/>
      <c r="E84" s="524">
        <v>-4000</v>
      </c>
      <c r="F84" s="147"/>
      <c r="G84" s="147"/>
    </row>
    <row r="85" spans="1:9" s="105" customFormat="1" ht="23.25" customHeight="1" x14ac:dyDescent="0.2">
      <c r="A85" s="1037" t="s">
        <v>677</v>
      </c>
      <c r="B85" s="1022"/>
      <c r="C85" s="479" t="s">
        <v>636</v>
      </c>
      <c r="D85" s="523">
        <v>-5800</v>
      </c>
      <c r="E85" s="523"/>
      <c r="F85" s="481">
        <v>42358</v>
      </c>
      <c r="G85" s="481">
        <v>42358</v>
      </c>
    </row>
    <row r="86" spans="1:9" s="105" customFormat="1" ht="23.25" customHeight="1" x14ac:dyDescent="0.2">
      <c r="A86" s="1037" t="s">
        <v>678</v>
      </c>
      <c r="B86" s="1022"/>
      <c r="C86" s="479" t="s">
        <v>318</v>
      </c>
      <c r="D86" s="523">
        <v>5800</v>
      </c>
      <c r="E86" s="523"/>
      <c r="F86" s="481"/>
      <c r="G86" s="481"/>
    </row>
    <row r="87" spans="1:9" s="515" customFormat="1" ht="22.5" customHeight="1" x14ac:dyDescent="0.2">
      <c r="A87" s="1038" t="s">
        <v>679</v>
      </c>
      <c r="B87" s="1039"/>
      <c r="C87" s="490" t="s">
        <v>113</v>
      </c>
      <c r="D87" s="524"/>
      <c r="E87" s="524">
        <v>15000</v>
      </c>
      <c r="F87" s="147">
        <v>42358</v>
      </c>
      <c r="G87" s="147">
        <v>42358</v>
      </c>
    </row>
    <row r="88" spans="1:9" s="515" customFormat="1" ht="24" customHeight="1" x14ac:dyDescent="0.2">
      <c r="A88" s="1038" t="s">
        <v>680</v>
      </c>
      <c r="B88" s="1039"/>
      <c r="C88" s="490" t="s">
        <v>637</v>
      </c>
      <c r="D88" s="524"/>
      <c r="E88" s="524">
        <v>-15000</v>
      </c>
      <c r="F88" s="147"/>
      <c r="G88" s="147"/>
    </row>
    <row r="89" spans="1:9" s="515" customFormat="1" ht="34.5" customHeight="1" x14ac:dyDescent="0.2">
      <c r="A89" s="1037" t="s">
        <v>681</v>
      </c>
      <c r="B89" s="1022"/>
      <c r="C89" s="479" t="s">
        <v>107</v>
      </c>
      <c r="D89" s="523"/>
      <c r="E89" s="523">
        <v>43000</v>
      </c>
      <c r="F89" s="481">
        <v>42358</v>
      </c>
      <c r="G89" s="481">
        <v>42358</v>
      </c>
    </row>
    <row r="90" spans="1:9" s="515" customFormat="1" ht="22.5" customHeight="1" x14ac:dyDescent="0.2">
      <c r="A90" s="1040" t="s">
        <v>682</v>
      </c>
      <c r="B90" s="1041"/>
      <c r="C90" s="516" t="s">
        <v>638</v>
      </c>
      <c r="D90" s="517"/>
      <c r="E90" s="517">
        <v>-43000</v>
      </c>
      <c r="F90" s="518"/>
      <c r="G90" s="518"/>
    </row>
    <row r="91" spans="1:9" s="87" customFormat="1" ht="11.25" customHeight="1" x14ac:dyDescent="0.2">
      <c r="A91" s="870" t="s">
        <v>111</v>
      </c>
      <c r="B91" s="871"/>
      <c r="C91" s="355"/>
      <c r="D91" s="129">
        <f>SUM(D51:D90)</f>
        <v>949614</v>
      </c>
      <c r="E91" s="129">
        <f>SUM(E51:E90)</f>
        <v>949614</v>
      </c>
      <c r="F91" s="1042"/>
      <c r="G91" s="1043"/>
    </row>
    <row r="92" spans="1:9" s="87" customFormat="1" ht="12" customHeight="1" x14ac:dyDescent="0.2">
      <c r="C92" s="89"/>
    </row>
    <row r="93" spans="1:9" s="87" customFormat="1" ht="12" customHeight="1" x14ac:dyDescent="0.2">
      <c r="A93" s="742" t="s">
        <v>211</v>
      </c>
      <c r="B93" s="742"/>
      <c r="C93" s="742"/>
      <c r="D93" s="742"/>
      <c r="E93" s="742"/>
      <c r="F93" s="742"/>
      <c r="G93" s="742"/>
      <c r="H93" s="742"/>
      <c r="I93" s="742"/>
    </row>
    <row r="94" spans="1:9" s="87" customFormat="1" ht="12" customHeight="1" x14ac:dyDescent="0.2">
      <c r="C94" s="89"/>
    </row>
    <row r="95" spans="1:9" s="151" customFormat="1" ht="35.25" customHeight="1" x14ac:dyDescent="0.25">
      <c r="A95" s="743" t="s">
        <v>101</v>
      </c>
      <c r="B95" s="744"/>
      <c r="C95" s="459" t="s">
        <v>102</v>
      </c>
      <c r="D95" s="459" t="s">
        <v>103</v>
      </c>
      <c r="E95" s="459" t="s">
        <v>104</v>
      </c>
      <c r="F95" s="459" t="s">
        <v>105</v>
      </c>
      <c r="G95" s="459" t="s">
        <v>94</v>
      </c>
    </row>
    <row r="96" spans="1:9" s="105" customFormat="1" ht="11.25" customHeight="1" x14ac:dyDescent="0.2">
      <c r="A96" s="1033" t="s">
        <v>683</v>
      </c>
      <c r="B96" s="868"/>
      <c r="C96" s="348" t="s">
        <v>639</v>
      </c>
      <c r="D96" s="525">
        <v>8525</v>
      </c>
      <c r="E96" s="525"/>
      <c r="F96" s="349">
        <v>42358</v>
      </c>
      <c r="G96" s="349">
        <v>42358</v>
      </c>
    </row>
    <row r="97" spans="1:9" s="105" customFormat="1" ht="11.25" customHeight="1" x14ac:dyDescent="0.2">
      <c r="A97" s="1036" t="s">
        <v>684</v>
      </c>
      <c r="B97" s="867"/>
      <c r="C97" s="353" t="s">
        <v>640</v>
      </c>
      <c r="D97" s="526">
        <v>143000</v>
      </c>
      <c r="E97" s="526"/>
      <c r="F97" s="352">
        <v>42358</v>
      </c>
      <c r="G97" s="352">
        <v>42358</v>
      </c>
    </row>
    <row r="98" spans="1:9" s="105" customFormat="1" ht="22.5" customHeight="1" x14ac:dyDescent="0.2">
      <c r="A98" s="1036" t="s">
        <v>641</v>
      </c>
      <c r="B98" s="867"/>
      <c r="C98" s="353" t="s">
        <v>642</v>
      </c>
      <c r="D98" s="526"/>
      <c r="E98" s="526">
        <v>19000</v>
      </c>
      <c r="F98" s="352">
        <v>42358</v>
      </c>
      <c r="G98" s="352">
        <v>42358</v>
      </c>
    </row>
    <row r="99" spans="1:9" s="105" customFormat="1" ht="22.5" customHeight="1" x14ac:dyDescent="0.2">
      <c r="A99" s="1036" t="s">
        <v>643</v>
      </c>
      <c r="B99" s="867"/>
      <c r="C99" s="353" t="s">
        <v>644</v>
      </c>
      <c r="D99" s="526"/>
      <c r="E99" s="526">
        <v>18000</v>
      </c>
      <c r="F99" s="352">
        <v>42358</v>
      </c>
      <c r="G99" s="352">
        <v>42358</v>
      </c>
    </row>
    <row r="100" spans="1:9" s="105" customFormat="1" ht="11.25" customHeight="1" x14ac:dyDescent="0.2">
      <c r="A100" s="1036" t="s">
        <v>685</v>
      </c>
      <c r="B100" s="867"/>
      <c r="C100" s="353" t="s">
        <v>645</v>
      </c>
      <c r="D100" s="526"/>
      <c r="E100" s="526">
        <v>1517</v>
      </c>
      <c r="F100" s="352">
        <v>42358</v>
      </c>
      <c r="G100" s="352">
        <v>42358</v>
      </c>
    </row>
    <row r="101" spans="1:9" s="105" customFormat="1" ht="11.25" customHeight="1" x14ac:dyDescent="0.2">
      <c r="A101" s="1036" t="s">
        <v>686</v>
      </c>
      <c r="B101" s="867"/>
      <c r="C101" s="353" t="s">
        <v>646</v>
      </c>
      <c r="D101" s="526"/>
      <c r="E101" s="526">
        <v>8</v>
      </c>
      <c r="F101" s="352">
        <v>42358</v>
      </c>
      <c r="G101" s="352">
        <v>42358</v>
      </c>
    </row>
    <row r="102" spans="1:9" s="105" customFormat="1" ht="11.25" customHeight="1" x14ac:dyDescent="0.2">
      <c r="A102" s="1044" t="s">
        <v>687</v>
      </c>
      <c r="B102" s="998"/>
      <c r="C102" s="520" t="s">
        <v>647</v>
      </c>
      <c r="D102" s="519"/>
      <c r="E102" s="519">
        <v>113000</v>
      </c>
      <c r="F102" s="354">
        <v>42358</v>
      </c>
      <c r="G102" s="354">
        <v>42358</v>
      </c>
    </row>
    <row r="103" spans="1:9" s="87" customFormat="1" ht="11.25" customHeight="1" x14ac:dyDescent="0.2">
      <c r="A103" s="870" t="s">
        <v>111</v>
      </c>
      <c r="B103" s="871"/>
      <c r="C103" s="355"/>
      <c r="D103" s="129">
        <f>SUM(D96:D102)</f>
        <v>151525</v>
      </c>
      <c r="E103" s="129">
        <f>SUM(E96:E102)</f>
        <v>151525</v>
      </c>
      <c r="F103" s="1042"/>
      <c r="G103" s="1043"/>
    </row>
    <row r="104" spans="1:9" s="87" customFormat="1" ht="11.25" customHeight="1" x14ac:dyDescent="0.2">
      <c r="C104" s="89"/>
    </row>
    <row r="105" spans="1:9" s="87" customFormat="1" ht="12" customHeight="1" x14ac:dyDescent="0.2">
      <c r="A105" s="738" t="s">
        <v>212</v>
      </c>
      <c r="B105" s="738"/>
      <c r="C105" s="738"/>
      <c r="D105" s="738"/>
      <c r="E105" s="738"/>
      <c r="F105" s="738"/>
      <c r="G105" s="738"/>
      <c r="H105" s="738"/>
      <c r="I105" s="738"/>
    </row>
    <row r="106" spans="1:9" s="87" customFormat="1" ht="12" customHeight="1" x14ac:dyDescent="0.2"/>
    <row r="107" spans="1:9" s="91" customFormat="1" ht="26.25" customHeight="1" x14ac:dyDescent="0.2">
      <c r="A107" s="1045" t="s">
        <v>756</v>
      </c>
      <c r="B107" s="1046"/>
      <c r="C107" s="1046"/>
      <c r="D107" s="1046"/>
      <c r="E107" s="1046"/>
      <c r="F107" s="1046"/>
      <c r="G107" s="1046"/>
      <c r="H107" s="1046"/>
      <c r="I107" s="1047"/>
    </row>
    <row r="108" spans="1:9" s="87" customFormat="1" ht="12" customHeight="1" x14ac:dyDescent="0.2"/>
    <row r="109" spans="1:9" s="88" customFormat="1" ht="12" customHeight="1" x14ac:dyDescent="0.15">
      <c r="A109" s="742" t="s">
        <v>213</v>
      </c>
      <c r="B109" s="742"/>
      <c r="C109" s="742"/>
      <c r="D109" s="742"/>
      <c r="E109" s="742"/>
      <c r="F109" s="742"/>
      <c r="G109" s="742"/>
      <c r="H109" s="742"/>
      <c r="I109" s="742"/>
    </row>
    <row r="110" spans="1:9" s="87" customFormat="1" ht="12.75" customHeight="1" x14ac:dyDescent="0.2"/>
    <row r="111" spans="1:9" s="66" customFormat="1" ht="34.5" customHeight="1" x14ac:dyDescent="0.2">
      <c r="A111" s="781" t="s">
        <v>688</v>
      </c>
      <c r="B111" s="782"/>
      <c r="C111" s="782"/>
      <c r="D111" s="782"/>
      <c r="E111" s="782"/>
      <c r="F111" s="782"/>
      <c r="G111" s="782"/>
      <c r="H111" s="782"/>
      <c r="I111" s="783"/>
    </row>
    <row r="112" spans="1:9" s="66" customFormat="1" ht="13.5" customHeight="1" x14ac:dyDescent="0.2">
      <c r="A112" s="781" t="s">
        <v>689</v>
      </c>
      <c r="B112" s="782"/>
      <c r="C112" s="782"/>
      <c r="D112" s="782"/>
      <c r="E112" s="782"/>
      <c r="F112" s="782"/>
      <c r="G112" s="782"/>
      <c r="H112" s="782"/>
      <c r="I112" s="783"/>
    </row>
    <row r="113" spans="1:9" s="66" customFormat="1" ht="13.5" customHeight="1" x14ac:dyDescent="0.2">
      <c r="A113" s="781" t="s">
        <v>690</v>
      </c>
      <c r="B113" s="782"/>
      <c r="C113" s="782"/>
      <c r="D113" s="782"/>
      <c r="E113" s="782"/>
      <c r="F113" s="782"/>
      <c r="G113" s="782"/>
      <c r="H113" s="782"/>
      <c r="I113" s="783"/>
    </row>
    <row r="114" spans="1:9" s="28" customFormat="1" ht="34.5" customHeight="1" x14ac:dyDescent="0.2">
      <c r="A114" s="1045" t="s">
        <v>691</v>
      </c>
      <c r="B114" s="1046"/>
      <c r="C114" s="1046"/>
      <c r="D114" s="1046"/>
      <c r="E114" s="1046"/>
      <c r="F114" s="1046"/>
      <c r="G114" s="1046"/>
      <c r="H114" s="1046"/>
      <c r="I114" s="1047"/>
    </row>
    <row r="115" spans="1:9" s="87" customFormat="1" ht="13.5" customHeight="1" x14ac:dyDescent="0.2">
      <c r="A115" s="1045" t="s">
        <v>692</v>
      </c>
      <c r="B115" s="1046"/>
      <c r="C115" s="1046"/>
      <c r="D115" s="1046"/>
      <c r="E115" s="1046"/>
      <c r="F115" s="1046"/>
      <c r="G115" s="1046"/>
      <c r="H115" s="1046"/>
      <c r="I115" s="1047"/>
    </row>
    <row r="116" spans="1:9" s="28" customFormat="1" ht="48" customHeight="1" x14ac:dyDescent="0.2">
      <c r="A116" s="1045" t="s">
        <v>693</v>
      </c>
      <c r="B116" s="1046"/>
      <c r="C116" s="1046"/>
      <c r="D116" s="1046"/>
      <c r="E116" s="1046"/>
      <c r="F116" s="1046"/>
      <c r="G116" s="1046"/>
      <c r="H116" s="1046"/>
      <c r="I116" s="1047"/>
    </row>
    <row r="117" spans="1:9" s="28" customFormat="1" ht="21" customHeight="1" x14ac:dyDescent="0.2"/>
    <row r="118" spans="1:9" s="28" customFormat="1" ht="15.75" customHeight="1" x14ac:dyDescent="0.2"/>
    <row r="119" spans="1:9" s="28" customFormat="1" x14ac:dyDescent="0.2"/>
    <row r="120" spans="1:9" s="28" customFormat="1" x14ac:dyDescent="0.2"/>
    <row r="121" spans="1:9" s="28" customFormat="1" x14ac:dyDescent="0.2"/>
    <row r="122" spans="1:9" s="28" customFormat="1" x14ac:dyDescent="0.2"/>
    <row r="123" spans="1:9" s="28" customFormat="1" x14ac:dyDescent="0.2"/>
    <row r="124" spans="1:9" s="28" customFormat="1" x14ac:dyDescent="0.2"/>
    <row r="125" spans="1:9" s="28" customFormat="1" x14ac:dyDescent="0.2"/>
    <row r="126" spans="1:9" s="28" customFormat="1" x14ac:dyDescent="0.2"/>
    <row r="127" spans="1:9" s="28" customFormat="1" x14ac:dyDescent="0.2"/>
    <row r="128" spans="1:9" s="28" customFormat="1" x14ac:dyDescent="0.2"/>
    <row r="129" s="28" customFormat="1" x14ac:dyDescent="0.2"/>
    <row r="130" s="28" customFormat="1" x14ac:dyDescent="0.2"/>
    <row r="131" s="28" customFormat="1" x14ac:dyDescent="0.2"/>
    <row r="132" s="28" customFormat="1" x14ac:dyDescent="0.2"/>
    <row r="133" s="28" customFormat="1" x14ac:dyDescent="0.2"/>
    <row r="134" s="28" customFormat="1" x14ac:dyDescent="0.2"/>
    <row r="135" s="28" customFormat="1" x14ac:dyDescent="0.2"/>
    <row r="136" s="28" customFormat="1" x14ac:dyDescent="0.2"/>
    <row r="137" s="28" customFormat="1" x14ac:dyDescent="0.2"/>
    <row r="138" s="28" customFormat="1" x14ac:dyDescent="0.2"/>
    <row r="139" s="28" customFormat="1" x14ac:dyDescent="0.2"/>
    <row r="140" s="28" customFormat="1" x14ac:dyDescent="0.2"/>
    <row r="141" s="28" customFormat="1" x14ac:dyDescent="0.2"/>
    <row r="142" s="28" customFormat="1" x14ac:dyDescent="0.2"/>
    <row r="143" s="28" customFormat="1" x14ac:dyDescent="0.2"/>
    <row r="144" s="28" customFormat="1" x14ac:dyDescent="0.2"/>
    <row r="145" s="28" customFormat="1" x14ac:dyDescent="0.2"/>
    <row r="146" s="28" customFormat="1" x14ac:dyDescent="0.2"/>
    <row r="147" s="28" customFormat="1" x14ac:dyDescent="0.2"/>
    <row r="148" s="28" customFormat="1" x14ac:dyDescent="0.2"/>
    <row r="149" s="28" customFormat="1" x14ac:dyDescent="0.2"/>
    <row r="150" s="28" customFormat="1" x14ac:dyDescent="0.2"/>
    <row r="151" s="28" customFormat="1" x14ac:dyDescent="0.2"/>
    <row r="152" s="28" customFormat="1" x14ac:dyDescent="0.2"/>
    <row r="153" s="28" customFormat="1" x14ac:dyDescent="0.2"/>
    <row r="154" s="28" customFormat="1" x14ac:dyDescent="0.2"/>
    <row r="155" s="28" customFormat="1" x14ac:dyDescent="0.2"/>
    <row r="156" s="28" customFormat="1" x14ac:dyDescent="0.2"/>
    <row r="157" s="28" customFormat="1" x14ac:dyDescent="0.2"/>
    <row r="158" s="28" customFormat="1" x14ac:dyDescent="0.2"/>
    <row r="159" s="28" customFormat="1" x14ac:dyDescent="0.2"/>
    <row r="160"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sheetData>
  <mergeCells count="99">
    <mergeCell ref="A114:I114"/>
    <mergeCell ref="A115:I115"/>
    <mergeCell ref="A116:I116"/>
    <mergeCell ref="A28:I28"/>
    <mergeCell ref="D30:I30"/>
    <mergeCell ref="D31:I31"/>
    <mergeCell ref="C32:I32"/>
    <mergeCell ref="A34:I34"/>
    <mergeCell ref="D36:I36"/>
    <mergeCell ref="D37:I37"/>
    <mergeCell ref="C38:I38"/>
    <mergeCell ref="A107:I107"/>
    <mergeCell ref="A109:I109"/>
    <mergeCell ref="A111:I111"/>
    <mergeCell ref="A112:I112"/>
    <mergeCell ref="A113:I113"/>
    <mergeCell ref="A101:B101"/>
    <mergeCell ref="A102:B102"/>
    <mergeCell ref="A103:B103"/>
    <mergeCell ref="F103:G103"/>
    <mergeCell ref="A105:I105"/>
    <mergeCell ref="A96:B96"/>
    <mergeCell ref="A97:B97"/>
    <mergeCell ref="A98:B98"/>
    <mergeCell ref="A99:B99"/>
    <mergeCell ref="A100:B100"/>
    <mergeCell ref="A90:B90"/>
    <mergeCell ref="A91:B91"/>
    <mergeCell ref="F91:G91"/>
    <mergeCell ref="A93:I93"/>
    <mergeCell ref="A95:B95"/>
    <mergeCell ref="A85:B85"/>
    <mergeCell ref="A86:B86"/>
    <mergeCell ref="A87:B87"/>
    <mergeCell ref="A88:B88"/>
    <mergeCell ref="A89:B89"/>
    <mergeCell ref="A80:B80"/>
    <mergeCell ref="A81:B81"/>
    <mergeCell ref="A82:B82"/>
    <mergeCell ref="A83:B83"/>
    <mergeCell ref="A84:B84"/>
    <mergeCell ref="A75:B75"/>
    <mergeCell ref="A76:B76"/>
    <mergeCell ref="A77:B77"/>
    <mergeCell ref="A78:B78"/>
    <mergeCell ref="A79:B79"/>
    <mergeCell ref="A70:B70"/>
    <mergeCell ref="A71:B71"/>
    <mergeCell ref="A72:B72"/>
    <mergeCell ref="A73:B73"/>
    <mergeCell ref="A74:B74"/>
    <mergeCell ref="A65:B65"/>
    <mergeCell ref="A66:B66"/>
    <mergeCell ref="A67:B67"/>
    <mergeCell ref="A68:B68"/>
    <mergeCell ref="A69:B69"/>
    <mergeCell ref="A60:B60"/>
    <mergeCell ref="A61:B61"/>
    <mergeCell ref="A62:B62"/>
    <mergeCell ref="A63:B63"/>
    <mergeCell ref="A64:B64"/>
    <mergeCell ref="A52:B52"/>
    <mergeCell ref="A53:B53"/>
    <mergeCell ref="A54:B54"/>
    <mergeCell ref="A58:B58"/>
    <mergeCell ref="A59:B59"/>
    <mergeCell ref="A55:B55"/>
    <mergeCell ref="A56:B56"/>
    <mergeCell ref="A57:B57"/>
    <mergeCell ref="F22:I22"/>
    <mergeCell ref="F23:I23"/>
    <mergeCell ref="A9:B9"/>
    <mergeCell ref="D9:I9"/>
    <mergeCell ref="A15:A16"/>
    <mergeCell ref="A19:I19"/>
    <mergeCell ref="F21:I21"/>
    <mergeCell ref="A1:I1"/>
    <mergeCell ref="A7:B7"/>
    <mergeCell ref="D7:I7"/>
    <mergeCell ref="A11:I11"/>
    <mergeCell ref="A8:B8"/>
    <mergeCell ref="D8:I8"/>
    <mergeCell ref="A3:I3"/>
    <mergeCell ref="A5:B5"/>
    <mergeCell ref="D5:I5"/>
    <mergeCell ref="A6:B6"/>
    <mergeCell ref="D6:I6"/>
    <mergeCell ref="F24:I24"/>
    <mergeCell ref="A51:B51"/>
    <mergeCell ref="F26:I26"/>
    <mergeCell ref="A40:I40"/>
    <mergeCell ref="C43:I43"/>
    <mergeCell ref="C44:I44"/>
    <mergeCell ref="C45:I45"/>
    <mergeCell ref="C46:I46"/>
    <mergeCell ref="A48:I48"/>
    <mergeCell ref="A50:B50"/>
    <mergeCell ref="F25:I25"/>
    <mergeCell ref="C42:I42"/>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106" customFormat="1" ht="15.75" x14ac:dyDescent="0.25">
      <c r="A1" s="799" t="s">
        <v>84</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40846200</v>
      </c>
      <c r="F6" s="29">
        <f>SUM(F7:F9)</f>
        <v>43836794</v>
      </c>
      <c r="G6" s="29">
        <f>SUM(G7:G9)</f>
        <v>43781229.340000004</v>
      </c>
      <c r="H6" s="24">
        <f t="shared" ref="H6:H33" si="0">G6/F6*100</f>
        <v>99.873246524369463</v>
      </c>
      <c r="I6" s="29">
        <f>SUM(I7:I9)</f>
        <v>41968581.490000002</v>
      </c>
      <c r="J6" s="29">
        <f>SUM(J7:J9)</f>
        <v>9203000</v>
      </c>
      <c r="K6" s="29">
        <f>SUM(K7:K9)</f>
        <v>10152614</v>
      </c>
      <c r="L6" s="29">
        <f>SUM(L7:L9)</f>
        <v>10097345.52</v>
      </c>
      <c r="M6" s="24">
        <f t="shared" ref="M6:M32" si="1">L6/K6*100</f>
        <v>99.455623152815619</v>
      </c>
      <c r="N6" s="29">
        <f t="shared" ref="N6" si="2">SUM(N7:N9)</f>
        <v>9126636.9900000002</v>
      </c>
      <c r="O6" s="29">
        <f t="shared" ref="O6:V6" si="3">SUM(O7:O9)</f>
        <v>31643200</v>
      </c>
      <c r="P6" s="29">
        <f t="shared" si="3"/>
        <v>33684180</v>
      </c>
      <c r="Q6" s="29">
        <f t="shared" si="3"/>
        <v>33683883.82</v>
      </c>
      <c r="R6" s="24">
        <f t="shared" ref="R6:R29" si="4">Q6/P6*100</f>
        <v>99.999120714828152</v>
      </c>
      <c r="S6" s="29">
        <f t="shared" si="3"/>
        <v>32841944.5</v>
      </c>
      <c r="T6" s="527">
        <f t="shared" si="3"/>
        <v>731000</v>
      </c>
      <c r="U6" s="527">
        <f t="shared" si="3"/>
        <v>882525</v>
      </c>
      <c r="V6" s="29">
        <f t="shared" si="3"/>
        <v>879741</v>
      </c>
      <c r="W6" s="24">
        <f t="shared" ref="W6:W33" si="5">V6/U6*100</f>
        <v>99.684541514404685</v>
      </c>
      <c r="X6" s="29">
        <f t="shared" ref="X6" si="6">SUM(X7:X9)</f>
        <v>835036</v>
      </c>
    </row>
    <row r="7" spans="1:24" s="6" customFormat="1" ht="9.9499999999999993" customHeight="1" x14ac:dyDescent="0.2">
      <c r="A7" s="169" t="s">
        <v>2</v>
      </c>
      <c r="B7" s="823" t="s">
        <v>44</v>
      </c>
      <c r="C7" s="824"/>
      <c r="D7" s="238" t="s">
        <v>25</v>
      </c>
      <c r="E7" s="32">
        <f t="shared" ref="E7:G10" si="7">SUM(J7,O7)</f>
        <v>4484000</v>
      </c>
      <c r="F7" s="33">
        <f t="shared" si="7"/>
        <v>4585361</v>
      </c>
      <c r="G7" s="33">
        <f t="shared" si="7"/>
        <v>4535900.0199999996</v>
      </c>
      <c r="H7" s="9">
        <f t="shared" si="0"/>
        <v>98.921328549704143</v>
      </c>
      <c r="I7" s="34">
        <f>SUM(N7,S7)</f>
        <v>4593264.49</v>
      </c>
      <c r="J7" s="193">
        <v>4484000</v>
      </c>
      <c r="K7" s="35">
        <v>4579981</v>
      </c>
      <c r="L7" s="35">
        <v>4530520.0199999996</v>
      </c>
      <c r="M7" s="9">
        <f t="shared" si="1"/>
        <v>98.920061458770235</v>
      </c>
      <c r="N7" s="35">
        <v>4578602.49</v>
      </c>
      <c r="O7" s="195"/>
      <c r="P7" s="35">
        <v>5380</v>
      </c>
      <c r="Q7" s="35">
        <v>5380</v>
      </c>
      <c r="R7" s="9">
        <f t="shared" si="4"/>
        <v>100</v>
      </c>
      <c r="S7" s="194">
        <v>14662</v>
      </c>
      <c r="T7" s="528">
        <v>731000</v>
      </c>
      <c r="U7" s="528">
        <v>882525</v>
      </c>
      <c r="V7" s="35">
        <v>879741</v>
      </c>
      <c r="W7" s="9">
        <f t="shared" si="5"/>
        <v>99.684541514404685</v>
      </c>
      <c r="X7" s="35">
        <v>835036</v>
      </c>
    </row>
    <row r="8" spans="1:24" s="6" customFormat="1" ht="9.9499999999999993" customHeight="1" x14ac:dyDescent="0.2">
      <c r="A8" s="171" t="s">
        <v>3</v>
      </c>
      <c r="B8" s="825" t="s">
        <v>45</v>
      </c>
      <c r="C8" s="826"/>
      <c r="D8" s="172" t="s">
        <v>25</v>
      </c>
      <c r="E8" s="38">
        <f t="shared" si="7"/>
        <v>10000</v>
      </c>
      <c r="F8" s="39">
        <f t="shared" si="7"/>
        <v>10000</v>
      </c>
      <c r="G8" s="39">
        <f t="shared" si="7"/>
        <v>4192.5</v>
      </c>
      <c r="H8" s="10">
        <f t="shared" si="0"/>
        <v>41.925000000000004</v>
      </c>
      <c r="I8" s="40">
        <f>SUM(N8,S8)</f>
        <v>9034.5</v>
      </c>
      <c r="J8" s="196">
        <v>10000</v>
      </c>
      <c r="K8" s="157">
        <v>10000</v>
      </c>
      <c r="L8" s="157">
        <v>4192.5</v>
      </c>
      <c r="M8" s="158">
        <f t="shared" si="1"/>
        <v>41.925000000000004</v>
      </c>
      <c r="N8" s="157">
        <v>9034.5</v>
      </c>
      <c r="O8" s="156"/>
      <c r="P8" s="157"/>
      <c r="Q8" s="157"/>
      <c r="R8" s="158">
        <v>0</v>
      </c>
      <c r="S8" s="198"/>
      <c r="T8" s="157"/>
      <c r="U8" s="157"/>
      <c r="V8" s="157"/>
      <c r="W8" s="158">
        <v>0</v>
      </c>
      <c r="X8" s="157"/>
    </row>
    <row r="9" spans="1:24" s="6" customFormat="1" ht="9.9499999999999993" customHeight="1" x14ac:dyDescent="0.2">
      <c r="A9" s="173" t="s">
        <v>4</v>
      </c>
      <c r="B9" s="449" t="s">
        <v>59</v>
      </c>
      <c r="C9" s="450"/>
      <c r="D9" s="186" t="s">
        <v>25</v>
      </c>
      <c r="E9" s="42">
        <f t="shared" si="7"/>
        <v>36352200</v>
      </c>
      <c r="F9" s="43">
        <f t="shared" si="7"/>
        <v>39241433</v>
      </c>
      <c r="G9" s="43">
        <f t="shared" si="7"/>
        <v>39241136.82</v>
      </c>
      <c r="H9" s="26">
        <f t="shared" si="0"/>
        <v>99.99924523653354</v>
      </c>
      <c r="I9" s="44">
        <f>SUM(N9,S9)</f>
        <v>37366282.5</v>
      </c>
      <c r="J9" s="199">
        <v>4709000</v>
      </c>
      <c r="K9" s="203">
        <v>5562633</v>
      </c>
      <c r="L9" s="203">
        <v>5562633</v>
      </c>
      <c r="M9" s="201">
        <f t="shared" si="1"/>
        <v>100</v>
      </c>
      <c r="N9" s="203">
        <v>4539000</v>
      </c>
      <c r="O9" s="160">
        <v>31643200</v>
      </c>
      <c r="P9" s="203">
        <v>33678800</v>
      </c>
      <c r="Q9" s="203">
        <v>33678503.82</v>
      </c>
      <c r="R9" s="201">
        <f t="shared" si="4"/>
        <v>99.999120574367268</v>
      </c>
      <c r="S9" s="202">
        <v>32827282.5</v>
      </c>
      <c r="T9" s="529"/>
      <c r="U9" s="529"/>
      <c r="V9" s="529"/>
      <c r="W9" s="201">
        <v>0</v>
      </c>
      <c r="X9" s="203"/>
    </row>
    <row r="10" spans="1:24" s="6" customFormat="1" ht="9.9499999999999993" customHeight="1" x14ac:dyDescent="0.2">
      <c r="A10" s="168" t="s">
        <v>5</v>
      </c>
      <c r="B10" s="822" t="s">
        <v>7</v>
      </c>
      <c r="C10" s="822"/>
      <c r="D10" s="20" t="s">
        <v>25</v>
      </c>
      <c r="E10" s="45">
        <f t="shared" si="7"/>
        <v>0</v>
      </c>
      <c r="F10" s="45">
        <f t="shared" si="7"/>
        <v>0</v>
      </c>
      <c r="G10" s="45">
        <f t="shared" si="7"/>
        <v>0</v>
      </c>
      <c r="H10" s="117" t="e">
        <f t="shared" si="0"/>
        <v>#DIV/0!</v>
      </c>
      <c r="I10" s="46">
        <f>SUM(N10,S10)</f>
        <v>0</v>
      </c>
      <c r="J10" s="31"/>
      <c r="K10" s="45"/>
      <c r="L10" s="45"/>
      <c r="M10" s="24">
        <v>0</v>
      </c>
      <c r="N10" s="45"/>
      <c r="O10" s="45"/>
      <c r="P10" s="45"/>
      <c r="Q10" s="45"/>
      <c r="R10" s="24">
        <v>0</v>
      </c>
      <c r="S10" s="46"/>
      <c r="T10" s="45"/>
      <c r="U10" s="45"/>
      <c r="V10" s="45"/>
      <c r="W10" s="24">
        <v>0</v>
      </c>
      <c r="X10" s="45"/>
    </row>
    <row r="11" spans="1:24" s="6" customFormat="1" ht="9.9499999999999993" customHeight="1" x14ac:dyDescent="0.2">
      <c r="A11" s="168" t="s">
        <v>6</v>
      </c>
      <c r="B11" s="822" t="s">
        <v>9</v>
      </c>
      <c r="C11" s="822"/>
      <c r="D11" s="20" t="s">
        <v>25</v>
      </c>
      <c r="E11" s="29">
        <f t="shared" ref="E11:I11" si="8">SUM(E12:E32)</f>
        <v>40846200</v>
      </c>
      <c r="F11" s="29">
        <f t="shared" si="8"/>
        <v>43836794</v>
      </c>
      <c r="G11" s="29">
        <f t="shared" si="8"/>
        <v>43617404.050000012</v>
      </c>
      <c r="H11" s="24">
        <f t="shared" si="0"/>
        <v>99.499530120747451</v>
      </c>
      <c r="I11" s="29">
        <f t="shared" si="8"/>
        <v>41921336.440000005</v>
      </c>
      <c r="J11" s="29">
        <f>SUM(J12:J32)</f>
        <v>9203000</v>
      </c>
      <c r="K11" s="29">
        <f>SUM(K12:K32)</f>
        <v>10152614</v>
      </c>
      <c r="L11" s="29">
        <f>SUM(L12:L32)</f>
        <v>9933519.9300000016</v>
      </c>
      <c r="M11" s="24">
        <f t="shared" si="1"/>
        <v>97.841993500393116</v>
      </c>
      <c r="N11" s="29">
        <f>SUM(N12:N30)</f>
        <v>9079391.9400000013</v>
      </c>
      <c r="O11" s="29">
        <f>SUM(O12:O32)</f>
        <v>31643200</v>
      </c>
      <c r="P11" s="29">
        <f t="shared" ref="P11:Q11" si="9">SUM(P12:P32)</f>
        <v>33684180</v>
      </c>
      <c r="Q11" s="29">
        <f t="shared" si="9"/>
        <v>33683884.120000005</v>
      </c>
      <c r="R11" s="24">
        <f t="shared" si="4"/>
        <v>99.999121605453965</v>
      </c>
      <c r="S11" s="30">
        <f>SUM(S12:S32)</f>
        <v>32841944.5</v>
      </c>
      <c r="T11" s="29">
        <f t="shared" ref="T11:V11" si="10">SUM(T12:T32)</f>
        <v>636000</v>
      </c>
      <c r="U11" s="29">
        <f t="shared" si="10"/>
        <v>787525</v>
      </c>
      <c r="V11" s="29">
        <f t="shared" si="10"/>
        <v>846045</v>
      </c>
      <c r="W11" s="24">
        <f t="shared" si="5"/>
        <v>107.43087521031079</v>
      </c>
      <c r="X11" s="29">
        <f>SUM(X12:X32)</f>
        <v>618343</v>
      </c>
    </row>
    <row r="12" spans="1:24" s="6" customFormat="1" ht="9.9499999999999993" customHeight="1" x14ac:dyDescent="0.2">
      <c r="A12" s="178" t="s">
        <v>8</v>
      </c>
      <c r="B12" s="827" t="s">
        <v>28</v>
      </c>
      <c r="C12" s="828"/>
      <c r="D12" s="238" t="s">
        <v>25</v>
      </c>
      <c r="E12" s="32">
        <f t="shared" ref="E12:I29" si="11">SUM(J12,O12)</f>
        <v>4701480</v>
      </c>
      <c r="F12" s="33">
        <f t="shared" si="11"/>
        <v>4892250</v>
      </c>
      <c r="G12" s="33">
        <f t="shared" si="11"/>
        <v>4875602.7700000005</v>
      </c>
      <c r="H12" s="9">
        <f t="shared" si="0"/>
        <v>99.659722418110292</v>
      </c>
      <c r="I12" s="34">
        <f t="shared" si="11"/>
        <v>4562539.8500000006</v>
      </c>
      <c r="J12" s="204">
        <v>4482280</v>
      </c>
      <c r="K12" s="47">
        <v>4632150</v>
      </c>
      <c r="L12" s="47">
        <v>4615567.03</v>
      </c>
      <c r="M12" s="9">
        <f t="shared" si="1"/>
        <v>99.642002741707429</v>
      </c>
      <c r="N12" s="47">
        <v>4308583.66</v>
      </c>
      <c r="O12" s="206">
        <v>219200</v>
      </c>
      <c r="P12" s="47">
        <v>260100</v>
      </c>
      <c r="Q12" s="47">
        <v>260035.74</v>
      </c>
      <c r="R12" s="9">
        <f t="shared" si="4"/>
        <v>99.975294117647053</v>
      </c>
      <c r="S12" s="207">
        <v>253956.19</v>
      </c>
      <c r="T12" s="530">
        <v>34000</v>
      </c>
      <c r="U12" s="530">
        <v>53000</v>
      </c>
      <c r="V12" s="530">
        <v>53085</v>
      </c>
      <c r="W12" s="9">
        <f t="shared" si="5"/>
        <v>100.16037735849056</v>
      </c>
      <c r="X12" s="47">
        <v>48856</v>
      </c>
    </row>
    <row r="13" spans="1:24" s="6" customFormat="1" ht="9.9499999999999993" customHeight="1" x14ac:dyDescent="0.2">
      <c r="A13" s="180" t="s">
        <v>10</v>
      </c>
      <c r="B13" s="820" t="s">
        <v>29</v>
      </c>
      <c r="C13" s="821"/>
      <c r="D13" s="172" t="s">
        <v>25</v>
      </c>
      <c r="E13" s="38">
        <f t="shared" si="11"/>
        <v>2660000</v>
      </c>
      <c r="F13" s="39">
        <f t="shared" si="11"/>
        <v>2460000</v>
      </c>
      <c r="G13" s="39">
        <f t="shared" si="11"/>
        <v>2455370.92</v>
      </c>
      <c r="H13" s="10">
        <f t="shared" si="0"/>
        <v>99.81182601626017</v>
      </c>
      <c r="I13" s="40">
        <f t="shared" si="11"/>
        <v>2090691.08</v>
      </c>
      <c r="J13" s="208">
        <v>2660000</v>
      </c>
      <c r="K13" s="157">
        <v>2460000</v>
      </c>
      <c r="L13" s="157">
        <v>2455370.92</v>
      </c>
      <c r="M13" s="158">
        <f t="shared" si="1"/>
        <v>99.81182601626017</v>
      </c>
      <c r="N13" s="157">
        <v>2090691.08</v>
      </c>
      <c r="O13" s="156"/>
      <c r="P13" s="157"/>
      <c r="Q13" s="157"/>
      <c r="R13" s="158">
        <v>0</v>
      </c>
      <c r="S13" s="214"/>
      <c r="T13" s="157">
        <v>485000</v>
      </c>
      <c r="U13" s="157">
        <v>485000</v>
      </c>
      <c r="V13" s="157">
        <v>478521</v>
      </c>
      <c r="W13" s="158">
        <f t="shared" si="5"/>
        <v>98.664123711340196</v>
      </c>
      <c r="X13" s="157">
        <v>452372</v>
      </c>
    </row>
    <row r="14" spans="1:24" s="6" customFormat="1" ht="9.9499999999999993" customHeight="1" x14ac:dyDescent="0.2">
      <c r="A14" s="180" t="s">
        <v>11</v>
      </c>
      <c r="B14" s="460" t="s">
        <v>60</v>
      </c>
      <c r="C14" s="461"/>
      <c r="D14" s="172" t="s">
        <v>25</v>
      </c>
      <c r="E14" s="38">
        <f t="shared" si="11"/>
        <v>0</v>
      </c>
      <c r="F14" s="39">
        <f t="shared" si="11"/>
        <v>0</v>
      </c>
      <c r="G14" s="39">
        <f t="shared" si="11"/>
        <v>-21469</v>
      </c>
      <c r="H14" s="14" t="e">
        <f t="shared" si="0"/>
        <v>#DIV/0!</v>
      </c>
      <c r="I14" s="40">
        <f t="shared" si="11"/>
        <v>-81481</v>
      </c>
      <c r="J14" s="208"/>
      <c r="K14" s="157"/>
      <c r="L14" s="157">
        <v>-21469</v>
      </c>
      <c r="M14" s="158">
        <v>0</v>
      </c>
      <c r="N14" s="157">
        <v>-81481</v>
      </c>
      <c r="O14" s="156"/>
      <c r="P14" s="157"/>
      <c r="Q14" s="157"/>
      <c r="R14" s="158">
        <v>0</v>
      </c>
      <c r="S14" s="214"/>
      <c r="T14" s="157"/>
      <c r="U14" s="157"/>
      <c r="V14" s="157"/>
      <c r="W14" s="158">
        <v>0</v>
      </c>
      <c r="X14" s="157"/>
    </row>
    <row r="15" spans="1:24" s="6" customFormat="1" ht="9.9499999999999993" customHeight="1" x14ac:dyDescent="0.2">
      <c r="A15" s="180" t="s">
        <v>12</v>
      </c>
      <c r="B15" s="820" t="s">
        <v>171</v>
      </c>
      <c r="C15" s="821"/>
      <c r="D15" s="172" t="s">
        <v>25</v>
      </c>
      <c r="E15" s="38">
        <f t="shared" si="11"/>
        <v>630000</v>
      </c>
      <c r="F15" s="39">
        <f t="shared" si="11"/>
        <v>726000</v>
      </c>
      <c r="G15" s="39">
        <f t="shared" si="11"/>
        <v>724168.2</v>
      </c>
      <c r="H15" s="10">
        <f t="shared" si="0"/>
        <v>99.747685950413214</v>
      </c>
      <c r="I15" s="40">
        <f t="shared" si="11"/>
        <v>603518.38</v>
      </c>
      <c r="J15" s="208">
        <v>630000</v>
      </c>
      <c r="K15" s="157">
        <v>726000</v>
      </c>
      <c r="L15" s="157">
        <v>724168.2</v>
      </c>
      <c r="M15" s="158">
        <f t="shared" si="1"/>
        <v>99.747685950413214</v>
      </c>
      <c r="N15" s="197">
        <v>603518.38</v>
      </c>
      <c r="O15" s="156"/>
      <c r="P15" s="157"/>
      <c r="Q15" s="157"/>
      <c r="R15" s="158">
        <v>0</v>
      </c>
      <c r="S15" s="214"/>
      <c r="T15" s="157">
        <v>40000</v>
      </c>
      <c r="U15" s="157">
        <v>40000</v>
      </c>
      <c r="V15" s="157">
        <v>107003</v>
      </c>
      <c r="W15" s="158">
        <f t="shared" si="5"/>
        <v>267.50749999999999</v>
      </c>
      <c r="X15" s="157">
        <v>23440</v>
      </c>
    </row>
    <row r="16" spans="1:24" s="6" customFormat="1" ht="9.9499999999999993" customHeight="1" x14ac:dyDescent="0.2">
      <c r="A16" s="180" t="s">
        <v>13</v>
      </c>
      <c r="B16" s="820" t="s">
        <v>30</v>
      </c>
      <c r="C16" s="821"/>
      <c r="D16" s="172" t="s">
        <v>25</v>
      </c>
      <c r="E16" s="38">
        <f t="shared" si="11"/>
        <v>138000</v>
      </c>
      <c r="F16" s="39">
        <f t="shared" si="11"/>
        <v>117500</v>
      </c>
      <c r="G16" s="39">
        <f t="shared" si="11"/>
        <v>106132.9</v>
      </c>
      <c r="H16" s="10">
        <f t="shared" si="0"/>
        <v>90.325872340425533</v>
      </c>
      <c r="I16" s="40">
        <f t="shared" si="11"/>
        <v>118709</v>
      </c>
      <c r="J16" s="208">
        <v>25000</v>
      </c>
      <c r="K16" s="157">
        <v>25000</v>
      </c>
      <c r="L16" s="157">
        <v>13732</v>
      </c>
      <c r="M16" s="158">
        <f t="shared" si="1"/>
        <v>54.927999999999997</v>
      </c>
      <c r="N16" s="197">
        <v>8124</v>
      </c>
      <c r="O16" s="156">
        <v>113000</v>
      </c>
      <c r="P16" s="157">
        <v>92500</v>
      </c>
      <c r="Q16" s="157">
        <f>80742.08+11658.82</f>
        <v>92400.9</v>
      </c>
      <c r="R16" s="158">
        <f t="shared" si="4"/>
        <v>99.892864864864862</v>
      </c>
      <c r="S16" s="214">
        <v>110585</v>
      </c>
      <c r="T16" s="157"/>
      <c r="U16" s="157"/>
      <c r="V16" s="157"/>
      <c r="W16" s="158">
        <v>0</v>
      </c>
      <c r="X16" s="157"/>
    </row>
    <row r="17" spans="1:24" s="6" customFormat="1" ht="9.9499999999999993" customHeight="1" x14ac:dyDescent="0.2">
      <c r="A17" s="180" t="s">
        <v>14</v>
      </c>
      <c r="B17" s="460" t="s">
        <v>46</v>
      </c>
      <c r="C17" s="461"/>
      <c r="D17" s="172" t="s">
        <v>25</v>
      </c>
      <c r="E17" s="38">
        <f t="shared" si="11"/>
        <v>5000</v>
      </c>
      <c r="F17" s="39">
        <f t="shared" si="11"/>
        <v>9700</v>
      </c>
      <c r="G17" s="39">
        <f t="shared" si="11"/>
        <v>9451</v>
      </c>
      <c r="H17" s="10">
        <f t="shared" si="0"/>
        <v>97.432989690721655</v>
      </c>
      <c r="I17" s="40">
        <f t="shared" si="11"/>
        <v>5145</v>
      </c>
      <c r="J17" s="208">
        <v>5000</v>
      </c>
      <c r="K17" s="157">
        <v>9700</v>
      </c>
      <c r="L17" s="157">
        <v>9451</v>
      </c>
      <c r="M17" s="158">
        <f t="shared" si="1"/>
        <v>97.432989690721655</v>
      </c>
      <c r="N17" s="197">
        <v>5145</v>
      </c>
      <c r="O17" s="156"/>
      <c r="P17" s="157"/>
      <c r="Q17" s="157"/>
      <c r="R17" s="158">
        <v>0</v>
      </c>
      <c r="S17" s="214"/>
      <c r="T17" s="157"/>
      <c r="U17" s="157"/>
      <c r="V17" s="157"/>
      <c r="W17" s="158">
        <v>0</v>
      </c>
      <c r="X17" s="157"/>
    </row>
    <row r="18" spans="1:24" s="6" customFormat="1" ht="9.9499999999999993" customHeight="1" x14ac:dyDescent="0.2">
      <c r="A18" s="180" t="s">
        <v>15</v>
      </c>
      <c r="B18" s="820" t="s">
        <v>31</v>
      </c>
      <c r="C18" s="821"/>
      <c r="D18" s="172" t="s">
        <v>25</v>
      </c>
      <c r="E18" s="38">
        <f t="shared" si="11"/>
        <v>636000</v>
      </c>
      <c r="F18" s="39">
        <f t="shared" si="11"/>
        <v>640708</v>
      </c>
      <c r="G18" s="39">
        <f t="shared" si="11"/>
        <v>590672.38</v>
      </c>
      <c r="H18" s="10">
        <f t="shared" si="0"/>
        <v>92.190573553006985</v>
      </c>
      <c r="I18" s="40">
        <f t="shared" si="11"/>
        <v>610565.31999999995</v>
      </c>
      <c r="J18" s="208">
        <v>590000</v>
      </c>
      <c r="K18" s="157">
        <v>575000</v>
      </c>
      <c r="L18" s="157">
        <v>524966.38</v>
      </c>
      <c r="M18" s="158">
        <f t="shared" si="1"/>
        <v>91.298500869565217</v>
      </c>
      <c r="N18" s="197">
        <v>544342.81999999995</v>
      </c>
      <c r="O18" s="156">
        <v>46000</v>
      </c>
      <c r="P18" s="157">
        <v>65708</v>
      </c>
      <c r="Q18" s="157">
        <f>50816+14890</f>
        <v>65706</v>
      </c>
      <c r="R18" s="158">
        <f t="shared" si="4"/>
        <v>99.99695623059597</v>
      </c>
      <c r="S18" s="214">
        <v>66222.5</v>
      </c>
      <c r="T18" s="157">
        <v>35000</v>
      </c>
      <c r="U18" s="157">
        <v>53000</v>
      </c>
      <c r="V18" s="157">
        <v>52982</v>
      </c>
      <c r="W18" s="158">
        <f t="shared" si="5"/>
        <v>99.966037735849056</v>
      </c>
      <c r="X18" s="157">
        <v>56875</v>
      </c>
    </row>
    <row r="19" spans="1:24" s="11" customFormat="1" ht="9.9499999999999993" customHeight="1" x14ac:dyDescent="0.2">
      <c r="A19" s="180" t="s">
        <v>16</v>
      </c>
      <c r="B19" s="820" t="s">
        <v>32</v>
      </c>
      <c r="C19" s="821"/>
      <c r="D19" s="172" t="s">
        <v>25</v>
      </c>
      <c r="E19" s="53">
        <f t="shared" si="11"/>
        <v>23158894</v>
      </c>
      <c r="F19" s="54">
        <f t="shared" si="11"/>
        <v>24631456</v>
      </c>
      <c r="G19" s="54">
        <f t="shared" si="11"/>
        <v>24617033</v>
      </c>
      <c r="H19" s="10">
        <f t="shared" si="0"/>
        <v>99.94144479319452</v>
      </c>
      <c r="I19" s="52">
        <f t="shared" si="11"/>
        <v>24041734</v>
      </c>
      <c r="J19" s="242">
        <v>225894</v>
      </c>
      <c r="K19" s="197">
        <v>243234</v>
      </c>
      <c r="L19" s="197">
        <v>228811</v>
      </c>
      <c r="M19" s="158">
        <f t="shared" si="1"/>
        <v>94.070319116570872</v>
      </c>
      <c r="N19" s="197">
        <v>244415</v>
      </c>
      <c r="O19" s="218">
        <v>22933000</v>
      </c>
      <c r="P19" s="197">
        <v>24388222</v>
      </c>
      <c r="Q19" s="197">
        <f>24170620+217602</f>
        <v>24388222</v>
      </c>
      <c r="R19" s="158">
        <f t="shared" si="4"/>
        <v>100</v>
      </c>
      <c r="S19" s="214">
        <v>23797319</v>
      </c>
      <c r="T19" s="243">
        <v>42000</v>
      </c>
      <c r="U19" s="243">
        <v>42000</v>
      </c>
      <c r="V19" s="243">
        <v>40810</v>
      </c>
      <c r="W19" s="158">
        <f t="shared" si="5"/>
        <v>97.166666666666671</v>
      </c>
      <c r="X19" s="243">
        <v>36800</v>
      </c>
    </row>
    <row r="20" spans="1:24" s="6" customFormat="1" ht="9.9499999999999993" customHeight="1" x14ac:dyDescent="0.2">
      <c r="A20" s="180" t="s">
        <v>17</v>
      </c>
      <c r="B20" s="820" t="s">
        <v>47</v>
      </c>
      <c r="C20" s="821"/>
      <c r="D20" s="172" t="s">
        <v>25</v>
      </c>
      <c r="E20" s="53">
        <f t="shared" si="11"/>
        <v>7902600</v>
      </c>
      <c r="F20" s="54">
        <f t="shared" si="11"/>
        <v>8411300</v>
      </c>
      <c r="G20" s="54">
        <f t="shared" si="11"/>
        <v>8386751.4900000002</v>
      </c>
      <c r="H20" s="10">
        <f t="shared" si="0"/>
        <v>99.70814844316574</v>
      </c>
      <c r="I20" s="52">
        <f t="shared" si="11"/>
        <v>8189446.4100000001</v>
      </c>
      <c r="J20" s="245">
        <v>36600</v>
      </c>
      <c r="K20" s="197">
        <v>36600</v>
      </c>
      <c r="L20" s="197">
        <v>12125</v>
      </c>
      <c r="M20" s="158">
        <f t="shared" si="1"/>
        <v>33.12841530054645</v>
      </c>
      <c r="N20" s="197">
        <v>35832</v>
      </c>
      <c r="O20" s="218">
        <v>7866000</v>
      </c>
      <c r="P20" s="197">
        <v>8374700</v>
      </c>
      <c r="Q20" s="197">
        <f>8213573+58766+102287.49</f>
        <v>8374626.4900000002</v>
      </c>
      <c r="R20" s="158">
        <f t="shared" si="4"/>
        <v>99.999122237214465</v>
      </c>
      <c r="S20" s="214">
        <v>8153614.4100000001</v>
      </c>
      <c r="T20" s="197"/>
      <c r="U20" s="197">
        <v>1517</v>
      </c>
      <c r="V20" s="197">
        <v>1517</v>
      </c>
      <c r="W20" s="158">
        <f t="shared" si="5"/>
        <v>100</v>
      </c>
      <c r="X20" s="219"/>
    </row>
    <row r="21" spans="1:24" s="6" customFormat="1" ht="9.9499999999999993" customHeight="1" x14ac:dyDescent="0.2">
      <c r="A21" s="180" t="s">
        <v>18</v>
      </c>
      <c r="B21" s="820" t="s">
        <v>48</v>
      </c>
      <c r="C21" s="821"/>
      <c r="D21" s="172" t="s">
        <v>25</v>
      </c>
      <c r="E21" s="53">
        <f t="shared" si="11"/>
        <v>305000</v>
      </c>
      <c r="F21" s="54">
        <f t="shared" si="11"/>
        <v>302000</v>
      </c>
      <c r="G21" s="54">
        <f t="shared" si="11"/>
        <v>300172.99</v>
      </c>
      <c r="H21" s="10">
        <f t="shared" si="0"/>
        <v>99.395029801324497</v>
      </c>
      <c r="I21" s="52">
        <f t="shared" si="11"/>
        <v>298322.40000000002</v>
      </c>
      <c r="J21" s="245">
        <v>6000</v>
      </c>
      <c r="K21" s="197">
        <v>6000</v>
      </c>
      <c r="L21" s="197">
        <v>4210</v>
      </c>
      <c r="M21" s="158">
        <f t="shared" si="1"/>
        <v>70.166666666666671</v>
      </c>
      <c r="N21" s="197">
        <v>4866</v>
      </c>
      <c r="O21" s="218">
        <v>299000</v>
      </c>
      <c r="P21" s="197">
        <v>296000</v>
      </c>
      <c r="Q21" s="197">
        <f>295962.99</f>
        <v>295962.99</v>
      </c>
      <c r="R21" s="158">
        <f t="shared" si="4"/>
        <v>99.987496621621617</v>
      </c>
      <c r="S21" s="214">
        <v>293456.40000000002</v>
      </c>
      <c r="T21" s="197"/>
      <c r="U21" s="197">
        <v>8</v>
      </c>
      <c r="V21" s="197">
        <v>8</v>
      </c>
      <c r="W21" s="158">
        <f t="shared" si="5"/>
        <v>100</v>
      </c>
      <c r="X21" s="219"/>
    </row>
    <row r="22" spans="1:24" s="6" customFormat="1" ht="9.9499999999999993" customHeight="1" x14ac:dyDescent="0.2">
      <c r="A22" s="671" t="s">
        <v>19</v>
      </c>
      <c r="B22" s="839" t="s">
        <v>61</v>
      </c>
      <c r="C22" s="840"/>
      <c r="D22" s="672" t="s">
        <v>25</v>
      </c>
      <c r="E22" s="673">
        <f t="shared" si="11"/>
        <v>0</v>
      </c>
      <c r="F22" s="674">
        <f t="shared" si="11"/>
        <v>0</v>
      </c>
      <c r="G22" s="674">
        <f t="shared" si="11"/>
        <v>0</v>
      </c>
      <c r="H22" s="675" t="e">
        <f t="shared" si="0"/>
        <v>#DIV/0!</v>
      </c>
      <c r="I22" s="676">
        <f t="shared" si="11"/>
        <v>0</v>
      </c>
      <c r="J22" s="245"/>
      <c r="K22" s="197"/>
      <c r="L22" s="197"/>
      <c r="M22" s="158">
        <v>0</v>
      </c>
      <c r="N22" s="197"/>
      <c r="O22" s="218"/>
      <c r="P22" s="197"/>
      <c r="Q22" s="197"/>
      <c r="R22" s="158">
        <v>0</v>
      </c>
      <c r="S22" s="214"/>
      <c r="T22" s="243"/>
      <c r="U22" s="243"/>
      <c r="V22" s="243"/>
      <c r="W22" s="266">
        <v>0</v>
      </c>
      <c r="X22" s="244"/>
    </row>
    <row r="23" spans="1:24" s="6" customFormat="1" ht="9.9499999999999993" customHeight="1" x14ac:dyDescent="0.2">
      <c r="A23" s="671" t="s">
        <v>20</v>
      </c>
      <c r="B23" s="677" t="s">
        <v>172</v>
      </c>
      <c r="C23" s="678"/>
      <c r="D23" s="672" t="s">
        <v>25</v>
      </c>
      <c r="E23" s="673">
        <f t="shared" si="11"/>
        <v>0</v>
      </c>
      <c r="F23" s="674">
        <f t="shared" si="11"/>
        <v>0</v>
      </c>
      <c r="G23" s="674">
        <f t="shared" si="11"/>
        <v>0</v>
      </c>
      <c r="H23" s="675" t="e">
        <f t="shared" si="0"/>
        <v>#DIV/0!</v>
      </c>
      <c r="I23" s="676">
        <f t="shared" si="11"/>
        <v>0</v>
      </c>
      <c r="J23" s="245"/>
      <c r="K23" s="197"/>
      <c r="L23" s="197"/>
      <c r="M23" s="158">
        <v>0</v>
      </c>
      <c r="N23" s="197"/>
      <c r="O23" s="218"/>
      <c r="P23" s="197"/>
      <c r="Q23" s="197"/>
      <c r="R23" s="158">
        <v>0</v>
      </c>
      <c r="S23" s="214"/>
      <c r="T23" s="243"/>
      <c r="U23" s="243"/>
      <c r="V23" s="243"/>
      <c r="W23" s="266">
        <v>0</v>
      </c>
      <c r="X23" s="244"/>
    </row>
    <row r="24" spans="1:24" s="6" customFormat="1" ht="9.9499999999999993" customHeight="1" x14ac:dyDescent="0.2">
      <c r="A24" s="671" t="s">
        <v>21</v>
      </c>
      <c r="B24" s="677" t="s">
        <v>173</v>
      </c>
      <c r="C24" s="678"/>
      <c r="D24" s="672" t="s">
        <v>25</v>
      </c>
      <c r="E24" s="673">
        <f t="shared" si="11"/>
        <v>0</v>
      </c>
      <c r="F24" s="674">
        <f t="shared" si="11"/>
        <v>0</v>
      </c>
      <c r="G24" s="674">
        <f t="shared" si="11"/>
        <v>0</v>
      </c>
      <c r="H24" s="675" t="e">
        <f t="shared" si="0"/>
        <v>#DIV/0!</v>
      </c>
      <c r="I24" s="676">
        <f t="shared" si="11"/>
        <v>0</v>
      </c>
      <c r="J24" s="245"/>
      <c r="K24" s="197"/>
      <c r="L24" s="197"/>
      <c r="M24" s="158">
        <v>0</v>
      </c>
      <c r="N24" s="197"/>
      <c r="O24" s="218"/>
      <c r="P24" s="197"/>
      <c r="Q24" s="197"/>
      <c r="R24" s="158">
        <v>0</v>
      </c>
      <c r="S24" s="214"/>
      <c r="T24" s="243"/>
      <c r="U24" s="243"/>
      <c r="V24" s="243"/>
      <c r="W24" s="266">
        <v>0</v>
      </c>
      <c r="X24" s="244"/>
    </row>
    <row r="25" spans="1:24" s="13" customFormat="1" ht="9.9499999999999993" customHeight="1" x14ac:dyDescent="0.2">
      <c r="A25" s="679" t="s">
        <v>22</v>
      </c>
      <c r="B25" s="680" t="s">
        <v>62</v>
      </c>
      <c r="C25" s="681"/>
      <c r="D25" s="672" t="s">
        <v>25</v>
      </c>
      <c r="E25" s="673">
        <f t="shared" si="11"/>
        <v>26226</v>
      </c>
      <c r="F25" s="674">
        <f t="shared" si="11"/>
        <v>20650</v>
      </c>
      <c r="G25" s="674">
        <f t="shared" si="11"/>
        <v>20650</v>
      </c>
      <c r="H25" s="675">
        <f>G25/F25*100</f>
        <v>100</v>
      </c>
      <c r="I25" s="676">
        <f>SUM(N25,S25)</f>
        <v>21770</v>
      </c>
      <c r="J25" s="245">
        <v>26226</v>
      </c>
      <c r="K25" s="197">
        <v>20650</v>
      </c>
      <c r="L25" s="213">
        <v>20650</v>
      </c>
      <c r="M25" s="158">
        <f t="shared" si="1"/>
        <v>100</v>
      </c>
      <c r="N25" s="213">
        <v>21770</v>
      </c>
      <c r="O25" s="218"/>
      <c r="P25" s="197"/>
      <c r="Q25" s="213"/>
      <c r="R25" s="158">
        <v>0</v>
      </c>
      <c r="S25" s="216"/>
      <c r="T25" s="243"/>
      <c r="U25" s="243"/>
      <c r="V25" s="243"/>
      <c r="W25" s="266">
        <v>0</v>
      </c>
      <c r="X25" s="244"/>
    </row>
    <row r="26" spans="1:24" s="6" customFormat="1" ht="9.9499999999999993" customHeight="1" x14ac:dyDescent="0.2">
      <c r="A26" s="671" t="s">
        <v>23</v>
      </c>
      <c r="B26" s="839" t="s">
        <v>63</v>
      </c>
      <c r="C26" s="840"/>
      <c r="D26" s="672" t="s">
        <v>25</v>
      </c>
      <c r="E26" s="673">
        <f t="shared" si="11"/>
        <v>256000</v>
      </c>
      <c r="F26" s="674">
        <f t="shared" si="11"/>
        <v>1014633</v>
      </c>
      <c r="G26" s="674">
        <f t="shared" si="11"/>
        <v>945197</v>
      </c>
      <c r="H26" s="675">
        <f t="shared" si="0"/>
        <v>93.156540345129713</v>
      </c>
      <c r="I26" s="676">
        <f t="shared" si="11"/>
        <v>235535</v>
      </c>
      <c r="J26" s="245">
        <v>256000</v>
      </c>
      <c r="K26" s="213">
        <v>1014633</v>
      </c>
      <c r="L26" s="197">
        <v>945197</v>
      </c>
      <c r="M26" s="158">
        <f t="shared" si="1"/>
        <v>93.156540345129713</v>
      </c>
      <c r="N26" s="197">
        <v>235535</v>
      </c>
      <c r="O26" s="215"/>
      <c r="P26" s="213"/>
      <c r="Q26" s="197"/>
      <c r="R26" s="158">
        <v>0</v>
      </c>
      <c r="S26" s="214"/>
      <c r="T26" s="243"/>
      <c r="U26" s="243">
        <v>113000</v>
      </c>
      <c r="V26" s="243">
        <v>112119</v>
      </c>
      <c r="W26" s="266">
        <f t="shared" si="5"/>
        <v>99.220353982300878</v>
      </c>
      <c r="X26" s="244"/>
    </row>
    <row r="27" spans="1:24" s="13" customFormat="1" ht="9.9499999999999993" customHeight="1" x14ac:dyDescent="0.2">
      <c r="A27" s="180" t="s">
        <v>43</v>
      </c>
      <c r="B27" s="460" t="s">
        <v>64</v>
      </c>
      <c r="C27" s="461"/>
      <c r="D27" s="172" t="s">
        <v>25</v>
      </c>
      <c r="E27" s="38">
        <f t="shared" si="11"/>
        <v>0</v>
      </c>
      <c r="F27" s="39">
        <f t="shared" si="11"/>
        <v>0</v>
      </c>
      <c r="G27" s="39">
        <f t="shared" si="11"/>
        <v>0</v>
      </c>
      <c r="H27" s="14" t="e">
        <f t="shared" si="0"/>
        <v>#DIV/0!</v>
      </c>
      <c r="I27" s="40">
        <f t="shared" si="11"/>
        <v>0</v>
      </c>
      <c r="J27" s="245"/>
      <c r="K27" s="197"/>
      <c r="L27" s="197"/>
      <c r="M27" s="158">
        <v>0</v>
      </c>
      <c r="N27" s="197"/>
      <c r="O27" s="218"/>
      <c r="P27" s="197"/>
      <c r="Q27" s="197"/>
      <c r="R27" s="158">
        <v>0</v>
      </c>
      <c r="S27" s="214"/>
      <c r="T27" s="243"/>
      <c r="U27" s="243"/>
      <c r="V27" s="243"/>
      <c r="W27" s="266">
        <v>0</v>
      </c>
      <c r="X27" s="244"/>
    </row>
    <row r="28" spans="1:24" s="13" customFormat="1" ht="9.9499999999999993" customHeight="1" x14ac:dyDescent="0.2">
      <c r="A28" s="180" t="s">
        <v>49</v>
      </c>
      <c r="B28" s="460" t="s">
        <v>92</v>
      </c>
      <c r="C28" s="461"/>
      <c r="D28" s="172" t="s">
        <v>25</v>
      </c>
      <c r="E28" s="38">
        <f>SUM(J28,O28)</f>
        <v>427000</v>
      </c>
      <c r="F28" s="39">
        <f>SUM(K28,P28)</f>
        <v>607271</v>
      </c>
      <c r="G28" s="39">
        <f>SUM(L28,Q28)</f>
        <v>605068.4</v>
      </c>
      <c r="H28" s="14">
        <f>G28/F28*100</f>
        <v>99.637295375540745</v>
      </c>
      <c r="I28" s="40">
        <f>SUM(N28,S28)</f>
        <v>1188784</v>
      </c>
      <c r="J28" s="245">
        <v>260000</v>
      </c>
      <c r="K28" s="197">
        <v>400771</v>
      </c>
      <c r="L28" s="197">
        <v>398588.4</v>
      </c>
      <c r="M28" s="158">
        <f t="shared" si="1"/>
        <v>99.455399717045395</v>
      </c>
      <c r="N28" s="197">
        <v>1021993</v>
      </c>
      <c r="O28" s="218">
        <v>167000</v>
      </c>
      <c r="P28" s="197">
        <v>206500</v>
      </c>
      <c r="Q28" s="197">
        <v>206480</v>
      </c>
      <c r="R28" s="158">
        <f t="shared" si="4"/>
        <v>99.990314769975782</v>
      </c>
      <c r="S28" s="214">
        <v>166791</v>
      </c>
      <c r="T28" s="243"/>
      <c r="U28" s="243"/>
      <c r="V28" s="243"/>
      <c r="W28" s="266">
        <v>0</v>
      </c>
      <c r="X28" s="244"/>
    </row>
    <row r="29" spans="1:24" s="15" customFormat="1" ht="9.9499999999999993" customHeight="1" x14ac:dyDescent="0.2">
      <c r="A29" s="180" t="s">
        <v>50</v>
      </c>
      <c r="B29" s="820" t="s">
        <v>65</v>
      </c>
      <c r="C29" s="821"/>
      <c r="D29" s="172" t="s">
        <v>25</v>
      </c>
      <c r="E29" s="38">
        <f t="shared" si="11"/>
        <v>0</v>
      </c>
      <c r="F29" s="39">
        <f t="shared" si="11"/>
        <v>2026</v>
      </c>
      <c r="G29" s="39">
        <f t="shared" si="11"/>
        <v>1603.1</v>
      </c>
      <c r="H29" s="14">
        <f t="shared" si="0"/>
        <v>79.12635735439288</v>
      </c>
      <c r="I29" s="40">
        <f t="shared" si="11"/>
        <v>36057</v>
      </c>
      <c r="J29" s="245">
        <v>0</v>
      </c>
      <c r="K29" s="197">
        <v>1576</v>
      </c>
      <c r="L29" s="197">
        <v>1153.0999999999999</v>
      </c>
      <c r="M29" s="158">
        <f t="shared" si="1"/>
        <v>73.166243654822324</v>
      </c>
      <c r="N29" s="197">
        <v>36057</v>
      </c>
      <c r="O29" s="218"/>
      <c r="P29" s="197">
        <v>450</v>
      </c>
      <c r="Q29" s="197">
        <v>450</v>
      </c>
      <c r="R29" s="158">
        <f t="shared" si="4"/>
        <v>100</v>
      </c>
      <c r="S29" s="214"/>
      <c r="T29" s="243"/>
      <c r="U29" s="243"/>
      <c r="V29" s="243"/>
      <c r="W29" s="266">
        <v>0</v>
      </c>
      <c r="X29" s="244"/>
    </row>
    <row r="30" spans="1:24" s="6" customFormat="1" ht="9.75" x14ac:dyDescent="0.2">
      <c r="A30" s="180" t="s">
        <v>52</v>
      </c>
      <c r="B30" s="460" t="s">
        <v>51</v>
      </c>
      <c r="C30" s="461"/>
      <c r="D30" s="172" t="s">
        <v>25</v>
      </c>
      <c r="E30" s="38">
        <f t="shared" ref="E30:G31" si="12">SUM(J30,O30)</f>
        <v>0</v>
      </c>
      <c r="F30" s="39">
        <f t="shared" si="12"/>
        <v>300</v>
      </c>
      <c r="G30" s="39">
        <f t="shared" si="12"/>
        <v>202.34</v>
      </c>
      <c r="H30" s="14">
        <f t="shared" si="0"/>
        <v>67.446666666666673</v>
      </c>
      <c r="I30" s="40">
        <f>SUM(N30,S30)</f>
        <v>0</v>
      </c>
      <c r="J30" s="245"/>
      <c r="K30" s="197">
        <v>300</v>
      </c>
      <c r="L30" s="197">
        <v>202.34</v>
      </c>
      <c r="M30" s="158">
        <f t="shared" si="1"/>
        <v>67.446666666666673</v>
      </c>
      <c r="N30" s="214"/>
      <c r="O30" s="218"/>
      <c r="P30" s="197"/>
      <c r="Q30" s="197"/>
      <c r="R30" s="158">
        <v>0</v>
      </c>
      <c r="S30" s="214"/>
      <c r="T30" s="243"/>
      <c r="U30" s="267"/>
      <c r="V30" s="243"/>
      <c r="W30" s="268">
        <v>0</v>
      </c>
      <c r="X30" s="244"/>
    </row>
    <row r="31" spans="1:24" s="23" customFormat="1" ht="9.75" x14ac:dyDescent="0.2">
      <c r="A31" s="180" t="s">
        <v>53</v>
      </c>
      <c r="B31" s="460" t="s">
        <v>66</v>
      </c>
      <c r="C31" s="461"/>
      <c r="D31" s="172" t="s">
        <v>25</v>
      </c>
      <c r="E31" s="38">
        <f t="shared" si="12"/>
        <v>0</v>
      </c>
      <c r="F31" s="39">
        <f t="shared" si="12"/>
        <v>0</v>
      </c>
      <c r="G31" s="39">
        <f t="shared" si="12"/>
        <v>0</v>
      </c>
      <c r="H31" s="14" t="e">
        <f t="shared" si="0"/>
        <v>#DIV/0!</v>
      </c>
      <c r="I31" s="40">
        <f>SUM(N31,S31)</f>
        <v>0</v>
      </c>
      <c r="J31" s="208"/>
      <c r="K31" s="224"/>
      <c r="L31" s="197"/>
      <c r="M31" s="158">
        <v>0</v>
      </c>
      <c r="N31" s="214"/>
      <c r="O31" s="226"/>
      <c r="P31" s="224"/>
      <c r="Q31" s="197"/>
      <c r="R31" s="158">
        <v>0</v>
      </c>
      <c r="S31" s="214"/>
      <c r="T31" s="269"/>
      <c r="U31" s="269"/>
      <c r="V31" s="243"/>
      <c r="W31" s="268">
        <v>0</v>
      </c>
      <c r="X31" s="244"/>
    </row>
    <row r="32" spans="1:24" s="23" customFormat="1" ht="9.75" x14ac:dyDescent="0.2">
      <c r="A32" s="183" t="s">
        <v>54</v>
      </c>
      <c r="B32" s="184" t="s">
        <v>67</v>
      </c>
      <c r="C32" s="185"/>
      <c r="D32" s="186" t="s">
        <v>25</v>
      </c>
      <c r="E32" s="42">
        <f>SUM(J32,O32)</f>
        <v>0</v>
      </c>
      <c r="F32" s="43">
        <f>SUM(K32,P32)</f>
        <v>1000</v>
      </c>
      <c r="G32" s="43">
        <f>SUM(L32,Q32)</f>
        <v>796.56</v>
      </c>
      <c r="H32" s="16">
        <f t="shared" si="0"/>
        <v>79.655999999999992</v>
      </c>
      <c r="I32" s="44">
        <f>SUM(N32,S32)</f>
        <v>0</v>
      </c>
      <c r="J32" s="230">
        <v>0</v>
      </c>
      <c r="K32" s="222">
        <v>1000</v>
      </c>
      <c r="L32" s="197">
        <v>796.56</v>
      </c>
      <c r="M32" s="158">
        <f t="shared" si="1"/>
        <v>79.655999999999992</v>
      </c>
      <c r="N32" s="214"/>
      <c r="O32" s="221"/>
      <c r="P32" s="222"/>
      <c r="Q32" s="197"/>
      <c r="R32" s="201">
        <v>0</v>
      </c>
      <c r="S32" s="214"/>
      <c r="T32" s="531"/>
      <c r="U32" s="531"/>
      <c r="V32" s="243"/>
      <c r="W32" s="268">
        <v>0</v>
      </c>
      <c r="X32" s="244"/>
    </row>
    <row r="33" spans="1:24" s="23" customFormat="1" ht="9.75" x14ac:dyDescent="0.2">
      <c r="A33" s="168" t="s">
        <v>55</v>
      </c>
      <c r="B33" s="21" t="s">
        <v>174</v>
      </c>
      <c r="C33" s="22"/>
      <c r="D33" s="20" t="s">
        <v>25</v>
      </c>
      <c r="E33" s="29">
        <f>E6-E11</f>
        <v>0</v>
      </c>
      <c r="F33" s="29">
        <f>F6-F11</f>
        <v>0</v>
      </c>
      <c r="G33" s="29">
        <f>G6-G11</f>
        <v>163825.28999999166</v>
      </c>
      <c r="H33" s="117" t="e">
        <f t="shared" si="0"/>
        <v>#DIV/0!</v>
      </c>
      <c r="I33" s="29">
        <f>I6-I11</f>
        <v>47245.04999999702</v>
      </c>
      <c r="J33" s="29">
        <v>0</v>
      </c>
      <c r="K33" s="29">
        <v>0</v>
      </c>
      <c r="L33" s="29">
        <f t="shared" ref="L33" si="13">L6-L11</f>
        <v>163825.58999999799</v>
      </c>
      <c r="M33" s="19">
        <v>0</v>
      </c>
      <c r="N33" s="29">
        <f t="shared" ref="N33:Q33" si="14">N6-N11</f>
        <v>47245.049999998882</v>
      </c>
      <c r="O33" s="29">
        <f>O6-O11</f>
        <v>0</v>
      </c>
      <c r="P33" s="29">
        <f>P6-P11</f>
        <v>0</v>
      </c>
      <c r="Q33" s="29">
        <f t="shared" si="14"/>
        <v>-0.30000000447034836</v>
      </c>
      <c r="R33" s="19">
        <v>0</v>
      </c>
      <c r="S33" s="29">
        <f t="shared" ref="S33:V33" si="15">S6-S11</f>
        <v>0</v>
      </c>
      <c r="T33" s="270">
        <f>T6-T11</f>
        <v>95000</v>
      </c>
      <c r="U33" s="270">
        <f>U6-U11</f>
        <v>95000</v>
      </c>
      <c r="V33" s="270">
        <f t="shared" si="15"/>
        <v>33696</v>
      </c>
      <c r="W33" s="271">
        <f t="shared" si="5"/>
        <v>35.469473684210527</v>
      </c>
      <c r="X33" s="270">
        <f>X6-X11</f>
        <v>216693</v>
      </c>
    </row>
    <row r="34" spans="1:24" s="4" customFormat="1" ht="9" x14ac:dyDescent="0.2">
      <c r="A34" s="187" t="s">
        <v>56</v>
      </c>
      <c r="B34" s="841" t="s">
        <v>24</v>
      </c>
      <c r="C34" s="842"/>
      <c r="D34" s="188" t="s">
        <v>25</v>
      </c>
      <c r="E34" s="272">
        <v>22441</v>
      </c>
      <c r="F34" s="273">
        <v>23593</v>
      </c>
      <c r="G34" s="273">
        <v>23580</v>
      </c>
      <c r="H34" s="12">
        <v>99.94</v>
      </c>
      <c r="I34" s="247">
        <v>23028</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86</v>
      </c>
      <c r="F35" s="145">
        <v>87</v>
      </c>
      <c r="G35" s="145">
        <v>87</v>
      </c>
      <c r="H35" s="232">
        <v>100</v>
      </c>
      <c r="I35" s="248">
        <v>87</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88</v>
      </c>
      <c r="F36" s="249">
        <v>90</v>
      </c>
      <c r="G36" s="249">
        <v>90</v>
      </c>
      <c r="H36" s="233">
        <v>100</v>
      </c>
      <c r="I36" s="250">
        <v>90</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B12:C12"/>
    <mergeCell ref="B34:C34"/>
    <mergeCell ref="B18:C18"/>
    <mergeCell ref="B19:C19"/>
    <mergeCell ref="B20:C20"/>
    <mergeCell ref="B26:C26"/>
    <mergeCell ref="B29:C29"/>
    <mergeCell ref="A1:X1"/>
    <mergeCell ref="J34:X36"/>
    <mergeCell ref="B35:C35"/>
    <mergeCell ref="B36:C36"/>
    <mergeCell ref="B6:C6"/>
    <mergeCell ref="B7:C7"/>
    <mergeCell ref="B8:C8"/>
    <mergeCell ref="B10:C10"/>
    <mergeCell ref="B21:C21"/>
    <mergeCell ref="B11:C11"/>
    <mergeCell ref="B13:C13"/>
    <mergeCell ref="B15:C15"/>
    <mergeCell ref="B16:C16"/>
    <mergeCell ref="T4:T5"/>
    <mergeCell ref="U4:W4"/>
    <mergeCell ref="B22:C22"/>
    <mergeCell ref="X4:X5"/>
    <mergeCell ref="T3:X3"/>
    <mergeCell ref="K4:M4"/>
    <mergeCell ref="N4:N5"/>
    <mergeCell ref="S4:S5"/>
    <mergeCell ref="O4:O5"/>
    <mergeCell ref="J3:N3"/>
    <mergeCell ref="A3:A5"/>
    <mergeCell ref="O3:S3"/>
    <mergeCell ref="P4:R4"/>
    <mergeCell ref="B3:C5"/>
    <mergeCell ref="J4:J5"/>
    <mergeCell ref="E3:I3"/>
    <mergeCell ref="F4:H4"/>
    <mergeCell ref="E4:E5"/>
    <mergeCell ref="I4:I5"/>
    <mergeCell ref="D3:D5"/>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1"/>
  <sheetViews>
    <sheetView tabSelected="1" zoomScaleNormal="100" workbookViewId="0"/>
  </sheetViews>
  <sheetFormatPr defaultRowHeight="12.75" x14ac:dyDescent="0.2"/>
  <cols>
    <col min="1" max="1" width="74.75" style="61" customWidth="1"/>
    <col min="2" max="9" width="23.75" style="61" customWidth="1"/>
    <col min="15" max="15" width="17.75" bestFit="1" customWidth="1"/>
  </cols>
  <sheetData>
    <row r="1" spans="1:9" ht="18.75" x14ac:dyDescent="0.3">
      <c r="A1" s="62" t="s">
        <v>85</v>
      </c>
      <c r="B1" s="60"/>
      <c r="C1" s="60"/>
      <c r="D1" s="60"/>
      <c r="E1" s="60"/>
      <c r="F1" s="60"/>
      <c r="G1" s="60"/>
      <c r="H1" s="60"/>
      <c r="I1" s="60"/>
    </row>
    <row r="2" spans="1:9" ht="11.25" customHeight="1" x14ac:dyDescent="0.2"/>
    <row r="3" spans="1:9" s="96" customFormat="1" ht="10.5" x14ac:dyDescent="0.15">
      <c r="A3" s="901" t="s">
        <v>175</v>
      </c>
      <c r="B3" s="901"/>
      <c r="C3" s="901"/>
      <c r="D3" s="901"/>
      <c r="E3" s="901"/>
      <c r="F3" s="901"/>
      <c r="G3" s="901"/>
      <c r="H3" s="901"/>
      <c r="I3" s="901"/>
    </row>
    <row r="4" spans="1:9" s="95" customFormat="1" ht="11.25" x14ac:dyDescent="0.2"/>
    <row r="5" spans="1:9" s="102" customFormat="1" ht="10.5" x14ac:dyDescent="0.15">
      <c r="A5" s="960" t="s">
        <v>68</v>
      </c>
      <c r="B5" s="961"/>
      <c r="C5" s="464" t="s">
        <v>25</v>
      </c>
      <c r="D5" s="948" t="s">
        <v>176</v>
      </c>
      <c r="E5" s="948"/>
      <c r="F5" s="948"/>
      <c r="G5" s="948"/>
      <c r="H5" s="948"/>
      <c r="I5" s="948"/>
    </row>
    <row r="6" spans="1:9" s="95" customFormat="1" ht="11.25" x14ac:dyDescent="0.2">
      <c r="A6" s="959" t="s">
        <v>177</v>
      </c>
      <c r="B6" s="959"/>
      <c r="C6" s="376">
        <f>SUM(C7:C9)</f>
        <v>2436041.37</v>
      </c>
      <c r="D6" s="962"/>
      <c r="E6" s="963"/>
      <c r="F6" s="963"/>
      <c r="G6" s="963"/>
      <c r="H6" s="963"/>
      <c r="I6" s="964"/>
    </row>
    <row r="7" spans="1:9" s="95" customFormat="1" ht="69" customHeight="1" x14ac:dyDescent="0.2">
      <c r="A7" s="965" t="s">
        <v>69</v>
      </c>
      <c r="B7" s="966"/>
      <c r="C7" s="377">
        <v>2317605.77</v>
      </c>
      <c r="D7" s="798" t="s">
        <v>740</v>
      </c>
      <c r="E7" s="798"/>
      <c r="F7" s="798"/>
      <c r="G7" s="798"/>
      <c r="H7" s="798"/>
      <c r="I7" s="798"/>
    </row>
    <row r="8" spans="1:9" s="96" customFormat="1" ht="22.5" customHeight="1" x14ac:dyDescent="0.15">
      <c r="A8" s="936" t="s">
        <v>178</v>
      </c>
      <c r="B8" s="937"/>
      <c r="C8" s="378">
        <v>127783.14</v>
      </c>
      <c r="D8" s="737" t="s">
        <v>739</v>
      </c>
      <c r="E8" s="737"/>
      <c r="F8" s="737"/>
      <c r="G8" s="737"/>
      <c r="H8" s="737"/>
      <c r="I8" s="737"/>
    </row>
    <row r="9" spans="1:9" s="96" customFormat="1" ht="11.25" x14ac:dyDescent="0.2">
      <c r="A9" s="936" t="s">
        <v>179</v>
      </c>
      <c r="B9" s="937"/>
      <c r="C9" s="378">
        <v>-9347.5400000000009</v>
      </c>
      <c r="D9" s="1051" t="s">
        <v>741</v>
      </c>
      <c r="E9" s="1052"/>
      <c r="F9" s="1052"/>
      <c r="G9" s="1052"/>
      <c r="H9" s="1052"/>
      <c r="I9" s="1053"/>
    </row>
    <row r="10" spans="1:9" s="95" customFormat="1" ht="11.25" x14ac:dyDescent="0.2">
      <c r="C10" s="97"/>
    </row>
    <row r="11" spans="1:9" s="95" customFormat="1" ht="11.25" x14ac:dyDescent="0.2">
      <c r="A11" s="901" t="s">
        <v>180</v>
      </c>
      <c r="B11" s="901"/>
      <c r="C11" s="901"/>
      <c r="D11" s="901"/>
      <c r="E11" s="901"/>
      <c r="F11" s="901"/>
      <c r="G11" s="901"/>
      <c r="H11" s="901"/>
      <c r="I11" s="901"/>
    </row>
    <row r="12" spans="1:9" s="95" customFormat="1" ht="11.25" x14ac:dyDescent="0.2">
      <c r="C12" s="97"/>
      <c r="D12" s="103"/>
      <c r="E12" s="103"/>
      <c r="F12" s="103"/>
      <c r="G12" s="103"/>
      <c r="H12" s="103"/>
      <c r="I12" s="103"/>
    </row>
    <row r="13" spans="1:9" s="95" customFormat="1" ht="11.25" x14ac:dyDescent="0.2">
      <c r="A13" s="464" t="s">
        <v>68</v>
      </c>
      <c r="B13" s="464" t="s">
        <v>181</v>
      </c>
      <c r="C13" s="464" t="s">
        <v>25</v>
      </c>
      <c r="D13" s="379"/>
      <c r="E13" s="380"/>
      <c r="F13" s="380"/>
      <c r="G13" s="380"/>
      <c r="H13" s="380"/>
      <c r="I13" s="380"/>
    </row>
    <row r="14" spans="1:9" s="95" customFormat="1" ht="11.25" x14ac:dyDescent="0.2">
      <c r="A14" s="381" t="s">
        <v>182</v>
      </c>
      <c r="B14" s="382"/>
      <c r="C14" s="383">
        <v>0</v>
      </c>
      <c r="D14" s="384"/>
      <c r="E14" s="385"/>
      <c r="F14" s="385"/>
      <c r="G14" s="385"/>
      <c r="H14" s="385"/>
      <c r="I14" s="385"/>
    </row>
    <row r="15" spans="1:9" s="95" customFormat="1" ht="11.25" x14ac:dyDescent="0.2">
      <c r="A15" s="945" t="s">
        <v>183</v>
      </c>
      <c r="B15" s="386" t="s">
        <v>70</v>
      </c>
      <c r="C15" s="387">
        <v>2436041.37</v>
      </c>
      <c r="D15" s="388"/>
      <c r="E15" s="389"/>
      <c r="F15" s="389"/>
      <c r="G15" s="389"/>
      <c r="H15" s="389"/>
      <c r="I15" s="389"/>
    </row>
    <row r="16" spans="1:9" s="95" customFormat="1" ht="11.25" x14ac:dyDescent="0.2">
      <c r="A16" s="946"/>
      <c r="B16" s="390" t="s">
        <v>71</v>
      </c>
      <c r="C16" s="391">
        <v>0</v>
      </c>
      <c r="D16" s="392"/>
      <c r="E16" s="393"/>
      <c r="F16" s="393"/>
      <c r="G16" s="393"/>
      <c r="H16" s="393"/>
      <c r="I16" s="393"/>
    </row>
    <row r="17" spans="1:9" s="95" customFormat="1" ht="11.25" x14ac:dyDescent="0.2">
      <c r="A17" s="462" t="s">
        <v>177</v>
      </c>
      <c r="B17" s="395"/>
      <c r="C17" s="376">
        <f>SUM(C14:C16)</f>
        <v>2436041.37</v>
      </c>
      <c r="D17" s="396"/>
      <c r="E17" s="396"/>
      <c r="F17" s="396"/>
      <c r="G17" s="396"/>
      <c r="H17" s="396"/>
      <c r="I17" s="396"/>
    </row>
    <row r="18" spans="1:9" s="99" customFormat="1" ht="11.25" x14ac:dyDescent="0.2">
      <c r="A18" s="397"/>
      <c r="C18" s="100"/>
      <c r="D18" s="398"/>
      <c r="E18" s="398"/>
      <c r="F18" s="398"/>
      <c r="G18" s="398"/>
      <c r="H18" s="398"/>
      <c r="I18" s="398"/>
    </row>
    <row r="19" spans="1:9" s="95" customFormat="1" ht="11.25" x14ac:dyDescent="0.2">
      <c r="A19" s="901" t="s">
        <v>184</v>
      </c>
      <c r="B19" s="901"/>
      <c r="C19" s="901"/>
      <c r="D19" s="901"/>
      <c r="E19" s="901"/>
      <c r="F19" s="901"/>
      <c r="G19" s="901"/>
      <c r="H19" s="901"/>
      <c r="I19" s="901"/>
    </row>
    <row r="20" spans="1:9" s="95" customFormat="1" ht="11.25" x14ac:dyDescent="0.2">
      <c r="C20" s="97"/>
    </row>
    <row r="21" spans="1:9" s="104" customFormat="1" ht="21" x14ac:dyDescent="0.15">
      <c r="A21" s="465" t="s">
        <v>181</v>
      </c>
      <c r="B21" s="465" t="s">
        <v>185</v>
      </c>
      <c r="C21" s="414" t="s">
        <v>186</v>
      </c>
      <c r="D21" s="465" t="s">
        <v>187</v>
      </c>
      <c r="E21" s="465" t="s">
        <v>188</v>
      </c>
      <c r="F21" s="947" t="s">
        <v>189</v>
      </c>
      <c r="G21" s="947"/>
      <c r="H21" s="947"/>
      <c r="I21" s="947"/>
    </row>
    <row r="22" spans="1:9" s="95" customFormat="1" ht="77.25" customHeight="1" x14ac:dyDescent="0.2">
      <c r="A22" s="532" t="s">
        <v>190</v>
      </c>
      <c r="B22" s="406">
        <v>48795.93</v>
      </c>
      <c r="C22" s="406">
        <v>423604.81</v>
      </c>
      <c r="D22" s="406">
        <v>452648</v>
      </c>
      <c r="E22" s="406">
        <v>19752.740000000002</v>
      </c>
      <c r="F22" s="778" t="s">
        <v>743</v>
      </c>
      <c r="G22" s="779"/>
      <c r="H22" s="779"/>
      <c r="I22" s="780"/>
    </row>
    <row r="23" spans="1:9" s="95" customFormat="1" ht="34.5" customHeight="1" x14ac:dyDescent="0.2">
      <c r="A23" s="386" t="s">
        <v>191</v>
      </c>
      <c r="B23" s="137">
        <v>1301670.03</v>
      </c>
      <c r="C23" s="137">
        <v>1490369.9</v>
      </c>
      <c r="D23" s="137">
        <v>1407584</v>
      </c>
      <c r="E23" s="137">
        <v>1384725.93</v>
      </c>
      <c r="F23" s="781" t="s">
        <v>742</v>
      </c>
      <c r="G23" s="782"/>
      <c r="H23" s="782"/>
      <c r="I23" s="783"/>
    </row>
    <row r="24" spans="1:9" s="95" customFormat="1" ht="11.25" x14ac:dyDescent="0.2">
      <c r="A24" s="386" t="s">
        <v>71</v>
      </c>
      <c r="B24" s="137">
        <v>90339.01</v>
      </c>
      <c r="C24" s="137">
        <v>0</v>
      </c>
      <c r="D24" s="137">
        <v>39999</v>
      </c>
      <c r="E24" s="137">
        <v>50340.01</v>
      </c>
      <c r="F24" s="781" t="s">
        <v>695</v>
      </c>
      <c r="G24" s="782"/>
      <c r="H24" s="782"/>
      <c r="I24" s="783"/>
    </row>
    <row r="25" spans="1:9" s="95" customFormat="1" ht="57.75" customHeight="1" x14ac:dyDescent="0.2">
      <c r="A25" s="533" t="s">
        <v>193</v>
      </c>
      <c r="B25" s="408">
        <v>102415.05</v>
      </c>
      <c r="C25" s="408">
        <v>198753</v>
      </c>
      <c r="D25" s="408">
        <v>142660</v>
      </c>
      <c r="E25" s="408">
        <v>158508.04999999999</v>
      </c>
      <c r="F25" s="784" t="s">
        <v>1236</v>
      </c>
      <c r="G25" s="785"/>
      <c r="H25" s="785"/>
      <c r="I25" s="786"/>
    </row>
    <row r="26" spans="1:9" s="96" customFormat="1" ht="10.5" x14ac:dyDescent="0.15">
      <c r="A26" s="401" t="s">
        <v>34</v>
      </c>
      <c r="B26" s="376">
        <f>SUM(B22:B25)</f>
        <v>1543220.02</v>
      </c>
      <c r="C26" s="376">
        <f>SUM(C22:C25)</f>
        <v>2112727.71</v>
      </c>
      <c r="D26" s="376">
        <f>SUM(D22:D25)</f>
        <v>2042891</v>
      </c>
      <c r="E26" s="376">
        <f>SUM(E22:E25)</f>
        <v>1613326.73</v>
      </c>
      <c r="F26" s="944"/>
      <c r="G26" s="944"/>
      <c r="H26" s="944"/>
      <c r="I26" s="944"/>
    </row>
    <row r="27" spans="1:9" s="95" customFormat="1" ht="11.25" x14ac:dyDescent="0.2">
      <c r="C27" s="97"/>
    </row>
    <row r="28" spans="1:9" s="95" customFormat="1" ht="11.25" x14ac:dyDescent="0.2">
      <c r="A28" s="901" t="s">
        <v>195</v>
      </c>
      <c r="B28" s="901"/>
      <c r="C28" s="901"/>
      <c r="D28" s="901"/>
      <c r="E28" s="901"/>
      <c r="F28" s="901"/>
      <c r="G28" s="901"/>
      <c r="H28" s="901"/>
      <c r="I28" s="901"/>
    </row>
    <row r="29" spans="1:9" s="95" customFormat="1" ht="11.25" x14ac:dyDescent="0.2">
      <c r="C29" s="97"/>
    </row>
    <row r="30" spans="1:9" s="95" customFormat="1" ht="11.25" x14ac:dyDescent="0.2">
      <c r="A30" s="464" t="s">
        <v>72</v>
      </c>
      <c r="B30" s="464" t="s">
        <v>25</v>
      </c>
      <c r="C30" s="466" t="s">
        <v>73</v>
      </c>
      <c r="D30" s="948" t="s">
        <v>196</v>
      </c>
      <c r="E30" s="948"/>
      <c r="F30" s="948"/>
      <c r="G30" s="948"/>
      <c r="H30" s="948"/>
      <c r="I30" s="948"/>
    </row>
    <row r="31" spans="1:9" s="95" customFormat="1" ht="11.25" customHeight="1" x14ac:dyDescent="0.2">
      <c r="A31" s="402" t="s">
        <v>93</v>
      </c>
      <c r="B31" s="138">
        <v>0</v>
      </c>
      <c r="C31" s="403" t="s">
        <v>93</v>
      </c>
      <c r="D31" s="949" t="s">
        <v>93</v>
      </c>
      <c r="E31" s="950"/>
      <c r="F31" s="950"/>
      <c r="G31" s="950"/>
      <c r="H31" s="950"/>
      <c r="I31" s="951"/>
    </row>
    <row r="32" spans="1:9" s="96" customFormat="1" ht="11.25" x14ac:dyDescent="0.2">
      <c r="A32" s="404" t="s">
        <v>34</v>
      </c>
      <c r="B32" s="405">
        <f>SUM(B31:B31)</f>
        <v>0</v>
      </c>
      <c r="C32" s="952"/>
      <c r="D32" s="952"/>
      <c r="E32" s="952"/>
      <c r="F32" s="952"/>
      <c r="G32" s="952"/>
      <c r="H32" s="952"/>
      <c r="I32" s="952"/>
    </row>
    <row r="33" spans="1:9" s="95" customFormat="1" ht="11.25" x14ac:dyDescent="0.2">
      <c r="C33" s="97"/>
    </row>
    <row r="34" spans="1:9" s="95" customFormat="1" ht="11.25" x14ac:dyDescent="0.2">
      <c r="A34" s="901" t="s">
        <v>197</v>
      </c>
      <c r="B34" s="901"/>
      <c r="C34" s="901"/>
      <c r="D34" s="901"/>
      <c r="E34" s="901"/>
      <c r="F34" s="901"/>
      <c r="G34" s="901"/>
      <c r="H34" s="901"/>
      <c r="I34" s="901"/>
    </row>
    <row r="35" spans="1:9" s="95" customFormat="1" ht="11.25" x14ac:dyDescent="0.2">
      <c r="C35" s="97"/>
    </row>
    <row r="36" spans="1:9" s="95" customFormat="1" ht="11.25" x14ac:dyDescent="0.2">
      <c r="A36" s="464" t="s">
        <v>72</v>
      </c>
      <c r="B36" s="464" t="s">
        <v>25</v>
      </c>
      <c r="C36" s="466" t="s">
        <v>73</v>
      </c>
      <c r="D36" s="948" t="s">
        <v>196</v>
      </c>
      <c r="E36" s="948"/>
      <c r="F36" s="948"/>
      <c r="G36" s="948"/>
      <c r="H36" s="948"/>
      <c r="I36" s="948"/>
    </row>
    <row r="37" spans="1:9" s="95" customFormat="1" ht="11.25" x14ac:dyDescent="0.2">
      <c r="A37" s="402" t="s">
        <v>93</v>
      </c>
      <c r="B37" s="138">
        <v>0</v>
      </c>
      <c r="C37" s="403" t="s">
        <v>93</v>
      </c>
      <c r="D37" s="949" t="s">
        <v>93</v>
      </c>
      <c r="E37" s="950"/>
      <c r="F37" s="950"/>
      <c r="G37" s="950"/>
      <c r="H37" s="950"/>
      <c r="I37" s="951"/>
    </row>
    <row r="38" spans="1:9" s="96" customFormat="1" ht="10.5" x14ac:dyDescent="0.15">
      <c r="A38" s="404" t="s">
        <v>34</v>
      </c>
      <c r="B38" s="405">
        <f>SUM(B37:B37)</f>
        <v>0</v>
      </c>
      <c r="C38" s="954"/>
      <c r="D38" s="954"/>
      <c r="E38" s="954"/>
      <c r="F38" s="954"/>
      <c r="G38" s="954"/>
      <c r="H38" s="954"/>
      <c r="I38" s="954"/>
    </row>
    <row r="39" spans="1:9" s="95" customFormat="1" ht="11.25" x14ac:dyDescent="0.2">
      <c r="C39" s="97"/>
    </row>
    <row r="40" spans="1:9" s="95" customFormat="1" ht="11.25" x14ac:dyDescent="0.2">
      <c r="A40" s="901" t="s">
        <v>198</v>
      </c>
      <c r="B40" s="901"/>
      <c r="C40" s="901"/>
      <c r="D40" s="901"/>
      <c r="E40" s="901"/>
      <c r="F40" s="901"/>
      <c r="G40" s="901"/>
      <c r="H40" s="901"/>
      <c r="I40" s="901"/>
    </row>
    <row r="41" spans="1:9" s="95" customFormat="1" ht="11.25" x14ac:dyDescent="0.2">
      <c r="C41" s="97"/>
    </row>
    <row r="42" spans="1:9" s="95" customFormat="1" ht="21" x14ac:dyDescent="0.2">
      <c r="A42" s="464" t="s">
        <v>25</v>
      </c>
      <c r="B42" s="414" t="s">
        <v>100</v>
      </c>
      <c r="C42" s="932" t="s">
        <v>74</v>
      </c>
      <c r="D42" s="932"/>
      <c r="E42" s="932"/>
      <c r="F42" s="932"/>
      <c r="G42" s="932"/>
      <c r="H42" s="932"/>
      <c r="I42" s="932"/>
    </row>
    <row r="43" spans="1:9" s="95" customFormat="1" ht="11.25" x14ac:dyDescent="0.2">
      <c r="A43" s="406">
        <v>24500</v>
      </c>
      <c r="B43" s="406">
        <v>24500</v>
      </c>
      <c r="C43" s="847" t="s">
        <v>744</v>
      </c>
      <c r="D43" s="847"/>
      <c r="E43" s="847"/>
      <c r="F43" s="847"/>
      <c r="G43" s="847"/>
      <c r="H43" s="847"/>
      <c r="I43" s="847"/>
    </row>
    <row r="44" spans="1:9" s="95" customFormat="1" ht="11.25" x14ac:dyDescent="0.2">
      <c r="A44" s="407">
        <v>16000</v>
      </c>
      <c r="B44" s="407">
        <v>16000</v>
      </c>
      <c r="C44" s="985" t="s">
        <v>745</v>
      </c>
      <c r="D44" s="986"/>
      <c r="E44" s="986"/>
      <c r="F44" s="986"/>
      <c r="G44" s="986"/>
      <c r="H44" s="986"/>
      <c r="I44" s="987"/>
    </row>
    <row r="45" spans="1:9" s="95" customFormat="1" ht="11.25" x14ac:dyDescent="0.2">
      <c r="A45" s="407">
        <v>6732</v>
      </c>
      <c r="B45" s="407">
        <v>1408</v>
      </c>
      <c r="C45" s="862" t="s">
        <v>746</v>
      </c>
      <c r="D45" s="863"/>
      <c r="E45" s="863"/>
      <c r="F45" s="863"/>
      <c r="G45" s="863"/>
      <c r="H45" s="863"/>
      <c r="I45" s="988"/>
    </row>
    <row r="46" spans="1:9" s="95" customFormat="1" ht="11.25" x14ac:dyDescent="0.2">
      <c r="A46" s="407">
        <v>6000</v>
      </c>
      <c r="B46" s="407">
        <v>0</v>
      </c>
      <c r="C46" s="771" t="s">
        <v>747</v>
      </c>
      <c r="D46" s="772"/>
      <c r="E46" s="772"/>
      <c r="F46" s="772"/>
      <c r="G46" s="772"/>
      <c r="H46" s="772"/>
      <c r="I46" s="773"/>
    </row>
    <row r="47" spans="1:9" s="96" customFormat="1" ht="10.5" x14ac:dyDescent="0.15">
      <c r="A47" s="376">
        <f>SUM(A43:A46)</f>
        <v>53232</v>
      </c>
      <c r="B47" s="376">
        <f>SUM(B43:B46)</f>
        <v>41908</v>
      </c>
      <c r="C47" s="1048" t="s">
        <v>34</v>
      </c>
      <c r="D47" s="1048"/>
      <c r="E47" s="1048"/>
      <c r="F47" s="1048"/>
      <c r="G47" s="1048"/>
      <c r="H47" s="1048"/>
      <c r="I47" s="1048"/>
    </row>
    <row r="48" spans="1:9" s="95" customFormat="1" ht="11.25" x14ac:dyDescent="0.2">
      <c r="C48" s="97"/>
    </row>
    <row r="49" spans="1:9" s="95" customFormat="1" ht="11.25" x14ac:dyDescent="0.2">
      <c r="A49" s="901" t="s">
        <v>199</v>
      </c>
      <c r="B49" s="901"/>
      <c r="C49" s="901"/>
      <c r="D49" s="901"/>
      <c r="E49" s="901"/>
      <c r="F49" s="901"/>
      <c r="G49" s="901"/>
      <c r="H49" s="901"/>
      <c r="I49" s="901"/>
    </row>
    <row r="50" spans="1:9" s="95" customFormat="1" ht="11.25" x14ac:dyDescent="0.2">
      <c r="C50" s="97"/>
    </row>
    <row r="51" spans="1:9" s="95" customFormat="1" ht="31.5" x14ac:dyDescent="0.2">
      <c r="A51" s="916" t="s">
        <v>101</v>
      </c>
      <c r="B51" s="917"/>
      <c r="C51" s="465" t="s">
        <v>102</v>
      </c>
      <c r="D51" s="465" t="s">
        <v>103</v>
      </c>
      <c r="E51" s="465" t="s">
        <v>104</v>
      </c>
      <c r="F51" s="465" t="s">
        <v>105</v>
      </c>
      <c r="G51" s="465" t="s">
        <v>94</v>
      </c>
    </row>
    <row r="52" spans="1:9" s="95" customFormat="1" ht="23.25" customHeight="1" x14ac:dyDescent="0.2">
      <c r="A52" s="1049" t="s">
        <v>748</v>
      </c>
      <c r="B52" s="1050"/>
      <c r="C52" s="425" t="s">
        <v>696</v>
      </c>
      <c r="D52" s="101">
        <v>1181364</v>
      </c>
      <c r="E52" s="101"/>
      <c r="F52" s="535">
        <v>42122</v>
      </c>
      <c r="G52" s="535">
        <v>42124</v>
      </c>
    </row>
    <row r="53" spans="1:9" s="95" customFormat="1" ht="21.75" customHeight="1" x14ac:dyDescent="0.2">
      <c r="A53" s="732" t="s">
        <v>748</v>
      </c>
      <c r="B53" s="783"/>
      <c r="C53" s="537" t="s">
        <v>697</v>
      </c>
      <c r="D53" s="541" t="s">
        <v>93</v>
      </c>
      <c r="E53" s="541">
        <v>1181364</v>
      </c>
      <c r="F53" s="536">
        <v>42122</v>
      </c>
      <c r="G53" s="536">
        <v>42124</v>
      </c>
    </row>
    <row r="54" spans="1:9" s="95" customFormat="1" ht="21.75" customHeight="1" x14ac:dyDescent="0.2">
      <c r="A54" s="732" t="s">
        <v>698</v>
      </c>
      <c r="B54" s="783"/>
      <c r="C54" s="537" t="s">
        <v>699</v>
      </c>
      <c r="D54" s="541" t="s">
        <v>93</v>
      </c>
      <c r="E54" s="541">
        <v>1000</v>
      </c>
      <c r="F54" s="536">
        <v>42152</v>
      </c>
      <c r="G54" s="536">
        <v>42153</v>
      </c>
    </row>
    <row r="55" spans="1:9" s="95" customFormat="1" ht="22.5" customHeight="1" x14ac:dyDescent="0.2">
      <c r="A55" s="732" t="s">
        <v>749</v>
      </c>
      <c r="B55" s="783"/>
      <c r="C55" s="537" t="s">
        <v>700</v>
      </c>
      <c r="D55" s="541" t="s">
        <v>93</v>
      </c>
      <c r="E55" s="541">
        <v>-1000</v>
      </c>
      <c r="F55" s="536">
        <v>42152</v>
      </c>
      <c r="G55" s="536">
        <v>42153</v>
      </c>
    </row>
    <row r="56" spans="1:9" s="95" customFormat="1" ht="34.5" customHeight="1" x14ac:dyDescent="0.2">
      <c r="A56" s="732" t="s">
        <v>701</v>
      </c>
      <c r="B56" s="783"/>
      <c r="C56" s="537" t="s">
        <v>702</v>
      </c>
      <c r="D56" s="541" t="s">
        <v>93</v>
      </c>
      <c r="E56" s="541">
        <v>10000</v>
      </c>
      <c r="F56" s="536">
        <v>42152</v>
      </c>
      <c r="G56" s="536">
        <v>42153</v>
      </c>
    </row>
    <row r="57" spans="1:9" s="95" customFormat="1" ht="24.75" customHeight="1" x14ac:dyDescent="0.2">
      <c r="A57" s="732" t="s">
        <v>1237</v>
      </c>
      <c r="B57" s="783"/>
      <c r="C57" s="537" t="s">
        <v>700</v>
      </c>
      <c r="D57" s="541" t="s">
        <v>93</v>
      </c>
      <c r="E57" s="541">
        <v>-10000</v>
      </c>
      <c r="F57" s="536">
        <v>42152</v>
      </c>
      <c r="G57" s="536">
        <v>42153</v>
      </c>
    </row>
    <row r="58" spans="1:9" s="95" customFormat="1" ht="36" customHeight="1" x14ac:dyDescent="0.2">
      <c r="A58" s="732" t="s">
        <v>750</v>
      </c>
      <c r="B58" s="783"/>
      <c r="C58" s="537" t="s">
        <v>703</v>
      </c>
      <c r="D58" s="541" t="s">
        <v>93</v>
      </c>
      <c r="E58" s="541">
        <v>6000</v>
      </c>
      <c r="F58" s="536">
        <v>42157</v>
      </c>
      <c r="G58" s="536">
        <v>42158</v>
      </c>
    </row>
    <row r="59" spans="1:9" s="95" customFormat="1" ht="13.5" customHeight="1" x14ac:dyDescent="0.2">
      <c r="A59" s="732" t="s">
        <v>704</v>
      </c>
      <c r="B59" s="783"/>
      <c r="C59" s="537" t="s">
        <v>705</v>
      </c>
      <c r="D59" s="541" t="s">
        <v>93</v>
      </c>
      <c r="E59" s="541">
        <v>-6000</v>
      </c>
      <c r="F59" s="536">
        <v>42157</v>
      </c>
      <c r="G59" s="536">
        <v>42158</v>
      </c>
    </row>
    <row r="60" spans="1:9" s="95" customFormat="1" ht="23.25" customHeight="1" x14ac:dyDescent="0.2">
      <c r="A60" s="732" t="s">
        <v>706</v>
      </c>
      <c r="B60" s="733"/>
      <c r="C60" s="537" t="s">
        <v>696</v>
      </c>
      <c r="D60" s="541">
        <v>6023</v>
      </c>
      <c r="E60" s="541"/>
      <c r="F60" s="536">
        <v>42080</v>
      </c>
      <c r="G60" s="536">
        <v>42083</v>
      </c>
    </row>
    <row r="61" spans="1:9" s="95" customFormat="1" ht="23.25" customHeight="1" x14ac:dyDescent="0.2">
      <c r="A61" s="732" t="s">
        <v>707</v>
      </c>
      <c r="B61" s="733"/>
      <c r="C61" s="537" t="s">
        <v>697</v>
      </c>
      <c r="D61" s="541"/>
      <c r="E61" s="541">
        <v>6023</v>
      </c>
      <c r="F61" s="536">
        <v>42080</v>
      </c>
      <c r="G61" s="536">
        <v>42083</v>
      </c>
    </row>
    <row r="62" spans="1:9" s="95" customFormat="1" ht="24" customHeight="1" x14ac:dyDescent="0.2">
      <c r="A62" s="732" t="s">
        <v>709</v>
      </c>
      <c r="B62" s="783"/>
      <c r="C62" s="537" t="s">
        <v>708</v>
      </c>
      <c r="D62" s="541">
        <v>448000</v>
      </c>
      <c r="E62" s="541"/>
      <c r="F62" s="536">
        <v>42171</v>
      </c>
      <c r="G62" s="536">
        <v>42202</v>
      </c>
    </row>
    <row r="63" spans="1:9" s="95" customFormat="1" ht="24.75" customHeight="1" x14ac:dyDescent="0.2">
      <c r="A63" s="732" t="s">
        <v>709</v>
      </c>
      <c r="B63" s="783"/>
      <c r="C63" s="537" t="s">
        <v>700</v>
      </c>
      <c r="D63" s="541"/>
      <c r="E63" s="541">
        <v>448000</v>
      </c>
      <c r="F63" s="536">
        <v>42171</v>
      </c>
      <c r="G63" s="536">
        <v>42202</v>
      </c>
    </row>
    <row r="64" spans="1:9" s="95" customFormat="1" ht="23.25" customHeight="1" x14ac:dyDescent="0.2">
      <c r="A64" s="732" t="s">
        <v>710</v>
      </c>
      <c r="B64" s="783"/>
      <c r="C64" s="537" t="s">
        <v>711</v>
      </c>
      <c r="D64" s="541">
        <v>39999</v>
      </c>
      <c r="E64" s="541"/>
      <c r="F64" s="536">
        <v>42307</v>
      </c>
      <c r="G64" s="536">
        <v>42338</v>
      </c>
    </row>
    <row r="65" spans="1:7" s="95" customFormat="1" ht="23.25" customHeight="1" x14ac:dyDescent="0.2">
      <c r="A65" s="732" t="s">
        <v>759</v>
      </c>
      <c r="B65" s="783"/>
      <c r="C65" s="537" t="s">
        <v>558</v>
      </c>
      <c r="D65" s="541"/>
      <c r="E65" s="541">
        <v>29850</v>
      </c>
      <c r="F65" s="536">
        <v>42307</v>
      </c>
      <c r="G65" s="536">
        <v>42338</v>
      </c>
    </row>
    <row r="66" spans="1:7" s="95" customFormat="1" ht="23.25" customHeight="1" x14ac:dyDescent="0.2">
      <c r="A66" s="732" t="s">
        <v>712</v>
      </c>
      <c r="B66" s="783"/>
      <c r="C66" s="537" t="s">
        <v>713</v>
      </c>
      <c r="D66" s="541"/>
      <c r="E66" s="541">
        <v>10149</v>
      </c>
      <c r="F66" s="536">
        <v>42307</v>
      </c>
      <c r="G66" s="536">
        <v>42338</v>
      </c>
    </row>
    <row r="67" spans="1:7" s="95" customFormat="1" ht="22.5" customHeight="1" x14ac:dyDescent="0.2">
      <c r="A67" s="732" t="s">
        <v>714</v>
      </c>
      <c r="B67" s="783"/>
      <c r="C67" s="537" t="s">
        <v>696</v>
      </c>
      <c r="D67" s="541">
        <v>-102792</v>
      </c>
      <c r="E67" s="541"/>
      <c r="F67" s="536">
        <v>42332</v>
      </c>
      <c r="G67" s="536">
        <v>42338</v>
      </c>
    </row>
    <row r="68" spans="1:7" s="95" customFormat="1" ht="12.75" customHeight="1" x14ac:dyDescent="0.2">
      <c r="A68" s="732" t="s">
        <v>715</v>
      </c>
      <c r="B68" s="783"/>
      <c r="C68" s="537" t="s">
        <v>716</v>
      </c>
      <c r="D68" s="541"/>
      <c r="E68" s="541">
        <v>-102792</v>
      </c>
      <c r="F68" s="536">
        <v>42332</v>
      </c>
      <c r="G68" s="536">
        <v>42338</v>
      </c>
    </row>
    <row r="69" spans="1:7" s="95" customFormat="1" ht="33" customHeight="1" x14ac:dyDescent="0.2">
      <c r="A69" s="732" t="s">
        <v>1238</v>
      </c>
      <c r="B69" s="783"/>
      <c r="C69" s="537" t="s">
        <v>717</v>
      </c>
      <c r="D69" s="541"/>
      <c r="E69" s="541">
        <v>-73000</v>
      </c>
      <c r="F69" s="536">
        <v>42346</v>
      </c>
      <c r="G69" s="536">
        <v>42348</v>
      </c>
    </row>
    <row r="70" spans="1:7" s="95" customFormat="1" ht="21.75" customHeight="1" x14ac:dyDescent="0.2">
      <c r="A70" s="732" t="s">
        <v>718</v>
      </c>
      <c r="B70" s="783"/>
      <c r="C70" s="537" t="s">
        <v>705</v>
      </c>
      <c r="D70" s="541"/>
      <c r="E70" s="541">
        <v>8000</v>
      </c>
      <c r="F70" s="536">
        <v>42346</v>
      </c>
      <c r="G70" s="536">
        <v>42348</v>
      </c>
    </row>
    <row r="71" spans="1:7" s="95" customFormat="1" ht="21.75" customHeight="1" x14ac:dyDescent="0.2">
      <c r="A71" s="732" t="s">
        <v>719</v>
      </c>
      <c r="B71" s="783"/>
      <c r="C71" s="537" t="s">
        <v>720</v>
      </c>
      <c r="D71" s="541"/>
      <c r="E71" s="541">
        <v>65000</v>
      </c>
      <c r="F71" s="536">
        <v>42346</v>
      </c>
      <c r="G71" s="536">
        <v>42348</v>
      </c>
    </row>
    <row r="72" spans="1:7" s="95" customFormat="1" ht="33.75" customHeight="1" x14ac:dyDescent="0.2">
      <c r="A72" s="732" t="s">
        <v>721</v>
      </c>
      <c r="B72" s="783"/>
      <c r="C72" s="537" t="s">
        <v>722</v>
      </c>
      <c r="D72" s="541"/>
      <c r="E72" s="541">
        <v>-45000</v>
      </c>
      <c r="F72" s="536">
        <v>42366</v>
      </c>
      <c r="G72" s="536">
        <v>42367</v>
      </c>
    </row>
    <row r="73" spans="1:7" s="95" customFormat="1" ht="22.5" customHeight="1" x14ac:dyDescent="0.2">
      <c r="A73" s="732" t="s">
        <v>723</v>
      </c>
      <c r="B73" s="783"/>
      <c r="C73" s="537" t="s">
        <v>724</v>
      </c>
      <c r="D73" s="541"/>
      <c r="E73" s="541">
        <v>45000</v>
      </c>
      <c r="F73" s="536">
        <v>42366</v>
      </c>
      <c r="G73" s="536">
        <v>42367</v>
      </c>
    </row>
    <row r="74" spans="1:7" s="95" customFormat="1" ht="23.25" customHeight="1" x14ac:dyDescent="0.2">
      <c r="A74" s="732" t="s">
        <v>725</v>
      </c>
      <c r="B74" s="783"/>
      <c r="C74" s="537" t="s">
        <v>726</v>
      </c>
      <c r="D74" s="541"/>
      <c r="E74" s="541">
        <v>-7000</v>
      </c>
      <c r="F74" s="536">
        <v>42366</v>
      </c>
      <c r="G74" s="536">
        <v>42367</v>
      </c>
    </row>
    <row r="75" spans="1:7" s="95" customFormat="1" ht="33.75" customHeight="1" x14ac:dyDescent="0.2">
      <c r="A75" s="732" t="s">
        <v>727</v>
      </c>
      <c r="B75" s="783"/>
      <c r="C75" s="537" t="s">
        <v>720</v>
      </c>
      <c r="D75" s="541"/>
      <c r="E75" s="541">
        <v>7000</v>
      </c>
      <c r="F75" s="536">
        <v>42366</v>
      </c>
      <c r="G75" s="536">
        <v>42367</v>
      </c>
    </row>
    <row r="76" spans="1:7" s="95" customFormat="1" ht="21.75" customHeight="1" x14ac:dyDescent="0.2">
      <c r="A76" s="732" t="s">
        <v>1239</v>
      </c>
      <c r="B76" s="783"/>
      <c r="C76" s="537" t="s">
        <v>708</v>
      </c>
      <c r="D76" s="541">
        <v>-120000</v>
      </c>
      <c r="E76" s="541"/>
      <c r="F76" s="536">
        <v>42366</v>
      </c>
      <c r="G76" s="536">
        <v>42367</v>
      </c>
    </row>
    <row r="77" spans="1:7" s="95" customFormat="1" ht="21" customHeight="1" x14ac:dyDescent="0.2">
      <c r="A77" s="732" t="s">
        <v>728</v>
      </c>
      <c r="B77" s="1055"/>
      <c r="C77" s="537" t="s">
        <v>700</v>
      </c>
      <c r="D77" s="541"/>
      <c r="E77" s="541">
        <v>-120000</v>
      </c>
      <c r="F77" s="536">
        <v>42366</v>
      </c>
      <c r="G77" s="536">
        <v>42367</v>
      </c>
    </row>
    <row r="78" spans="1:7" s="95" customFormat="1" ht="24" customHeight="1" x14ac:dyDescent="0.2">
      <c r="A78" s="732" t="s">
        <v>729</v>
      </c>
      <c r="B78" s="783"/>
      <c r="C78" s="537" t="s">
        <v>726</v>
      </c>
      <c r="D78" s="541"/>
      <c r="E78" s="541">
        <v>-39000</v>
      </c>
      <c r="F78" s="536">
        <v>42366</v>
      </c>
      <c r="G78" s="536">
        <v>42367</v>
      </c>
    </row>
    <row r="79" spans="1:7" s="95" customFormat="1" ht="21.75" customHeight="1" x14ac:dyDescent="0.2">
      <c r="A79" s="732" t="s">
        <v>730</v>
      </c>
      <c r="B79" s="783"/>
      <c r="C79" s="537" t="s">
        <v>511</v>
      </c>
      <c r="D79" s="541"/>
      <c r="E79" s="541">
        <v>26000</v>
      </c>
      <c r="F79" s="536">
        <v>42366</v>
      </c>
      <c r="G79" s="536">
        <v>42367</v>
      </c>
    </row>
    <row r="80" spans="1:7" s="95" customFormat="1" ht="22.5" customHeight="1" x14ac:dyDescent="0.2">
      <c r="A80" s="732" t="s">
        <v>730</v>
      </c>
      <c r="B80" s="783"/>
      <c r="C80" s="537" t="s">
        <v>731</v>
      </c>
      <c r="D80" s="541"/>
      <c r="E80" s="541">
        <v>13000</v>
      </c>
      <c r="F80" s="536">
        <v>42366</v>
      </c>
      <c r="G80" s="536">
        <v>42367</v>
      </c>
    </row>
    <row r="81" spans="1:9" s="95" customFormat="1" ht="21.75" customHeight="1" x14ac:dyDescent="0.2">
      <c r="A81" s="1054" t="s">
        <v>751</v>
      </c>
      <c r="B81" s="786"/>
      <c r="C81" s="421" t="s">
        <v>732</v>
      </c>
      <c r="D81" s="133">
        <v>448239</v>
      </c>
      <c r="E81" s="133"/>
      <c r="F81" s="540">
        <v>42366</v>
      </c>
      <c r="G81" s="540">
        <v>42367</v>
      </c>
      <c r="H81" s="732" t="s">
        <v>755</v>
      </c>
      <c r="I81" s="734"/>
    </row>
    <row r="82" spans="1:9" s="95" customFormat="1" ht="12" customHeight="1" x14ac:dyDescent="0.2">
      <c r="A82" s="876" t="s">
        <v>111</v>
      </c>
      <c r="B82" s="877"/>
      <c r="C82" s="534"/>
      <c r="D82" s="98">
        <f>SUM(D52:D81)</f>
        <v>1900833</v>
      </c>
      <c r="E82" s="98">
        <f>SUM(E52:E81)</f>
        <v>1452594</v>
      </c>
      <c r="F82" s="1063"/>
      <c r="G82" s="1064"/>
    </row>
    <row r="83" spans="1:9" s="95" customFormat="1" ht="12" customHeight="1" x14ac:dyDescent="0.25">
      <c r="C83" s="97"/>
      <c r="H83" s="121"/>
    </row>
    <row r="84" spans="1:9" s="95" customFormat="1" ht="12" customHeight="1" x14ac:dyDescent="0.2">
      <c r="A84" s="901" t="s">
        <v>211</v>
      </c>
      <c r="B84" s="901"/>
      <c r="C84" s="901"/>
      <c r="D84" s="901"/>
      <c r="E84" s="901"/>
      <c r="F84" s="901"/>
      <c r="G84" s="901"/>
      <c r="H84" s="901"/>
    </row>
    <row r="85" spans="1:9" s="95" customFormat="1" ht="12" customHeight="1" x14ac:dyDescent="0.2">
      <c r="C85" s="97"/>
    </row>
    <row r="86" spans="1:9" s="95" customFormat="1" ht="32.25" customHeight="1" x14ac:dyDescent="0.2">
      <c r="A86" s="916" t="s">
        <v>101</v>
      </c>
      <c r="B86" s="917"/>
      <c r="C86" s="465" t="s">
        <v>102</v>
      </c>
      <c r="D86" s="465" t="s">
        <v>103</v>
      </c>
      <c r="E86" s="465" t="s">
        <v>104</v>
      </c>
      <c r="F86" s="465" t="s">
        <v>105</v>
      </c>
      <c r="G86" s="465" t="s">
        <v>94</v>
      </c>
    </row>
    <row r="87" spans="1:9" s="95" customFormat="1" ht="33.75" customHeight="1" x14ac:dyDescent="0.2">
      <c r="A87" s="1049" t="s">
        <v>733</v>
      </c>
      <c r="B87" s="1050"/>
      <c r="C87" s="425" t="s">
        <v>734</v>
      </c>
      <c r="D87" s="542"/>
      <c r="E87" s="431">
        <v>3000</v>
      </c>
      <c r="F87" s="535">
        <v>42152</v>
      </c>
      <c r="G87" s="535">
        <v>42153</v>
      </c>
    </row>
    <row r="88" spans="1:9" s="95" customFormat="1" ht="22.5" customHeight="1" x14ac:dyDescent="0.2">
      <c r="A88" s="732" t="s">
        <v>752</v>
      </c>
      <c r="B88" s="783"/>
      <c r="C88" s="537" t="s">
        <v>735</v>
      </c>
      <c r="D88" s="538"/>
      <c r="E88" s="543">
        <v>-3000</v>
      </c>
      <c r="F88" s="536">
        <v>42152</v>
      </c>
      <c r="G88" s="536">
        <v>42153</v>
      </c>
    </row>
    <row r="89" spans="1:9" s="95" customFormat="1" ht="22.5" customHeight="1" x14ac:dyDescent="0.2">
      <c r="A89" s="732" t="s">
        <v>753</v>
      </c>
      <c r="B89" s="783"/>
      <c r="C89" s="537" t="s">
        <v>736</v>
      </c>
      <c r="D89" s="538"/>
      <c r="E89" s="543">
        <v>135000</v>
      </c>
      <c r="F89" s="537" t="s">
        <v>737</v>
      </c>
      <c r="G89" s="536">
        <v>42367</v>
      </c>
    </row>
    <row r="90" spans="1:9" s="95" customFormat="1" ht="11.25" customHeight="1" x14ac:dyDescent="0.2">
      <c r="A90" s="1054" t="s">
        <v>754</v>
      </c>
      <c r="B90" s="786"/>
      <c r="C90" s="421" t="s">
        <v>738</v>
      </c>
      <c r="D90" s="539"/>
      <c r="E90" s="544">
        <v>-135000</v>
      </c>
      <c r="F90" s="540">
        <v>42366</v>
      </c>
      <c r="G90" s="540">
        <v>42367</v>
      </c>
    </row>
    <row r="91" spans="1:9" s="95" customFormat="1" ht="11.25" customHeight="1" x14ac:dyDescent="0.2">
      <c r="A91" s="1059" t="s">
        <v>111</v>
      </c>
      <c r="B91" s="1060"/>
      <c r="C91" s="545"/>
      <c r="D91" s="546">
        <f>SUM(D87:D90)</f>
        <v>0</v>
      </c>
      <c r="E91" s="546">
        <f>SUM(E87:E90)</f>
        <v>0</v>
      </c>
      <c r="F91" s="1061"/>
      <c r="G91" s="1062"/>
    </row>
    <row r="92" spans="1:9" s="87" customFormat="1" ht="11.25" customHeight="1" x14ac:dyDescent="0.2">
      <c r="C92" s="89"/>
    </row>
    <row r="93" spans="1:9" s="87" customFormat="1" ht="12" customHeight="1" x14ac:dyDescent="0.2">
      <c r="A93" s="738" t="s">
        <v>212</v>
      </c>
      <c r="B93" s="738"/>
      <c r="C93" s="738"/>
      <c r="D93" s="738"/>
      <c r="E93" s="738"/>
      <c r="F93" s="738"/>
      <c r="G93" s="738"/>
      <c r="H93" s="738"/>
      <c r="I93" s="738"/>
    </row>
    <row r="94" spans="1:9" s="87" customFormat="1" ht="11.25" customHeight="1" x14ac:dyDescent="0.2"/>
    <row r="95" spans="1:9" s="91" customFormat="1" ht="11.25" customHeight="1" x14ac:dyDescent="0.2">
      <c r="A95" s="1045" t="s">
        <v>757</v>
      </c>
      <c r="B95" s="1046"/>
      <c r="C95" s="1046"/>
      <c r="D95" s="1046"/>
      <c r="E95" s="1046"/>
      <c r="F95" s="1046"/>
      <c r="G95" s="1046"/>
      <c r="H95" s="1046"/>
      <c r="I95" s="1047"/>
    </row>
    <row r="96" spans="1:9" s="95" customFormat="1" ht="11.25" customHeight="1" x14ac:dyDescent="0.2"/>
    <row r="97" spans="1:9" s="95" customFormat="1" ht="12" customHeight="1" x14ac:dyDescent="0.2">
      <c r="A97" s="463" t="s">
        <v>213</v>
      </c>
      <c r="B97" s="463"/>
      <c r="C97" s="463"/>
      <c r="D97" s="463"/>
      <c r="E97" s="463"/>
      <c r="F97" s="463"/>
      <c r="G97" s="463"/>
      <c r="H97" s="901"/>
      <c r="I97" s="901"/>
    </row>
    <row r="98" spans="1:9" s="95" customFormat="1" ht="12" customHeight="1" x14ac:dyDescent="0.2">
      <c r="H98" s="547"/>
    </row>
    <row r="99" spans="1:9" s="95" customFormat="1" ht="45.75" customHeight="1" x14ac:dyDescent="0.2">
      <c r="A99" s="732" t="s">
        <v>758</v>
      </c>
      <c r="B99" s="733"/>
      <c r="C99" s="733"/>
      <c r="D99" s="733"/>
      <c r="E99" s="733"/>
      <c r="F99" s="733"/>
      <c r="G99" s="733"/>
      <c r="H99" s="733"/>
      <c r="I99" s="734"/>
    </row>
    <row r="100" spans="1:9" s="95" customFormat="1" ht="15" customHeight="1" x14ac:dyDescent="0.2">
      <c r="A100" s="732" t="s">
        <v>216</v>
      </c>
      <c r="B100" s="733"/>
      <c r="C100" s="733"/>
      <c r="D100" s="733"/>
      <c r="E100" s="733"/>
      <c r="F100" s="733"/>
      <c r="G100" s="733"/>
      <c r="H100" s="733"/>
      <c r="I100" s="734"/>
    </row>
    <row r="101" spans="1:9" s="99" customFormat="1" ht="13.5" customHeight="1" x14ac:dyDescent="0.2">
      <c r="A101" s="1056" t="s">
        <v>1240</v>
      </c>
      <c r="B101" s="1057"/>
      <c r="C101" s="1057"/>
      <c r="D101" s="1057"/>
      <c r="E101" s="1057"/>
      <c r="F101" s="1057"/>
      <c r="G101" s="1057"/>
      <c r="H101" s="1057"/>
      <c r="I101" s="1058"/>
    </row>
  </sheetData>
  <mergeCells count="84">
    <mergeCell ref="H81:I81"/>
    <mergeCell ref="A93:I93"/>
    <mergeCell ref="A95:I95"/>
    <mergeCell ref="H97:I97"/>
    <mergeCell ref="A99:I99"/>
    <mergeCell ref="A91:B91"/>
    <mergeCell ref="F91:G91"/>
    <mergeCell ref="A82:B82"/>
    <mergeCell ref="F82:G82"/>
    <mergeCell ref="A86:B86"/>
    <mergeCell ref="A87:B87"/>
    <mergeCell ref="A84:H84"/>
    <mergeCell ref="A100:I100"/>
    <mergeCell ref="A101:I101"/>
    <mergeCell ref="A88:B88"/>
    <mergeCell ref="A89:B89"/>
    <mergeCell ref="A90:B90"/>
    <mergeCell ref="A80:B80"/>
    <mergeCell ref="A81:B81"/>
    <mergeCell ref="A75:B75"/>
    <mergeCell ref="A76:B76"/>
    <mergeCell ref="A77:B77"/>
    <mergeCell ref="A78:B78"/>
    <mergeCell ref="A79:B79"/>
    <mergeCell ref="A70:B70"/>
    <mergeCell ref="A71:B71"/>
    <mergeCell ref="A72:B72"/>
    <mergeCell ref="A73:B73"/>
    <mergeCell ref="A74:B74"/>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F23:I23"/>
    <mergeCell ref="C43:I43"/>
    <mergeCell ref="C44:I44"/>
    <mergeCell ref="C45:I45"/>
    <mergeCell ref="C46:I46"/>
    <mergeCell ref="D37:I37"/>
    <mergeCell ref="C38:I38"/>
    <mergeCell ref="A40:I40"/>
    <mergeCell ref="C42:I42"/>
    <mergeCell ref="A11:I11"/>
    <mergeCell ref="A15:A16"/>
    <mergeCell ref="A19:I19"/>
    <mergeCell ref="F21:I21"/>
    <mergeCell ref="F22:I22"/>
    <mergeCell ref="A7:B7"/>
    <mergeCell ref="D7:I7"/>
    <mergeCell ref="A8:B8"/>
    <mergeCell ref="D8:I8"/>
    <mergeCell ref="A9:B9"/>
    <mergeCell ref="D9:I9"/>
    <mergeCell ref="A3:I3"/>
    <mergeCell ref="A5:B5"/>
    <mergeCell ref="D5:I5"/>
    <mergeCell ref="A6:B6"/>
    <mergeCell ref="D6:I6"/>
    <mergeCell ref="A54:B54"/>
    <mergeCell ref="F24:I24"/>
    <mergeCell ref="D31:I31"/>
    <mergeCell ref="C32:I32"/>
    <mergeCell ref="A34:I34"/>
    <mergeCell ref="D36:I36"/>
    <mergeCell ref="F25:I25"/>
    <mergeCell ref="F26:I26"/>
    <mergeCell ref="A28:I28"/>
    <mergeCell ref="D30:I30"/>
    <mergeCell ref="C47:I47"/>
    <mergeCell ref="A49:I49"/>
    <mergeCell ref="A51:B51"/>
    <mergeCell ref="A52:B52"/>
    <mergeCell ref="A53:B53"/>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9" width="11" customWidth="1"/>
    <col min="10" max="10" width="11.5" customWidth="1"/>
    <col min="11"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85</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36052500</v>
      </c>
      <c r="F6" s="29">
        <f>SUM(F7:F9)</f>
        <v>39747114</v>
      </c>
      <c r="G6" s="29">
        <f>SUM(G7:G9)</f>
        <v>39593480</v>
      </c>
      <c r="H6" s="24">
        <f t="shared" ref="H6:H36" si="0">G6/F6*100</f>
        <v>99.61347130762752</v>
      </c>
      <c r="I6" s="29">
        <f>SUM(I7:I9)</f>
        <v>38487988</v>
      </c>
      <c r="J6" s="29">
        <f>SUM(J7:J9)</f>
        <v>12351000</v>
      </c>
      <c r="K6" s="29">
        <f t="shared" ref="K6:X6" si="1">SUM(K7:K9)</f>
        <v>14251833</v>
      </c>
      <c r="L6" s="29">
        <f t="shared" si="1"/>
        <v>14107547</v>
      </c>
      <c r="M6" s="24">
        <f t="shared" ref="M6:M33" si="2">L6/K6*100</f>
        <v>98.987596893676766</v>
      </c>
      <c r="N6" s="30">
        <f t="shared" si="1"/>
        <v>13173698</v>
      </c>
      <c r="O6" s="29">
        <f t="shared" si="1"/>
        <v>23701500</v>
      </c>
      <c r="P6" s="29">
        <f t="shared" si="1"/>
        <v>25495281</v>
      </c>
      <c r="Q6" s="29">
        <f t="shared" si="1"/>
        <v>25485933</v>
      </c>
      <c r="R6" s="24">
        <f t="shared" ref="R6:R33" si="3">Q6/P6*100</f>
        <v>99.963334391176147</v>
      </c>
      <c r="S6" s="29">
        <f t="shared" si="1"/>
        <v>25314290</v>
      </c>
      <c r="T6" s="29">
        <f t="shared" si="1"/>
        <v>3250000</v>
      </c>
      <c r="U6" s="29">
        <f t="shared" si="1"/>
        <v>3250000</v>
      </c>
      <c r="V6" s="29">
        <f t="shared" si="1"/>
        <v>3103718</v>
      </c>
      <c r="W6" s="24">
        <f t="shared" ref="W6:W33" si="4">V6/U6*100</f>
        <v>95.499015384615376</v>
      </c>
      <c r="X6" s="29">
        <f t="shared" si="1"/>
        <v>3394195</v>
      </c>
    </row>
    <row r="7" spans="1:24" s="6" customFormat="1" ht="9.9499999999999993" customHeight="1" x14ac:dyDescent="0.2">
      <c r="A7" s="169" t="s">
        <v>2</v>
      </c>
      <c r="B7" s="823" t="s">
        <v>44</v>
      </c>
      <c r="C7" s="824"/>
      <c r="D7" s="170" t="s">
        <v>25</v>
      </c>
      <c r="E7" s="32">
        <f t="shared" ref="E7:G10" si="5">SUM(J7,O7)</f>
        <v>6411000</v>
      </c>
      <c r="F7" s="33">
        <f t="shared" si="5"/>
        <v>7227238</v>
      </c>
      <c r="G7" s="33">
        <f t="shared" si="5"/>
        <v>7088855</v>
      </c>
      <c r="H7" s="9">
        <f t="shared" si="0"/>
        <v>98.085257466268587</v>
      </c>
      <c r="I7" s="34">
        <f>SUM(N7,S7)</f>
        <v>7096488</v>
      </c>
      <c r="J7" s="193">
        <v>6411000</v>
      </c>
      <c r="K7" s="35">
        <v>7227238</v>
      </c>
      <c r="L7" s="35">
        <v>7088855</v>
      </c>
      <c r="M7" s="9">
        <f t="shared" si="2"/>
        <v>98.085257466268587</v>
      </c>
      <c r="N7" s="36">
        <v>7096488</v>
      </c>
      <c r="O7" s="195"/>
      <c r="P7" s="35"/>
      <c r="Q7" s="35"/>
      <c r="R7" s="9" t="e">
        <f t="shared" si="3"/>
        <v>#DIV/0!</v>
      </c>
      <c r="S7" s="36"/>
      <c r="T7" s="195">
        <v>3250000</v>
      </c>
      <c r="U7" s="35">
        <v>3250000</v>
      </c>
      <c r="V7" s="35">
        <v>3103718</v>
      </c>
      <c r="W7" s="9">
        <f t="shared" si="4"/>
        <v>95.499015384615376</v>
      </c>
      <c r="X7" s="59">
        <v>3394195</v>
      </c>
    </row>
    <row r="8" spans="1:24" s="6" customFormat="1" ht="9.9499999999999993" customHeight="1" x14ac:dyDescent="0.2">
      <c r="A8" s="171" t="s">
        <v>3</v>
      </c>
      <c r="B8" s="825" t="s">
        <v>45</v>
      </c>
      <c r="C8" s="826"/>
      <c r="D8" s="172" t="s">
        <v>25</v>
      </c>
      <c r="E8" s="38">
        <f t="shared" si="5"/>
        <v>8000</v>
      </c>
      <c r="F8" s="39">
        <f t="shared" si="5"/>
        <v>8000</v>
      </c>
      <c r="G8" s="39">
        <f t="shared" si="5"/>
        <v>2097</v>
      </c>
      <c r="H8" s="10">
        <f t="shared" si="0"/>
        <v>26.212499999999999</v>
      </c>
      <c r="I8" s="40">
        <f>SUM(N8,S8)</f>
        <v>5213</v>
      </c>
      <c r="J8" s="196">
        <v>8000</v>
      </c>
      <c r="K8" s="157">
        <v>8000</v>
      </c>
      <c r="L8" s="157">
        <v>2097</v>
      </c>
      <c r="M8" s="158">
        <f t="shared" si="2"/>
        <v>26.212499999999999</v>
      </c>
      <c r="N8" s="198">
        <v>5210</v>
      </c>
      <c r="O8" s="156"/>
      <c r="P8" s="157"/>
      <c r="Q8" s="157"/>
      <c r="R8" s="158" t="e">
        <f t="shared" si="3"/>
        <v>#DIV/0!</v>
      </c>
      <c r="S8" s="198">
        <v>3</v>
      </c>
      <c r="T8" s="156"/>
      <c r="U8" s="157"/>
      <c r="V8" s="157"/>
      <c r="W8" s="158" t="e">
        <f t="shared" si="4"/>
        <v>#DIV/0!</v>
      </c>
      <c r="X8" s="159"/>
    </row>
    <row r="9" spans="1:24" s="6" customFormat="1" ht="9.9499999999999993" customHeight="1" x14ac:dyDescent="0.2">
      <c r="A9" s="173" t="s">
        <v>4</v>
      </c>
      <c r="B9" s="174" t="s">
        <v>59</v>
      </c>
      <c r="C9" s="175"/>
      <c r="D9" s="176" t="s">
        <v>25</v>
      </c>
      <c r="E9" s="42">
        <f t="shared" si="5"/>
        <v>29633500</v>
      </c>
      <c r="F9" s="43">
        <f t="shared" si="5"/>
        <v>32511876</v>
      </c>
      <c r="G9" s="43">
        <f t="shared" si="5"/>
        <v>32502528</v>
      </c>
      <c r="H9" s="26">
        <f t="shared" si="0"/>
        <v>99.971247429708455</v>
      </c>
      <c r="I9" s="44">
        <f>SUM(N9,S9)</f>
        <v>31386287</v>
      </c>
      <c r="J9" s="199">
        <v>5932000</v>
      </c>
      <c r="K9" s="203">
        <v>7016595</v>
      </c>
      <c r="L9" s="203">
        <v>7016595</v>
      </c>
      <c r="M9" s="201">
        <f t="shared" si="2"/>
        <v>100</v>
      </c>
      <c r="N9" s="202">
        <v>6072000</v>
      </c>
      <c r="O9" s="160">
        <v>23701500</v>
      </c>
      <c r="P9" s="203">
        <v>25495281</v>
      </c>
      <c r="Q9" s="203">
        <v>25485933</v>
      </c>
      <c r="R9" s="201">
        <f t="shared" si="3"/>
        <v>99.963334391176147</v>
      </c>
      <c r="S9" s="202">
        <v>25314287</v>
      </c>
      <c r="T9" s="160"/>
      <c r="U9" s="203"/>
      <c r="V9" s="203"/>
      <c r="W9" s="201" t="e">
        <f t="shared" si="4"/>
        <v>#DIV/0!</v>
      </c>
      <c r="X9" s="161"/>
    </row>
    <row r="10" spans="1:24" s="6" customFormat="1" ht="9.9499999999999993" customHeight="1" x14ac:dyDescent="0.2">
      <c r="A10" s="168" t="s">
        <v>5</v>
      </c>
      <c r="B10" s="822" t="s">
        <v>7</v>
      </c>
      <c r="C10" s="822"/>
      <c r="D10" s="177"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177" t="s">
        <v>25</v>
      </c>
      <c r="E11" s="29">
        <f>SUM(E12:E31)</f>
        <v>36052500</v>
      </c>
      <c r="F11" s="29">
        <f>SUM(F12:F31)</f>
        <v>39298875</v>
      </c>
      <c r="G11" s="29">
        <f>SUM(G12:G31)</f>
        <v>37285222</v>
      </c>
      <c r="H11" s="24">
        <f t="shared" si="0"/>
        <v>94.876054339977927</v>
      </c>
      <c r="I11" s="30">
        <f>SUM(I12:I31)</f>
        <v>38262358</v>
      </c>
      <c r="J11" s="29">
        <f>SUM(J12:J31)</f>
        <v>12351000</v>
      </c>
      <c r="K11" s="29">
        <f>SUM(K12:K31)</f>
        <v>13803594</v>
      </c>
      <c r="L11" s="29">
        <f>SUM(L12:L31)</f>
        <v>11789941</v>
      </c>
      <c r="M11" s="24">
        <f t="shared" si="2"/>
        <v>85.412110787958568</v>
      </c>
      <c r="N11" s="30">
        <f>SUM(N12:N31)</f>
        <v>12948068</v>
      </c>
      <c r="O11" s="29">
        <f>SUM(O12:O31)</f>
        <v>23701500</v>
      </c>
      <c r="P11" s="29">
        <f>SUM(P12:P31)</f>
        <v>25495281</v>
      </c>
      <c r="Q11" s="29">
        <f>SUM(Q12:Q31)</f>
        <v>25495281</v>
      </c>
      <c r="R11" s="24">
        <f t="shared" si="3"/>
        <v>100</v>
      </c>
      <c r="S11" s="30">
        <f>SUM(S12:S31)</f>
        <v>25314290</v>
      </c>
      <c r="T11" s="29">
        <f>SUM(T12:T31)</f>
        <v>3130000</v>
      </c>
      <c r="U11" s="29">
        <f>SUM(U12:U31)</f>
        <v>3130000</v>
      </c>
      <c r="V11" s="29">
        <f>SUM(V12:V31)</f>
        <v>2975934.69</v>
      </c>
      <c r="W11" s="24">
        <f t="shared" si="4"/>
        <v>95.077785623003194</v>
      </c>
      <c r="X11" s="29">
        <f>SUM(X12:X31)</f>
        <v>3208573</v>
      </c>
    </row>
    <row r="12" spans="1:24" s="6" customFormat="1" ht="9.9499999999999993" customHeight="1" x14ac:dyDescent="0.2">
      <c r="A12" s="178" t="s">
        <v>8</v>
      </c>
      <c r="B12" s="827" t="s">
        <v>28</v>
      </c>
      <c r="C12" s="828"/>
      <c r="D12" s="179" t="s">
        <v>25</v>
      </c>
      <c r="E12" s="32">
        <f t="shared" ref="E12:I29" si="6">SUM(J12,O12)</f>
        <v>5548500</v>
      </c>
      <c r="F12" s="33">
        <f t="shared" si="6"/>
        <v>5435405</v>
      </c>
      <c r="G12" s="33">
        <f t="shared" si="6"/>
        <v>5299610</v>
      </c>
      <c r="H12" s="9">
        <f t="shared" si="0"/>
        <v>97.501658110113226</v>
      </c>
      <c r="I12" s="34">
        <f t="shared" si="6"/>
        <v>5752336</v>
      </c>
      <c r="J12" s="204">
        <v>5318000</v>
      </c>
      <c r="K12" s="47">
        <v>5274000</v>
      </c>
      <c r="L12" s="47">
        <v>5138205</v>
      </c>
      <c r="M12" s="9">
        <f t="shared" si="2"/>
        <v>97.425199089874866</v>
      </c>
      <c r="N12" s="48">
        <v>5132595</v>
      </c>
      <c r="O12" s="206">
        <v>230500</v>
      </c>
      <c r="P12" s="47">
        <v>161405</v>
      </c>
      <c r="Q12" s="47">
        <v>161405</v>
      </c>
      <c r="R12" s="9">
        <f t="shared" si="3"/>
        <v>100</v>
      </c>
      <c r="S12" s="50">
        <v>619741</v>
      </c>
      <c r="T12" s="206">
        <v>1607000</v>
      </c>
      <c r="U12" s="47">
        <v>1472000</v>
      </c>
      <c r="V12" s="47">
        <v>1461170</v>
      </c>
      <c r="W12" s="9">
        <f t="shared" si="4"/>
        <v>99.264266304347828</v>
      </c>
      <c r="X12" s="51">
        <v>1648851</v>
      </c>
    </row>
    <row r="13" spans="1:24" s="6" customFormat="1" ht="9.9499999999999993" customHeight="1" x14ac:dyDescent="0.2">
      <c r="A13" s="180" t="s">
        <v>10</v>
      </c>
      <c r="B13" s="820" t="s">
        <v>29</v>
      </c>
      <c r="C13" s="821"/>
      <c r="D13" s="172" t="s">
        <v>25</v>
      </c>
      <c r="E13" s="38">
        <f t="shared" si="6"/>
        <v>3830000</v>
      </c>
      <c r="F13" s="39">
        <f t="shared" si="6"/>
        <v>3830000</v>
      </c>
      <c r="G13" s="39">
        <f t="shared" si="6"/>
        <v>1999341</v>
      </c>
      <c r="H13" s="10">
        <f t="shared" si="0"/>
        <v>52.202114882506521</v>
      </c>
      <c r="I13" s="40">
        <f t="shared" si="6"/>
        <v>2631571</v>
      </c>
      <c r="J13" s="208">
        <v>3830000</v>
      </c>
      <c r="K13" s="157">
        <v>3830000</v>
      </c>
      <c r="L13" s="157">
        <v>1999341</v>
      </c>
      <c r="M13" s="158">
        <f t="shared" si="2"/>
        <v>52.202114882506521</v>
      </c>
      <c r="N13" s="198">
        <v>2631571</v>
      </c>
      <c r="O13" s="156"/>
      <c r="P13" s="157"/>
      <c r="Q13" s="157"/>
      <c r="R13" s="158" t="e">
        <f t="shared" si="3"/>
        <v>#DIV/0!</v>
      </c>
      <c r="S13" s="198"/>
      <c r="T13" s="156">
        <v>485000</v>
      </c>
      <c r="U13" s="157">
        <v>485000</v>
      </c>
      <c r="V13" s="157">
        <v>471450</v>
      </c>
      <c r="W13" s="158">
        <f t="shared" si="4"/>
        <v>97.206185567010309</v>
      </c>
      <c r="X13" s="159">
        <v>529479</v>
      </c>
    </row>
    <row r="14" spans="1:24" s="6" customFormat="1" ht="9.9499999999999993" customHeight="1" x14ac:dyDescent="0.2">
      <c r="A14" s="180" t="s">
        <v>11</v>
      </c>
      <c r="B14" s="255" t="s">
        <v>60</v>
      </c>
      <c r="C14" s="256"/>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534000</v>
      </c>
      <c r="F15" s="39">
        <f t="shared" si="6"/>
        <v>851000</v>
      </c>
      <c r="G15" s="39">
        <f t="shared" si="6"/>
        <v>846119</v>
      </c>
      <c r="H15" s="10">
        <f t="shared" si="0"/>
        <v>99.426439482961229</v>
      </c>
      <c r="I15" s="40">
        <f t="shared" si="6"/>
        <v>620557</v>
      </c>
      <c r="J15" s="208">
        <v>534000</v>
      </c>
      <c r="K15" s="157">
        <v>851000</v>
      </c>
      <c r="L15" s="157">
        <v>846119</v>
      </c>
      <c r="M15" s="158">
        <f t="shared" si="2"/>
        <v>99.426439482961229</v>
      </c>
      <c r="N15" s="198">
        <v>620557</v>
      </c>
      <c r="O15" s="156"/>
      <c r="P15" s="157"/>
      <c r="Q15" s="157"/>
      <c r="R15" s="158" t="e">
        <f t="shared" si="3"/>
        <v>#DIV/0!</v>
      </c>
      <c r="S15" s="198"/>
      <c r="T15" s="156">
        <v>53000</v>
      </c>
      <c r="U15" s="157">
        <v>53000</v>
      </c>
      <c r="V15" s="157">
        <v>48707</v>
      </c>
      <c r="W15" s="158">
        <f t="shared" si="4"/>
        <v>91.9</v>
      </c>
      <c r="X15" s="159">
        <v>51612</v>
      </c>
    </row>
    <row r="16" spans="1:24" s="6" customFormat="1" ht="9.9499999999999993" customHeight="1" x14ac:dyDescent="0.2">
      <c r="A16" s="180" t="s">
        <v>13</v>
      </c>
      <c r="B16" s="820" t="s">
        <v>30</v>
      </c>
      <c r="C16" s="821"/>
      <c r="D16" s="172" t="s">
        <v>25</v>
      </c>
      <c r="E16" s="38">
        <f t="shared" si="6"/>
        <v>30000</v>
      </c>
      <c r="F16" s="39">
        <f t="shared" si="6"/>
        <v>30734</v>
      </c>
      <c r="G16" s="39">
        <f t="shared" si="6"/>
        <v>29932</v>
      </c>
      <c r="H16" s="10">
        <f t="shared" si="0"/>
        <v>97.390512136396183</v>
      </c>
      <c r="I16" s="40">
        <f t="shared" si="6"/>
        <v>56006</v>
      </c>
      <c r="J16" s="208">
        <v>10000</v>
      </c>
      <c r="K16" s="157">
        <v>11000</v>
      </c>
      <c r="L16" s="157">
        <v>10198</v>
      </c>
      <c r="M16" s="158">
        <f t="shared" si="2"/>
        <v>92.709090909090904</v>
      </c>
      <c r="N16" s="198">
        <v>10316</v>
      </c>
      <c r="O16" s="156">
        <v>20000</v>
      </c>
      <c r="P16" s="157">
        <v>19734</v>
      </c>
      <c r="Q16" s="157">
        <v>19734</v>
      </c>
      <c r="R16" s="158">
        <f t="shared" si="3"/>
        <v>100</v>
      </c>
      <c r="S16" s="198">
        <v>45690</v>
      </c>
      <c r="T16" s="156"/>
      <c r="U16" s="157"/>
      <c r="V16" s="157"/>
      <c r="W16" s="158" t="e">
        <f t="shared" si="4"/>
        <v>#DIV/0!</v>
      </c>
      <c r="X16" s="159"/>
    </row>
    <row r="17" spans="1:24" s="6" customFormat="1" ht="9.9499999999999993" customHeight="1" x14ac:dyDescent="0.2">
      <c r="A17" s="180" t="s">
        <v>14</v>
      </c>
      <c r="B17" s="255" t="s">
        <v>46</v>
      </c>
      <c r="C17" s="256"/>
      <c r="D17" s="172" t="s">
        <v>25</v>
      </c>
      <c r="E17" s="38">
        <f t="shared" si="6"/>
        <v>1000</v>
      </c>
      <c r="F17" s="39">
        <f t="shared" si="6"/>
        <v>1000</v>
      </c>
      <c r="G17" s="39">
        <f t="shared" si="6"/>
        <v>974</v>
      </c>
      <c r="H17" s="10">
        <f t="shared" si="0"/>
        <v>97.399999999999991</v>
      </c>
      <c r="I17" s="40">
        <f t="shared" si="6"/>
        <v>2051</v>
      </c>
      <c r="J17" s="208">
        <v>1000</v>
      </c>
      <c r="K17" s="157">
        <v>1000</v>
      </c>
      <c r="L17" s="157">
        <v>974</v>
      </c>
      <c r="M17" s="158">
        <f t="shared" si="2"/>
        <v>97.399999999999991</v>
      </c>
      <c r="N17" s="198">
        <v>2051</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905000</v>
      </c>
      <c r="F18" s="39">
        <f t="shared" si="6"/>
        <v>944205</v>
      </c>
      <c r="G18" s="39">
        <f t="shared" si="6"/>
        <v>943620</v>
      </c>
      <c r="H18" s="10">
        <f t="shared" si="0"/>
        <v>99.938043115636958</v>
      </c>
      <c r="I18" s="40">
        <f t="shared" si="6"/>
        <v>1059906</v>
      </c>
      <c r="J18" s="208">
        <v>765000</v>
      </c>
      <c r="K18" s="157">
        <v>810000</v>
      </c>
      <c r="L18" s="157">
        <v>809415</v>
      </c>
      <c r="M18" s="158">
        <f t="shared" si="2"/>
        <v>99.927777777777777</v>
      </c>
      <c r="N18" s="198">
        <v>687167</v>
      </c>
      <c r="O18" s="156">
        <v>140000</v>
      </c>
      <c r="P18" s="157">
        <v>134205</v>
      </c>
      <c r="Q18" s="157">
        <v>134205</v>
      </c>
      <c r="R18" s="158">
        <f t="shared" si="3"/>
        <v>100</v>
      </c>
      <c r="S18" s="198">
        <v>372739</v>
      </c>
      <c r="T18" s="156">
        <v>66000</v>
      </c>
      <c r="U18" s="157">
        <v>63000</v>
      </c>
      <c r="V18" s="157">
        <v>44089</v>
      </c>
      <c r="W18" s="158">
        <f t="shared" si="4"/>
        <v>69.982539682539681</v>
      </c>
      <c r="X18" s="159">
        <v>58750</v>
      </c>
    </row>
    <row r="19" spans="1:24" s="11" customFormat="1" ht="9.9499999999999993" customHeight="1" x14ac:dyDescent="0.2">
      <c r="A19" s="180" t="s">
        <v>16</v>
      </c>
      <c r="B19" s="820" t="s">
        <v>32</v>
      </c>
      <c r="C19" s="821"/>
      <c r="D19" s="172" t="s">
        <v>25</v>
      </c>
      <c r="E19" s="38">
        <f t="shared" si="6"/>
        <v>18118000</v>
      </c>
      <c r="F19" s="39">
        <f t="shared" si="6"/>
        <v>19557676</v>
      </c>
      <c r="G19" s="39">
        <f t="shared" si="6"/>
        <v>19545685</v>
      </c>
      <c r="H19" s="10">
        <f t="shared" si="0"/>
        <v>99.938689034423106</v>
      </c>
      <c r="I19" s="40">
        <f t="shared" si="6"/>
        <v>18985750</v>
      </c>
      <c r="J19" s="209">
        <v>1095000</v>
      </c>
      <c r="K19" s="157">
        <v>1124850</v>
      </c>
      <c r="L19" s="157">
        <v>1112859</v>
      </c>
      <c r="M19" s="158">
        <f t="shared" si="2"/>
        <v>98.933991198826504</v>
      </c>
      <c r="N19" s="198">
        <v>1083678</v>
      </c>
      <c r="O19" s="156">
        <v>17023000</v>
      </c>
      <c r="P19" s="157">
        <v>18432826</v>
      </c>
      <c r="Q19" s="157">
        <v>18432826</v>
      </c>
      <c r="R19" s="158">
        <f t="shared" si="3"/>
        <v>100</v>
      </c>
      <c r="S19" s="198">
        <v>17902072</v>
      </c>
      <c r="T19" s="210">
        <v>640000</v>
      </c>
      <c r="U19" s="211">
        <v>640000</v>
      </c>
      <c r="V19" s="211">
        <v>562791</v>
      </c>
      <c r="W19" s="158">
        <f t="shared" si="4"/>
        <v>87.936093749999998</v>
      </c>
      <c r="X19" s="212">
        <v>631886</v>
      </c>
    </row>
    <row r="20" spans="1:24" s="6" customFormat="1" ht="9.9499999999999993" customHeight="1" x14ac:dyDescent="0.2">
      <c r="A20" s="180" t="s">
        <v>17</v>
      </c>
      <c r="B20" s="820" t="s">
        <v>47</v>
      </c>
      <c r="C20" s="821"/>
      <c r="D20" s="172" t="s">
        <v>25</v>
      </c>
      <c r="E20" s="38">
        <f t="shared" si="6"/>
        <v>6138000</v>
      </c>
      <c r="F20" s="39">
        <f t="shared" si="6"/>
        <v>6652874</v>
      </c>
      <c r="G20" s="39">
        <f t="shared" si="6"/>
        <v>6634567</v>
      </c>
      <c r="H20" s="10">
        <f t="shared" si="0"/>
        <v>99.724825691873917</v>
      </c>
      <c r="I20" s="40">
        <f t="shared" si="6"/>
        <v>6370083</v>
      </c>
      <c r="J20" s="208">
        <v>350000</v>
      </c>
      <c r="K20" s="157">
        <v>360149</v>
      </c>
      <c r="L20" s="157">
        <v>341842</v>
      </c>
      <c r="M20" s="158">
        <f t="shared" si="2"/>
        <v>94.916826091423275</v>
      </c>
      <c r="N20" s="198">
        <v>335828</v>
      </c>
      <c r="O20" s="156">
        <v>5788000</v>
      </c>
      <c r="P20" s="157">
        <v>6292725</v>
      </c>
      <c r="Q20" s="157">
        <v>6292725</v>
      </c>
      <c r="R20" s="158">
        <f t="shared" si="3"/>
        <v>100</v>
      </c>
      <c r="S20" s="198">
        <v>6034255</v>
      </c>
      <c r="T20" s="156">
        <v>215000</v>
      </c>
      <c r="U20" s="157">
        <v>215000</v>
      </c>
      <c r="V20" s="157">
        <v>189431.69</v>
      </c>
      <c r="W20" s="158">
        <f t="shared" si="4"/>
        <v>88.107762790697677</v>
      </c>
      <c r="X20" s="159">
        <v>213826</v>
      </c>
    </row>
    <row r="21" spans="1:24" s="6" customFormat="1" ht="9.9499999999999993" customHeight="1" x14ac:dyDescent="0.2">
      <c r="A21" s="180" t="s">
        <v>18</v>
      </c>
      <c r="B21" s="820" t="s">
        <v>48</v>
      </c>
      <c r="C21" s="821"/>
      <c r="D21" s="172" t="s">
        <v>25</v>
      </c>
      <c r="E21" s="38">
        <f t="shared" si="6"/>
        <v>243000</v>
      </c>
      <c r="F21" s="39">
        <f t="shared" si="6"/>
        <v>238008</v>
      </c>
      <c r="G21" s="39">
        <f t="shared" si="6"/>
        <v>233308</v>
      </c>
      <c r="H21" s="10">
        <f t="shared" si="0"/>
        <v>98.025276461295419</v>
      </c>
      <c r="I21" s="40">
        <f t="shared" si="6"/>
        <v>201996</v>
      </c>
      <c r="J21" s="208">
        <v>33000</v>
      </c>
      <c r="K21" s="157">
        <v>33000</v>
      </c>
      <c r="L21" s="157">
        <v>28300</v>
      </c>
      <c r="M21" s="158">
        <f t="shared" si="2"/>
        <v>85.757575757575751</v>
      </c>
      <c r="N21" s="198">
        <v>15266</v>
      </c>
      <c r="O21" s="156">
        <v>210000</v>
      </c>
      <c r="P21" s="157">
        <v>205008</v>
      </c>
      <c r="Q21" s="157">
        <v>205008</v>
      </c>
      <c r="R21" s="158">
        <f t="shared" si="3"/>
        <v>100</v>
      </c>
      <c r="S21" s="198">
        <v>186730</v>
      </c>
      <c r="T21" s="156">
        <v>8000</v>
      </c>
      <c r="U21" s="157">
        <v>8000</v>
      </c>
      <c r="V21" s="157">
        <v>5440</v>
      </c>
      <c r="W21" s="158">
        <f t="shared" si="4"/>
        <v>68</v>
      </c>
      <c r="X21" s="159">
        <v>6102</v>
      </c>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v>3000</v>
      </c>
      <c r="U22" s="157">
        <v>3000</v>
      </c>
      <c r="V22" s="157">
        <v>3000</v>
      </c>
      <c r="W22" s="158">
        <f t="shared" si="4"/>
        <v>100</v>
      </c>
      <c r="X22" s="159"/>
    </row>
    <row r="23" spans="1:24" s="6" customFormat="1" ht="9.9499999999999993" customHeight="1" x14ac:dyDescent="0.2">
      <c r="A23" s="671" t="s">
        <v>20</v>
      </c>
      <c r="B23" s="677" t="s">
        <v>172</v>
      </c>
      <c r="C23" s="678"/>
      <c r="D23" s="672" t="s">
        <v>25</v>
      </c>
      <c r="E23" s="673">
        <f t="shared" si="6"/>
        <v>0</v>
      </c>
      <c r="F23" s="674">
        <f t="shared" si="6"/>
        <v>6000</v>
      </c>
      <c r="G23" s="674">
        <f t="shared" si="6"/>
        <v>6000</v>
      </c>
      <c r="H23" s="675">
        <f t="shared" si="0"/>
        <v>100</v>
      </c>
      <c r="I23" s="676">
        <f t="shared" si="6"/>
        <v>0</v>
      </c>
      <c r="J23" s="208"/>
      <c r="K23" s="157">
        <v>6000</v>
      </c>
      <c r="L23" s="157">
        <v>6000</v>
      </c>
      <c r="M23" s="158">
        <f t="shared" si="2"/>
        <v>100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0</v>
      </c>
      <c r="J25" s="208"/>
      <c r="K25" s="213"/>
      <c r="L25" s="213"/>
      <c r="M25" s="158" t="e">
        <f t="shared" si="2"/>
        <v>#DIV/0!</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292000</v>
      </c>
      <c r="F26" s="674">
        <f t="shared" si="6"/>
        <v>1303595</v>
      </c>
      <c r="G26" s="674">
        <f t="shared" si="6"/>
        <v>1302788</v>
      </c>
      <c r="H26" s="675">
        <f t="shared" si="0"/>
        <v>99.93809427007622</v>
      </c>
      <c r="I26" s="676">
        <f t="shared" si="6"/>
        <v>301359</v>
      </c>
      <c r="J26" s="208">
        <v>292000</v>
      </c>
      <c r="K26" s="197">
        <v>1303595</v>
      </c>
      <c r="L26" s="197">
        <v>1302788</v>
      </c>
      <c r="M26" s="158">
        <f t="shared" si="2"/>
        <v>99.93809427007622</v>
      </c>
      <c r="N26" s="198">
        <v>301359</v>
      </c>
      <c r="O26" s="218"/>
      <c r="P26" s="197"/>
      <c r="Q26" s="197"/>
      <c r="R26" s="158" t="e">
        <f t="shared" si="3"/>
        <v>#DIV/0!</v>
      </c>
      <c r="S26" s="214"/>
      <c r="T26" s="218">
        <v>53000</v>
      </c>
      <c r="U26" s="197">
        <v>188000</v>
      </c>
      <c r="V26" s="197">
        <v>187852</v>
      </c>
      <c r="W26" s="261">
        <f t="shared" si="4"/>
        <v>99.921276595744672</v>
      </c>
      <c r="X26" s="219">
        <v>61097</v>
      </c>
    </row>
    <row r="27" spans="1:24" s="13" customFormat="1" ht="9.9499999999999993" customHeight="1" x14ac:dyDescent="0.2">
      <c r="A27" s="180" t="s">
        <v>43</v>
      </c>
      <c r="B27" s="255" t="s">
        <v>64</v>
      </c>
      <c r="C27" s="256"/>
      <c r="D27" s="172" t="s">
        <v>25</v>
      </c>
      <c r="E27" s="38">
        <f t="shared" si="6"/>
        <v>0</v>
      </c>
      <c r="F27" s="39">
        <f t="shared" si="6"/>
        <v>39000</v>
      </c>
      <c r="G27" s="39">
        <f t="shared" si="6"/>
        <v>38785</v>
      </c>
      <c r="H27" s="10">
        <f t="shared" si="0"/>
        <v>99.448717948717942</v>
      </c>
      <c r="I27" s="40">
        <f t="shared" si="6"/>
        <v>296481</v>
      </c>
      <c r="J27" s="208">
        <v>0</v>
      </c>
      <c r="K27" s="197">
        <v>39000</v>
      </c>
      <c r="L27" s="197">
        <v>38785</v>
      </c>
      <c r="M27" s="158">
        <f t="shared" si="2"/>
        <v>99.448717948717942</v>
      </c>
      <c r="N27" s="214">
        <v>296481</v>
      </c>
      <c r="O27" s="218"/>
      <c r="P27" s="197"/>
      <c r="Q27" s="197"/>
      <c r="R27" s="158" t="e">
        <f t="shared" si="3"/>
        <v>#DIV/0!</v>
      </c>
      <c r="S27" s="214"/>
      <c r="T27" s="218"/>
      <c r="U27" s="197"/>
      <c r="V27" s="197"/>
      <c r="W27" s="261" t="e">
        <f t="shared" si="4"/>
        <v>#DIV/0!</v>
      </c>
      <c r="X27" s="219"/>
    </row>
    <row r="28" spans="1:24" s="13" customFormat="1" ht="9.9499999999999993" customHeight="1" x14ac:dyDescent="0.2">
      <c r="A28" s="180" t="s">
        <v>49</v>
      </c>
      <c r="B28" s="255" t="s">
        <v>92</v>
      </c>
      <c r="C28" s="256"/>
      <c r="D28" s="172" t="s">
        <v>25</v>
      </c>
      <c r="E28" s="38">
        <f>SUM(J28,O28)</f>
        <v>302000</v>
      </c>
      <c r="F28" s="39">
        <f>SUM(K28,P28)</f>
        <v>343378</v>
      </c>
      <c r="G28" s="39">
        <f>SUM(L28,Q28)</f>
        <v>342950</v>
      </c>
      <c r="H28" s="10">
        <f>G28/F28*100</f>
        <v>99.875356021643796</v>
      </c>
      <c r="I28" s="40">
        <f>SUM(N28,S28)</f>
        <v>188351</v>
      </c>
      <c r="J28" s="208">
        <v>12000</v>
      </c>
      <c r="K28" s="197">
        <v>94000</v>
      </c>
      <c r="L28" s="197">
        <v>93572</v>
      </c>
      <c r="M28" s="158">
        <f t="shared" si="2"/>
        <v>99.544680851063831</v>
      </c>
      <c r="N28" s="214">
        <v>35288</v>
      </c>
      <c r="O28" s="218">
        <v>290000</v>
      </c>
      <c r="P28" s="197">
        <v>249378</v>
      </c>
      <c r="Q28" s="197">
        <v>249378</v>
      </c>
      <c r="R28" s="158">
        <f t="shared" si="3"/>
        <v>100</v>
      </c>
      <c r="S28" s="214">
        <v>153063</v>
      </c>
      <c r="T28" s="218"/>
      <c r="U28" s="197"/>
      <c r="V28" s="197"/>
      <c r="W28" s="261" t="e">
        <f t="shared" si="4"/>
        <v>#DIV/0!</v>
      </c>
      <c r="X28" s="219">
        <v>5817</v>
      </c>
    </row>
    <row r="29" spans="1:24" s="15" customFormat="1" ht="9.9499999999999993" customHeight="1" x14ac:dyDescent="0.2">
      <c r="A29" s="180" t="s">
        <v>50</v>
      </c>
      <c r="B29" s="820" t="s">
        <v>65</v>
      </c>
      <c r="C29" s="821"/>
      <c r="D29" s="172" t="s">
        <v>25</v>
      </c>
      <c r="E29" s="38">
        <f t="shared" si="6"/>
        <v>111000</v>
      </c>
      <c r="F29" s="39">
        <f t="shared" si="6"/>
        <v>66000</v>
      </c>
      <c r="G29" s="39">
        <f t="shared" si="6"/>
        <v>61543</v>
      </c>
      <c r="H29" s="10">
        <f t="shared" si="0"/>
        <v>93.2469696969697</v>
      </c>
      <c r="I29" s="40">
        <f t="shared" si="6"/>
        <v>1795911</v>
      </c>
      <c r="J29" s="208">
        <v>111000</v>
      </c>
      <c r="K29" s="197">
        <v>66000</v>
      </c>
      <c r="L29" s="197">
        <v>61543</v>
      </c>
      <c r="M29" s="158">
        <f t="shared" si="2"/>
        <v>93.2469696969697</v>
      </c>
      <c r="N29" s="214">
        <v>1795911</v>
      </c>
      <c r="O29" s="218"/>
      <c r="P29" s="197"/>
      <c r="Q29" s="197"/>
      <c r="R29" s="158" t="e">
        <f t="shared" si="3"/>
        <v>#DIV/0!</v>
      </c>
      <c r="S29" s="214"/>
      <c r="T29" s="218"/>
      <c r="U29" s="197">
        <v>3000</v>
      </c>
      <c r="V29" s="197">
        <v>2004</v>
      </c>
      <c r="W29" s="261">
        <f t="shared" si="4"/>
        <v>66.8</v>
      </c>
      <c r="X29" s="219">
        <v>1153</v>
      </c>
    </row>
    <row r="30" spans="1:24" s="6" customFormat="1" ht="9.75" x14ac:dyDescent="0.2">
      <c r="A30" s="180" t="s">
        <v>52</v>
      </c>
      <c r="B30" s="255" t="s">
        <v>51</v>
      </c>
      <c r="C30" s="256"/>
      <c r="D30" s="172" t="s">
        <v>25</v>
      </c>
      <c r="E30" s="38">
        <f t="shared" ref="E30:G31" si="7">SUM(J30,O30)</f>
        <v>0</v>
      </c>
      <c r="F30" s="39">
        <f t="shared" si="7"/>
        <v>0</v>
      </c>
      <c r="G30" s="39">
        <f t="shared" si="7"/>
        <v>0</v>
      </c>
      <c r="H30" s="10" t="e">
        <f t="shared" si="0"/>
        <v>#DIV/0!</v>
      </c>
      <c r="I30" s="40">
        <f>SUM(N30,S30)</f>
        <v>0</v>
      </c>
      <c r="J30" s="208"/>
      <c r="K30" s="197"/>
      <c r="L30" s="197"/>
      <c r="M30" s="158" t="e">
        <f t="shared" si="2"/>
        <v>#DIV/0!</v>
      </c>
      <c r="N30" s="214"/>
      <c r="O30" s="218"/>
      <c r="P30" s="197"/>
      <c r="Q30" s="197"/>
      <c r="R30" s="158" t="e">
        <f t="shared" si="3"/>
        <v>#DIV/0!</v>
      </c>
      <c r="S30" s="214"/>
      <c r="T30" s="218"/>
      <c r="U30" s="197"/>
      <c r="V30" s="197"/>
      <c r="W30" s="261" t="e">
        <f t="shared" si="4"/>
        <v>#DIV/0!</v>
      </c>
      <c r="X30" s="219"/>
    </row>
    <row r="31" spans="1:24" s="23" customFormat="1" ht="9.75" x14ac:dyDescent="0.2">
      <c r="A31" s="180" t="s">
        <v>53</v>
      </c>
      <c r="B31" s="255" t="s">
        <v>66</v>
      </c>
      <c r="C31" s="256"/>
      <c r="D31" s="172" t="s">
        <v>25</v>
      </c>
      <c r="E31" s="38">
        <f t="shared" si="7"/>
        <v>0</v>
      </c>
      <c r="F31" s="39">
        <f t="shared" si="7"/>
        <v>0</v>
      </c>
      <c r="G31" s="39">
        <f t="shared" si="7"/>
        <v>0</v>
      </c>
      <c r="H31" s="10" t="e">
        <f t="shared" si="0"/>
        <v>#DIV/0!</v>
      </c>
      <c r="I31" s="40">
        <f>SUM(N31,S31)</f>
        <v>0</v>
      </c>
      <c r="J31" s="208"/>
      <c r="K31" s="224"/>
      <c r="L31" s="224"/>
      <c r="M31" s="158" t="e">
        <f t="shared" si="2"/>
        <v>#DIV/0!</v>
      </c>
      <c r="N31" s="225"/>
      <c r="O31" s="226"/>
      <c r="P31" s="224"/>
      <c r="Q31" s="224"/>
      <c r="R31" s="158" t="e">
        <f t="shared" si="3"/>
        <v>#DIV/0!</v>
      </c>
      <c r="S31" s="225"/>
      <c r="T31" s="226"/>
      <c r="U31" s="224"/>
      <c r="V31" s="224"/>
      <c r="W31" s="261" t="e">
        <f t="shared" si="4"/>
        <v>#DIV/0!</v>
      </c>
      <c r="X31" s="265"/>
    </row>
    <row r="32" spans="1:24" s="23" customFormat="1" ht="9.75" x14ac:dyDescent="0.2">
      <c r="A32" s="183" t="s">
        <v>54</v>
      </c>
      <c r="B32" s="184" t="s">
        <v>67</v>
      </c>
      <c r="C32" s="185"/>
      <c r="D32" s="186" t="s">
        <v>25</v>
      </c>
      <c r="E32" s="42">
        <f>SUM(J32,O32)</f>
        <v>0</v>
      </c>
      <c r="F32" s="43">
        <f>SUM(K32,P32)</f>
        <v>0</v>
      </c>
      <c r="G32" s="43">
        <f>SUM(L32,Q32)</f>
        <v>0</v>
      </c>
      <c r="H32" s="26" t="e">
        <f t="shared" si="0"/>
        <v>#DIV/0!</v>
      </c>
      <c r="I32" s="44">
        <f>SUM(N32,S32)</f>
        <v>380</v>
      </c>
      <c r="J32" s="230"/>
      <c r="K32" s="222"/>
      <c r="L32" s="222"/>
      <c r="M32" s="201" t="e">
        <f t="shared" si="2"/>
        <v>#DIV/0!</v>
      </c>
      <c r="N32" s="231">
        <v>380</v>
      </c>
      <c r="O32" s="221"/>
      <c r="P32" s="222"/>
      <c r="Q32" s="222"/>
      <c r="R32" s="201" t="e">
        <f t="shared" si="3"/>
        <v>#DIV/0!</v>
      </c>
      <c r="S32" s="231"/>
      <c r="T32" s="260"/>
      <c r="U32" s="259"/>
      <c r="V32" s="259"/>
      <c r="W32" s="262" t="e">
        <f t="shared" si="4"/>
        <v>#DIV/0!</v>
      </c>
      <c r="X32" s="263"/>
    </row>
    <row r="33" spans="1:24" s="23" customFormat="1" ht="9.75" x14ac:dyDescent="0.2">
      <c r="A33" s="168" t="s">
        <v>55</v>
      </c>
      <c r="B33" s="21" t="s">
        <v>174</v>
      </c>
      <c r="C33" s="22"/>
      <c r="D33" s="20" t="s">
        <v>25</v>
      </c>
      <c r="E33" s="29">
        <f>E6-E11</f>
        <v>0</v>
      </c>
      <c r="F33" s="29">
        <f>F6-F11</f>
        <v>448239</v>
      </c>
      <c r="G33" s="29">
        <f>G6-G11</f>
        <v>2308258</v>
      </c>
      <c r="H33" s="19">
        <f t="shared" si="0"/>
        <v>514.96143798286175</v>
      </c>
      <c r="I33" s="29">
        <f>I6-I11</f>
        <v>225630</v>
      </c>
      <c r="J33" s="29">
        <f>J6-J11</f>
        <v>0</v>
      </c>
      <c r="K33" s="29">
        <f>K6-K11</f>
        <v>448239</v>
      </c>
      <c r="L33" s="29">
        <f>L6-L11</f>
        <v>2317606</v>
      </c>
      <c r="M33" s="19">
        <f t="shared" si="2"/>
        <v>517.04693255160748</v>
      </c>
      <c r="N33" s="29">
        <f>N6-N11</f>
        <v>225630</v>
      </c>
      <c r="O33" s="29">
        <f>O6-O11</f>
        <v>0</v>
      </c>
      <c r="P33" s="29">
        <f>P6-P11</f>
        <v>0</v>
      </c>
      <c r="Q33" s="29">
        <f>Q6-Q11</f>
        <v>-9348</v>
      </c>
      <c r="R33" s="19" t="e">
        <f t="shared" si="3"/>
        <v>#DIV/0!</v>
      </c>
      <c r="S33" s="29">
        <f>S6-S11</f>
        <v>0</v>
      </c>
      <c r="T33" s="31">
        <f>T6-T11</f>
        <v>120000</v>
      </c>
      <c r="U33" s="31">
        <f>U6-U11</f>
        <v>120000</v>
      </c>
      <c r="V33" s="31">
        <f>V6-V11</f>
        <v>127783.31000000006</v>
      </c>
      <c r="W33" s="264">
        <f t="shared" si="4"/>
        <v>106.48609166666671</v>
      </c>
      <c r="X33" s="31">
        <f>X6-X11</f>
        <v>185622</v>
      </c>
    </row>
    <row r="34" spans="1:24" s="4" customFormat="1" ht="9" x14ac:dyDescent="0.2">
      <c r="A34" s="187" t="s">
        <v>56</v>
      </c>
      <c r="B34" s="841" t="s">
        <v>24</v>
      </c>
      <c r="C34" s="842"/>
      <c r="D34" s="188" t="s">
        <v>25</v>
      </c>
      <c r="E34" s="142">
        <v>27900</v>
      </c>
      <c r="F34" s="143">
        <v>27900</v>
      </c>
      <c r="G34" s="143">
        <v>28217</v>
      </c>
      <c r="H34" s="12">
        <f t="shared" si="0"/>
        <v>101.13620071684588</v>
      </c>
      <c r="I34" s="247">
        <v>27185</v>
      </c>
      <c r="J34" s="968"/>
      <c r="K34" s="969"/>
      <c r="L34" s="969"/>
      <c r="M34" s="969"/>
      <c r="N34" s="969"/>
      <c r="O34" s="969"/>
      <c r="P34" s="969"/>
      <c r="Q34" s="969"/>
      <c r="R34" s="969"/>
      <c r="S34" s="969"/>
      <c r="T34" s="969"/>
      <c r="U34" s="969"/>
      <c r="V34" s="969"/>
      <c r="W34" s="969"/>
      <c r="X34" s="970"/>
    </row>
    <row r="35" spans="1:24" s="4" customFormat="1" ht="9" x14ac:dyDescent="0.2">
      <c r="A35" s="189" t="s">
        <v>57</v>
      </c>
      <c r="B35" s="829" t="s">
        <v>33</v>
      </c>
      <c r="C35" s="830"/>
      <c r="D35" s="190" t="s">
        <v>26</v>
      </c>
      <c r="E35" s="144">
        <v>71</v>
      </c>
      <c r="F35" s="145">
        <v>71</v>
      </c>
      <c r="G35" s="145">
        <v>71.36</v>
      </c>
      <c r="H35" s="232">
        <f t="shared" si="0"/>
        <v>100.50704225352112</v>
      </c>
      <c r="I35" s="248">
        <v>72</v>
      </c>
      <c r="J35" s="968"/>
      <c r="K35" s="969"/>
      <c r="L35" s="969"/>
      <c r="M35" s="969"/>
      <c r="N35" s="969"/>
      <c r="O35" s="969"/>
      <c r="P35" s="969"/>
      <c r="Q35" s="969"/>
      <c r="R35" s="969"/>
      <c r="S35" s="969"/>
      <c r="T35" s="969"/>
      <c r="U35" s="969"/>
      <c r="V35" s="969"/>
      <c r="W35" s="969"/>
      <c r="X35" s="970"/>
    </row>
    <row r="36" spans="1:24" s="4" customFormat="1" ht="9" x14ac:dyDescent="0.2">
      <c r="A36" s="191" t="s">
        <v>58</v>
      </c>
      <c r="B36" s="831" t="s">
        <v>27</v>
      </c>
      <c r="C36" s="832"/>
      <c r="D36" s="192" t="s">
        <v>26</v>
      </c>
      <c r="E36" s="146">
        <v>75</v>
      </c>
      <c r="F36" s="249">
        <v>75</v>
      </c>
      <c r="G36" s="249">
        <v>75</v>
      </c>
      <c r="H36" s="233">
        <f t="shared" si="0"/>
        <v>100</v>
      </c>
      <c r="I36" s="250">
        <v>73</v>
      </c>
      <c r="J36" s="971"/>
      <c r="K36" s="972"/>
      <c r="L36" s="972"/>
      <c r="M36" s="972"/>
      <c r="N36" s="972"/>
      <c r="O36" s="972"/>
      <c r="P36" s="972"/>
      <c r="Q36" s="972"/>
      <c r="R36" s="972"/>
      <c r="S36" s="972"/>
      <c r="T36" s="972"/>
      <c r="U36" s="972"/>
      <c r="V36" s="972"/>
      <c r="W36" s="972"/>
      <c r="X36" s="973"/>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1"/>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3">
      <c r="A1" s="62" t="s">
        <v>86</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548" t="s">
        <v>25</v>
      </c>
      <c r="D5" s="788" t="s">
        <v>176</v>
      </c>
      <c r="E5" s="788"/>
      <c r="F5" s="788"/>
      <c r="G5" s="788"/>
      <c r="H5" s="788"/>
      <c r="I5" s="788"/>
    </row>
    <row r="6" spans="1:9" s="87" customFormat="1" ht="11.25" x14ac:dyDescent="0.2">
      <c r="A6" s="792" t="s">
        <v>177</v>
      </c>
      <c r="B6" s="792"/>
      <c r="C6" s="283">
        <f>SUM(C7:C9)</f>
        <v>1828026.0999999999</v>
      </c>
      <c r="D6" s="990"/>
      <c r="E6" s="991"/>
      <c r="F6" s="991"/>
      <c r="G6" s="991"/>
      <c r="H6" s="991"/>
      <c r="I6" s="992"/>
    </row>
    <row r="7" spans="1:9" s="87" customFormat="1" ht="23.25" customHeight="1" x14ac:dyDescent="0.2">
      <c r="A7" s="1075" t="s">
        <v>69</v>
      </c>
      <c r="B7" s="797"/>
      <c r="C7" s="284">
        <v>1699702.88</v>
      </c>
      <c r="D7" s="737" t="s">
        <v>1149</v>
      </c>
      <c r="E7" s="789"/>
      <c r="F7" s="789"/>
      <c r="G7" s="789"/>
      <c r="H7" s="789"/>
      <c r="I7" s="1074"/>
    </row>
    <row r="8" spans="1:9" s="88" customFormat="1" ht="12.75" customHeight="1" x14ac:dyDescent="0.15">
      <c r="A8" s="1080" t="s">
        <v>178</v>
      </c>
      <c r="B8" s="758"/>
      <c r="C8" s="285">
        <v>128323.22</v>
      </c>
      <c r="D8" s="737" t="s">
        <v>1241</v>
      </c>
      <c r="E8" s="789"/>
      <c r="F8" s="789"/>
      <c r="G8" s="789"/>
      <c r="H8" s="789"/>
      <c r="I8" s="1074"/>
    </row>
    <row r="9" spans="1:9" s="88" customFormat="1" ht="10.5" x14ac:dyDescent="0.15">
      <c r="A9" s="1081" t="s">
        <v>179</v>
      </c>
      <c r="B9" s="1082"/>
      <c r="C9" s="437">
        <v>0</v>
      </c>
      <c r="D9" s="1083"/>
      <c r="E9" s="1084"/>
      <c r="F9" s="1084"/>
      <c r="G9" s="1084"/>
      <c r="H9" s="1084"/>
      <c r="I9" s="1085"/>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548" t="s">
        <v>68</v>
      </c>
      <c r="B13" s="548" t="s">
        <v>181</v>
      </c>
      <c r="C13" s="548" t="s">
        <v>25</v>
      </c>
      <c r="D13" s="287"/>
      <c r="E13" s="287"/>
      <c r="F13" s="287"/>
      <c r="G13" s="287"/>
      <c r="H13" s="287"/>
      <c r="I13" s="287"/>
    </row>
    <row r="14" spans="1:9" s="87" customFormat="1" ht="11.25" x14ac:dyDescent="0.2">
      <c r="A14" s="557" t="s">
        <v>182</v>
      </c>
      <c r="B14" s="289"/>
      <c r="C14" s="558">
        <v>0</v>
      </c>
      <c r="D14" s="292"/>
      <c r="E14" s="292"/>
      <c r="F14" s="292"/>
      <c r="G14" s="292"/>
      <c r="H14" s="292"/>
      <c r="I14" s="292"/>
    </row>
    <row r="15" spans="1:9" s="87" customFormat="1" ht="11.25" x14ac:dyDescent="0.2">
      <c r="A15" s="1086" t="s">
        <v>183</v>
      </c>
      <c r="B15" s="293" t="s">
        <v>70</v>
      </c>
      <c r="C15" s="559">
        <v>1818026.1</v>
      </c>
      <c r="D15" s="296"/>
      <c r="E15" s="296"/>
      <c r="F15" s="296"/>
      <c r="G15" s="296"/>
      <c r="H15" s="296"/>
      <c r="I15" s="296"/>
    </row>
    <row r="16" spans="1:9" s="87" customFormat="1" ht="11.25" x14ac:dyDescent="0.2">
      <c r="A16" s="1087"/>
      <c r="B16" s="297" t="s">
        <v>71</v>
      </c>
      <c r="C16" s="560">
        <v>10000</v>
      </c>
      <c r="D16" s="300"/>
      <c r="E16" s="300"/>
      <c r="F16" s="300"/>
      <c r="G16" s="300"/>
      <c r="H16" s="300"/>
      <c r="I16" s="300"/>
    </row>
    <row r="17" spans="1:9" s="87" customFormat="1" ht="11.25" x14ac:dyDescent="0.2">
      <c r="A17" s="549" t="s">
        <v>177</v>
      </c>
      <c r="B17" s="302"/>
      <c r="C17" s="283">
        <f>SUM(C14:C16)</f>
        <v>1828026.1</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551" t="s">
        <v>181</v>
      </c>
      <c r="B21" s="551" t="s">
        <v>185</v>
      </c>
      <c r="C21" s="307" t="s">
        <v>186</v>
      </c>
      <c r="D21" s="551" t="s">
        <v>187</v>
      </c>
      <c r="E21" s="551" t="s">
        <v>188</v>
      </c>
      <c r="F21" s="764" t="s">
        <v>189</v>
      </c>
      <c r="G21" s="764"/>
      <c r="H21" s="764"/>
      <c r="I21" s="764"/>
    </row>
    <row r="22" spans="1:9" s="87" customFormat="1" ht="57" customHeight="1" x14ac:dyDescent="0.2">
      <c r="A22" s="570" t="s">
        <v>190</v>
      </c>
      <c r="B22" s="124">
        <v>170742.11</v>
      </c>
      <c r="C22" s="124">
        <v>0</v>
      </c>
      <c r="D22" s="124">
        <v>162961.26999999999</v>
      </c>
      <c r="E22" s="124">
        <f>B22+C22-D22</f>
        <v>7780.8399999999965</v>
      </c>
      <c r="F22" s="778" t="s">
        <v>811</v>
      </c>
      <c r="G22" s="779"/>
      <c r="H22" s="779"/>
      <c r="I22" s="1077"/>
    </row>
    <row r="23" spans="1:9" s="87" customFormat="1" ht="12" customHeight="1" x14ac:dyDescent="0.2">
      <c r="A23" s="561" t="s">
        <v>191</v>
      </c>
      <c r="B23" s="125">
        <v>23149.29</v>
      </c>
      <c r="C23" s="125">
        <v>836646.32</v>
      </c>
      <c r="D23" s="125">
        <v>715154</v>
      </c>
      <c r="E23" s="125">
        <f t="shared" ref="E23:E25" si="0">B23+C23-D23</f>
        <v>144641.60999999999</v>
      </c>
      <c r="F23" s="781" t="s">
        <v>812</v>
      </c>
      <c r="G23" s="782"/>
      <c r="H23" s="782"/>
      <c r="I23" s="1078"/>
    </row>
    <row r="24" spans="1:9" s="87" customFormat="1" ht="13.5" customHeight="1" x14ac:dyDescent="0.2">
      <c r="A24" s="561" t="s">
        <v>71</v>
      </c>
      <c r="B24" s="125">
        <v>47540.78</v>
      </c>
      <c r="C24" s="125">
        <v>0</v>
      </c>
      <c r="D24" s="125">
        <v>6270</v>
      </c>
      <c r="E24" s="125">
        <f t="shared" si="0"/>
        <v>41270.78</v>
      </c>
      <c r="F24" s="781" t="s">
        <v>770</v>
      </c>
      <c r="G24" s="782"/>
      <c r="H24" s="782"/>
      <c r="I24" s="1078"/>
    </row>
    <row r="25" spans="1:9" s="87" customFormat="1" ht="12" customHeight="1" x14ac:dyDescent="0.2">
      <c r="A25" s="562" t="s">
        <v>193</v>
      </c>
      <c r="B25" s="126">
        <v>139273</v>
      </c>
      <c r="C25" s="126">
        <v>156064</v>
      </c>
      <c r="D25" s="126">
        <v>160696.5</v>
      </c>
      <c r="E25" s="126">
        <f t="shared" si="0"/>
        <v>134640.5</v>
      </c>
      <c r="F25" s="784" t="s">
        <v>149</v>
      </c>
      <c r="G25" s="785"/>
      <c r="H25" s="785"/>
      <c r="I25" s="1079"/>
    </row>
    <row r="26" spans="1:9" s="88" customFormat="1" ht="10.5" x14ac:dyDescent="0.15">
      <c r="A26" s="670" t="s">
        <v>34</v>
      </c>
      <c r="B26" s="283">
        <f>SUM(B22:B25)</f>
        <v>380705.18</v>
      </c>
      <c r="C26" s="283">
        <f t="shared" ref="C26:E26" si="1">SUM(C22:C25)</f>
        <v>992710.32</v>
      </c>
      <c r="D26" s="283">
        <f t="shared" si="1"/>
        <v>1045081.77</v>
      </c>
      <c r="E26" s="283">
        <f t="shared" si="1"/>
        <v>328333.73</v>
      </c>
      <c r="F26" s="1091"/>
      <c r="G26" s="1091"/>
      <c r="H26" s="1091"/>
      <c r="I26" s="1091"/>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548" t="s">
        <v>72</v>
      </c>
      <c r="B30" s="548" t="s">
        <v>25</v>
      </c>
      <c r="C30" s="550" t="s">
        <v>73</v>
      </c>
      <c r="D30" s="788" t="s">
        <v>196</v>
      </c>
      <c r="E30" s="788"/>
      <c r="F30" s="788"/>
      <c r="G30" s="788"/>
      <c r="H30" s="788"/>
      <c r="I30" s="788"/>
    </row>
    <row r="31" spans="1:9" s="87" customFormat="1" ht="12" customHeight="1" x14ac:dyDescent="0.2">
      <c r="A31" s="563"/>
      <c r="B31" s="131">
        <v>0</v>
      </c>
      <c r="C31" s="314"/>
      <c r="D31" s="1092"/>
      <c r="E31" s="1093"/>
      <c r="F31" s="1093"/>
      <c r="G31" s="1093"/>
      <c r="H31" s="1093"/>
      <c r="I31" s="1094"/>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548" t="s">
        <v>72</v>
      </c>
      <c r="B36" s="548" t="s">
        <v>25</v>
      </c>
      <c r="C36" s="550" t="s">
        <v>73</v>
      </c>
      <c r="D36" s="788" t="s">
        <v>196</v>
      </c>
      <c r="E36" s="788"/>
      <c r="F36" s="788"/>
      <c r="G36" s="788"/>
      <c r="H36" s="788"/>
      <c r="I36" s="788"/>
    </row>
    <row r="37" spans="1:9" s="87" customFormat="1" ht="12" customHeight="1" x14ac:dyDescent="0.2">
      <c r="A37" s="563"/>
      <c r="B37" s="131">
        <v>0</v>
      </c>
      <c r="C37" s="314"/>
      <c r="D37" s="1088"/>
      <c r="E37" s="1089"/>
      <c r="F37" s="1089"/>
      <c r="G37" s="1089"/>
      <c r="H37" s="1089"/>
      <c r="I37" s="1090"/>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75" x14ac:dyDescent="0.2">
      <c r="A42" s="564" t="s">
        <v>25</v>
      </c>
      <c r="B42" s="552" t="s">
        <v>100</v>
      </c>
      <c r="C42" s="1076" t="s">
        <v>74</v>
      </c>
      <c r="D42" s="1076"/>
      <c r="E42" s="1076"/>
      <c r="F42" s="1076"/>
      <c r="G42" s="1076"/>
      <c r="H42" s="1076"/>
      <c r="I42" s="1076"/>
    </row>
    <row r="43" spans="1:9" s="87" customFormat="1" ht="11.25" x14ac:dyDescent="0.2">
      <c r="A43" s="565">
        <v>5000</v>
      </c>
      <c r="B43" s="124">
        <v>5000</v>
      </c>
      <c r="C43" s="847" t="s">
        <v>813</v>
      </c>
      <c r="D43" s="847"/>
      <c r="E43" s="847"/>
      <c r="F43" s="847"/>
      <c r="G43" s="847"/>
      <c r="H43" s="847"/>
      <c r="I43" s="1095"/>
    </row>
    <row r="44" spans="1:9" s="87" customFormat="1" ht="11.25" x14ac:dyDescent="0.2">
      <c r="A44" s="571">
        <v>45383</v>
      </c>
      <c r="B44" s="125">
        <v>45383</v>
      </c>
      <c r="C44" s="1096" t="s">
        <v>814</v>
      </c>
      <c r="D44" s="1097"/>
      <c r="E44" s="1097"/>
      <c r="F44" s="1097"/>
      <c r="G44" s="1097"/>
      <c r="H44" s="1097"/>
      <c r="I44" s="1098"/>
    </row>
    <row r="45" spans="1:9" s="87" customFormat="1" ht="11.25" x14ac:dyDescent="0.2">
      <c r="A45" s="571">
        <v>11546</v>
      </c>
      <c r="B45" s="125">
        <v>11546</v>
      </c>
      <c r="C45" s="1096" t="s">
        <v>815</v>
      </c>
      <c r="D45" s="1097"/>
      <c r="E45" s="1097"/>
      <c r="F45" s="1097"/>
      <c r="G45" s="1097"/>
      <c r="H45" s="1097"/>
      <c r="I45" s="1098"/>
    </row>
    <row r="46" spans="1:9" s="87" customFormat="1" ht="11.25" x14ac:dyDescent="0.2">
      <c r="A46" s="566">
        <v>2990</v>
      </c>
      <c r="B46" s="126">
        <v>2990</v>
      </c>
      <c r="C46" s="846" t="s">
        <v>816</v>
      </c>
      <c r="D46" s="846"/>
      <c r="E46" s="846"/>
      <c r="F46" s="846"/>
      <c r="G46" s="846"/>
      <c r="H46" s="846"/>
      <c r="I46" s="1099"/>
    </row>
    <row r="47" spans="1:9" s="88" customFormat="1" ht="10.5" x14ac:dyDescent="0.15">
      <c r="A47" s="498">
        <f>SUM(A43:A46)</f>
        <v>64919</v>
      </c>
      <c r="B47" s="283">
        <f>SUM(B43:B46)</f>
        <v>64919</v>
      </c>
      <c r="C47" s="767" t="s">
        <v>34</v>
      </c>
      <c r="D47" s="767"/>
      <c r="E47" s="767"/>
      <c r="F47" s="767"/>
      <c r="G47" s="767"/>
      <c r="H47" s="767"/>
      <c r="I47" s="767"/>
    </row>
    <row r="48" spans="1:9" s="87" customFormat="1" ht="11.25" x14ac:dyDescent="0.2">
      <c r="C48" s="89"/>
    </row>
    <row r="49" spans="1:9" s="87" customFormat="1" ht="11.25" x14ac:dyDescent="0.2">
      <c r="A49" s="742" t="s">
        <v>199</v>
      </c>
      <c r="B49" s="742"/>
      <c r="C49" s="742"/>
      <c r="D49" s="742"/>
      <c r="E49" s="742"/>
      <c r="F49" s="742"/>
      <c r="G49" s="742"/>
      <c r="H49" s="742"/>
      <c r="I49" s="742"/>
    </row>
    <row r="50" spans="1:9" s="87" customFormat="1" ht="11.25" customHeight="1" x14ac:dyDescent="0.2">
      <c r="C50" s="89"/>
    </row>
    <row r="51" spans="1:9" s="151" customFormat="1" ht="31.5" x14ac:dyDescent="0.25">
      <c r="A51" s="743" t="s">
        <v>101</v>
      </c>
      <c r="B51" s="744"/>
      <c r="C51" s="551" t="s">
        <v>102</v>
      </c>
      <c r="D51" s="551" t="s">
        <v>103</v>
      </c>
      <c r="E51" s="551" t="s">
        <v>104</v>
      </c>
      <c r="F51" s="551" t="s">
        <v>105</v>
      </c>
      <c r="G51" s="551" t="s">
        <v>94</v>
      </c>
    </row>
    <row r="52" spans="1:9" s="87" customFormat="1" ht="11.25" x14ac:dyDescent="0.2">
      <c r="A52" s="1100" t="s">
        <v>817</v>
      </c>
      <c r="B52" s="1101"/>
      <c r="C52" s="572" t="s">
        <v>150</v>
      </c>
      <c r="D52" s="690">
        <v>0</v>
      </c>
      <c r="E52" s="690">
        <v>20418</v>
      </c>
      <c r="F52" s="691">
        <v>42080</v>
      </c>
      <c r="G52" s="691">
        <v>42129</v>
      </c>
    </row>
    <row r="53" spans="1:9" s="87" customFormat="1" ht="11.25" x14ac:dyDescent="0.2">
      <c r="A53" s="1067" t="s">
        <v>818</v>
      </c>
      <c r="B53" s="1068"/>
      <c r="C53" s="573" t="s">
        <v>151</v>
      </c>
      <c r="D53" s="692">
        <v>20418</v>
      </c>
      <c r="E53" s="692">
        <v>0</v>
      </c>
      <c r="F53" s="693">
        <v>42080</v>
      </c>
      <c r="G53" s="693">
        <v>42080</v>
      </c>
    </row>
    <row r="54" spans="1:9" s="87" customFormat="1" ht="11.25" x14ac:dyDescent="0.2">
      <c r="A54" s="1067" t="s">
        <v>819</v>
      </c>
      <c r="B54" s="1068"/>
      <c r="C54" s="574" t="s">
        <v>150</v>
      </c>
      <c r="D54" s="694">
        <v>0</v>
      </c>
      <c r="E54" s="694">
        <v>715154</v>
      </c>
      <c r="F54" s="695">
        <v>42107</v>
      </c>
      <c r="G54" s="695">
        <v>42129</v>
      </c>
    </row>
    <row r="55" spans="1:9" s="87" customFormat="1" ht="11.25" x14ac:dyDescent="0.2">
      <c r="A55" s="1067" t="s">
        <v>820</v>
      </c>
      <c r="B55" s="1068"/>
      <c r="C55" s="574" t="s">
        <v>151</v>
      </c>
      <c r="D55" s="694">
        <v>715154</v>
      </c>
      <c r="E55" s="694">
        <v>0</v>
      </c>
      <c r="F55" s="695">
        <v>42107</v>
      </c>
      <c r="G55" s="695">
        <v>42107</v>
      </c>
    </row>
    <row r="56" spans="1:9" s="87" customFormat="1" ht="11.25" x14ac:dyDescent="0.2">
      <c r="A56" s="1067" t="s">
        <v>821</v>
      </c>
      <c r="B56" s="1068"/>
      <c r="C56" s="574" t="s">
        <v>152</v>
      </c>
      <c r="D56" s="694">
        <v>0</v>
      </c>
      <c r="E56" s="694">
        <v>-20000</v>
      </c>
      <c r="F56" s="695">
        <v>42005</v>
      </c>
      <c r="G56" s="695">
        <v>42005</v>
      </c>
    </row>
    <row r="57" spans="1:9" s="87" customFormat="1" ht="11.25" x14ac:dyDescent="0.2">
      <c r="A57" s="1102" t="s">
        <v>822</v>
      </c>
      <c r="B57" s="1103"/>
      <c r="C57" s="574" t="s">
        <v>153</v>
      </c>
      <c r="D57" s="694">
        <v>0</v>
      </c>
      <c r="E57" s="694">
        <v>20000</v>
      </c>
      <c r="F57" s="695">
        <v>42005</v>
      </c>
      <c r="G57" s="695">
        <v>42005</v>
      </c>
    </row>
    <row r="58" spans="1:9" s="87" customFormat="1" ht="11.25" x14ac:dyDescent="0.2">
      <c r="A58" s="1067" t="s">
        <v>823</v>
      </c>
      <c r="B58" s="1068"/>
      <c r="C58" s="574" t="s">
        <v>154</v>
      </c>
      <c r="D58" s="694">
        <v>0</v>
      </c>
      <c r="E58" s="694">
        <v>22</v>
      </c>
      <c r="F58" s="695">
        <v>42153</v>
      </c>
      <c r="G58" s="695">
        <v>42153</v>
      </c>
    </row>
    <row r="59" spans="1:9" s="87" customFormat="1" ht="11.25" x14ac:dyDescent="0.2">
      <c r="A59" s="1102" t="s">
        <v>824</v>
      </c>
      <c r="B59" s="1103"/>
      <c r="C59" s="575" t="s">
        <v>155</v>
      </c>
      <c r="D59" s="696">
        <v>22</v>
      </c>
      <c r="E59" s="696">
        <v>0</v>
      </c>
      <c r="F59" s="697">
        <v>42153</v>
      </c>
      <c r="G59" s="697">
        <v>42153</v>
      </c>
    </row>
    <row r="60" spans="1:9" s="87" customFormat="1" ht="11.25" x14ac:dyDescent="0.2">
      <c r="A60" s="1067" t="s">
        <v>825</v>
      </c>
      <c r="B60" s="1068"/>
      <c r="C60" s="574" t="s">
        <v>152</v>
      </c>
      <c r="D60" s="694">
        <v>0</v>
      </c>
      <c r="E60" s="694">
        <v>-4200</v>
      </c>
      <c r="F60" s="695">
        <v>42185</v>
      </c>
      <c r="G60" s="695">
        <v>42185</v>
      </c>
    </row>
    <row r="61" spans="1:9" s="87" customFormat="1" ht="11.25" x14ac:dyDescent="0.2">
      <c r="A61" s="1067" t="s">
        <v>826</v>
      </c>
      <c r="B61" s="1068"/>
      <c r="C61" s="576" t="s">
        <v>156</v>
      </c>
      <c r="D61" s="698">
        <v>0</v>
      </c>
      <c r="E61" s="694">
        <v>4200</v>
      </c>
      <c r="F61" s="695">
        <v>42185</v>
      </c>
      <c r="G61" s="695">
        <v>42185</v>
      </c>
    </row>
    <row r="62" spans="1:9" s="87" customFormat="1" ht="11.25" x14ac:dyDescent="0.2">
      <c r="A62" s="1102" t="s">
        <v>827</v>
      </c>
      <c r="B62" s="1103"/>
      <c r="C62" s="574" t="s">
        <v>157</v>
      </c>
      <c r="D62" s="694">
        <v>0</v>
      </c>
      <c r="E62" s="699">
        <v>1600</v>
      </c>
      <c r="F62" s="700">
        <v>42185</v>
      </c>
      <c r="G62" s="700">
        <v>42185</v>
      </c>
    </row>
    <row r="63" spans="1:9" s="87" customFormat="1" ht="11.25" x14ac:dyDescent="0.2">
      <c r="A63" s="1067" t="s">
        <v>828</v>
      </c>
      <c r="B63" s="1068"/>
      <c r="C63" s="577">
        <v>602360</v>
      </c>
      <c r="D63" s="694">
        <v>100</v>
      </c>
      <c r="E63" s="701">
        <v>0</v>
      </c>
      <c r="F63" s="702">
        <v>42185</v>
      </c>
      <c r="G63" s="702">
        <v>42185</v>
      </c>
    </row>
    <row r="64" spans="1:9" s="87" customFormat="1" ht="11.25" x14ac:dyDescent="0.2">
      <c r="A64" s="1065" t="s">
        <v>829</v>
      </c>
      <c r="B64" s="1066"/>
      <c r="C64" s="578" t="s">
        <v>158</v>
      </c>
      <c r="D64" s="703">
        <v>1500</v>
      </c>
      <c r="E64" s="703">
        <v>0</v>
      </c>
      <c r="F64" s="704">
        <v>42185</v>
      </c>
      <c r="G64" s="704">
        <v>42185</v>
      </c>
    </row>
    <row r="65" spans="1:7" s="87" customFormat="1" ht="11.25" x14ac:dyDescent="0.2">
      <c r="A65" s="1067" t="s">
        <v>604</v>
      </c>
      <c r="B65" s="1068"/>
      <c r="C65" s="578" t="s">
        <v>771</v>
      </c>
      <c r="D65" s="703">
        <v>6270</v>
      </c>
      <c r="E65" s="703">
        <v>0</v>
      </c>
      <c r="F65" s="704">
        <v>42216</v>
      </c>
      <c r="G65" s="704">
        <v>42216</v>
      </c>
    </row>
    <row r="66" spans="1:7" s="87" customFormat="1" ht="11.25" x14ac:dyDescent="0.2">
      <c r="A66" s="1067" t="s">
        <v>830</v>
      </c>
      <c r="B66" s="1068"/>
      <c r="C66" s="578" t="s">
        <v>772</v>
      </c>
      <c r="D66" s="703">
        <v>0</v>
      </c>
      <c r="E66" s="703">
        <v>6270</v>
      </c>
      <c r="F66" s="704">
        <v>42216</v>
      </c>
      <c r="G66" s="704">
        <v>42216</v>
      </c>
    </row>
    <row r="67" spans="1:7" s="87" customFormat="1" ht="11.25" x14ac:dyDescent="0.2">
      <c r="A67" s="1067" t="s">
        <v>831</v>
      </c>
      <c r="B67" s="1068"/>
      <c r="C67" s="574" t="s">
        <v>773</v>
      </c>
      <c r="D67" s="694">
        <v>0</v>
      </c>
      <c r="E67" s="701">
        <v>1568</v>
      </c>
      <c r="F67" s="702">
        <v>42216</v>
      </c>
      <c r="G67" s="702">
        <v>42216</v>
      </c>
    </row>
    <row r="68" spans="1:7" s="87" customFormat="1" ht="11.25" x14ac:dyDescent="0.2">
      <c r="A68" s="1067" t="s">
        <v>831</v>
      </c>
      <c r="B68" s="1068"/>
      <c r="C68" s="579" t="s">
        <v>774</v>
      </c>
      <c r="D68" s="694">
        <v>0</v>
      </c>
      <c r="E68" s="699">
        <v>2132</v>
      </c>
      <c r="F68" s="700">
        <v>42216</v>
      </c>
      <c r="G68" s="700">
        <v>42216</v>
      </c>
    </row>
    <row r="69" spans="1:7" s="87" customFormat="1" ht="11.25" x14ac:dyDescent="0.2">
      <c r="A69" s="1069" t="s">
        <v>832</v>
      </c>
      <c r="B69" s="1070"/>
      <c r="C69" s="579" t="s">
        <v>775</v>
      </c>
      <c r="D69" s="694">
        <v>0</v>
      </c>
      <c r="E69" s="701">
        <v>-1000</v>
      </c>
      <c r="F69" s="702">
        <v>42216</v>
      </c>
      <c r="G69" s="702">
        <v>42216</v>
      </c>
    </row>
    <row r="70" spans="1:7" s="87" customFormat="1" ht="11.25" x14ac:dyDescent="0.2">
      <c r="A70" s="1067" t="s">
        <v>833</v>
      </c>
      <c r="B70" s="1068"/>
      <c r="C70" s="580" t="s">
        <v>162</v>
      </c>
      <c r="D70" s="694">
        <v>0</v>
      </c>
      <c r="E70" s="701">
        <v>-2700</v>
      </c>
      <c r="F70" s="702">
        <v>42216</v>
      </c>
      <c r="G70" s="702">
        <v>42216</v>
      </c>
    </row>
    <row r="71" spans="1:7" s="87" customFormat="1" ht="11.25" x14ac:dyDescent="0.2">
      <c r="A71" s="1067" t="s">
        <v>834</v>
      </c>
      <c r="B71" s="1068"/>
      <c r="C71" s="579" t="s">
        <v>144</v>
      </c>
      <c r="D71" s="692">
        <v>0</v>
      </c>
      <c r="E71" s="705">
        <v>-175000</v>
      </c>
      <c r="F71" s="706">
        <v>42313</v>
      </c>
      <c r="G71" s="706">
        <v>42009</v>
      </c>
    </row>
    <row r="72" spans="1:7" s="87" customFormat="1" ht="11.25" x14ac:dyDescent="0.2">
      <c r="A72" s="1067" t="s">
        <v>835</v>
      </c>
      <c r="B72" s="1068"/>
      <c r="C72" s="580" t="s">
        <v>156</v>
      </c>
      <c r="D72" s="694">
        <v>0</v>
      </c>
      <c r="E72" s="694">
        <v>175000</v>
      </c>
      <c r="F72" s="695">
        <v>42313</v>
      </c>
      <c r="G72" s="695">
        <v>42313</v>
      </c>
    </row>
    <row r="73" spans="1:7" s="87" customFormat="1" ht="12" customHeight="1" x14ac:dyDescent="0.2">
      <c r="A73" s="1069" t="s">
        <v>836</v>
      </c>
      <c r="B73" s="1070"/>
      <c r="C73" s="574" t="s">
        <v>776</v>
      </c>
      <c r="D73" s="694">
        <v>0</v>
      </c>
      <c r="E73" s="698">
        <v>-3771</v>
      </c>
      <c r="F73" s="707">
        <v>42311</v>
      </c>
      <c r="G73" s="695">
        <v>42311</v>
      </c>
    </row>
    <row r="74" spans="1:7" s="87" customFormat="1" ht="12" customHeight="1" x14ac:dyDescent="0.2">
      <c r="A74" s="1067" t="s">
        <v>837</v>
      </c>
      <c r="B74" s="1068"/>
      <c r="C74" s="574" t="s">
        <v>156</v>
      </c>
      <c r="D74" s="694">
        <v>0</v>
      </c>
      <c r="E74" s="694">
        <v>3771</v>
      </c>
      <c r="F74" s="695">
        <v>42311</v>
      </c>
      <c r="G74" s="695">
        <v>42311</v>
      </c>
    </row>
    <row r="75" spans="1:7" s="87" customFormat="1" ht="12" customHeight="1" x14ac:dyDescent="0.2">
      <c r="A75" s="1069" t="s">
        <v>834</v>
      </c>
      <c r="B75" s="1070"/>
      <c r="C75" s="574" t="s">
        <v>144</v>
      </c>
      <c r="D75" s="696">
        <v>0</v>
      </c>
      <c r="E75" s="694">
        <v>-30000</v>
      </c>
      <c r="F75" s="695">
        <v>42326</v>
      </c>
      <c r="G75" s="700">
        <v>42326</v>
      </c>
    </row>
    <row r="76" spans="1:7" s="87" customFormat="1" ht="12" customHeight="1" x14ac:dyDescent="0.2">
      <c r="A76" s="1067" t="s">
        <v>838</v>
      </c>
      <c r="B76" s="1068"/>
      <c r="C76" s="574" t="s">
        <v>777</v>
      </c>
      <c r="D76" s="694">
        <v>0</v>
      </c>
      <c r="E76" s="694">
        <v>5145</v>
      </c>
      <c r="F76" s="695">
        <v>42326</v>
      </c>
      <c r="G76" s="707">
        <v>42326</v>
      </c>
    </row>
    <row r="77" spans="1:7" s="87" customFormat="1" ht="12" customHeight="1" x14ac:dyDescent="0.2">
      <c r="A77" s="1067" t="s">
        <v>839</v>
      </c>
      <c r="B77" s="1068"/>
      <c r="C77" s="574" t="s">
        <v>152</v>
      </c>
      <c r="D77" s="694">
        <v>0</v>
      </c>
      <c r="E77" s="694">
        <v>1351</v>
      </c>
      <c r="F77" s="695">
        <v>42326</v>
      </c>
      <c r="G77" s="695">
        <v>42326</v>
      </c>
    </row>
    <row r="78" spans="1:7" s="87" customFormat="1" ht="12" customHeight="1" x14ac:dyDescent="0.2">
      <c r="A78" s="1067" t="s">
        <v>840</v>
      </c>
      <c r="B78" s="1068"/>
      <c r="C78" s="574" t="s">
        <v>139</v>
      </c>
      <c r="D78" s="694">
        <v>0</v>
      </c>
      <c r="E78" s="694">
        <v>2796</v>
      </c>
      <c r="F78" s="695">
        <v>42326</v>
      </c>
      <c r="G78" s="695">
        <v>42326</v>
      </c>
    </row>
    <row r="79" spans="1:7" s="87" customFormat="1" ht="12" customHeight="1" x14ac:dyDescent="0.2">
      <c r="A79" s="1067" t="s">
        <v>841</v>
      </c>
      <c r="B79" s="1068"/>
      <c r="C79" s="574" t="s">
        <v>136</v>
      </c>
      <c r="D79" s="694">
        <v>0</v>
      </c>
      <c r="E79" s="694">
        <v>20708</v>
      </c>
      <c r="F79" s="695">
        <v>42326</v>
      </c>
      <c r="G79" s="695">
        <v>42326</v>
      </c>
    </row>
    <row r="80" spans="1:7" s="87" customFormat="1" ht="12" customHeight="1" x14ac:dyDescent="0.2">
      <c r="A80" s="1067" t="s">
        <v>842</v>
      </c>
      <c r="B80" s="1068"/>
      <c r="C80" s="574" t="s">
        <v>477</v>
      </c>
      <c r="D80" s="694">
        <v>0</v>
      </c>
      <c r="E80" s="694">
        <v>-100000</v>
      </c>
      <c r="F80" s="695">
        <v>42355</v>
      </c>
      <c r="G80" s="695">
        <v>42355</v>
      </c>
    </row>
    <row r="81" spans="1:7" s="87" customFormat="1" ht="11.25" x14ac:dyDescent="0.2">
      <c r="A81" s="1067" t="s">
        <v>843</v>
      </c>
      <c r="B81" s="1068"/>
      <c r="C81" s="574" t="s">
        <v>476</v>
      </c>
      <c r="D81" s="694">
        <v>0</v>
      </c>
      <c r="E81" s="694">
        <v>-9000</v>
      </c>
      <c r="F81" s="695">
        <v>42355</v>
      </c>
      <c r="G81" s="695">
        <v>42355</v>
      </c>
    </row>
    <row r="82" spans="1:7" s="87" customFormat="1" ht="12" customHeight="1" x14ac:dyDescent="0.2">
      <c r="A82" s="1067" t="s">
        <v>844</v>
      </c>
      <c r="B82" s="1068"/>
      <c r="C82" s="574" t="s">
        <v>778</v>
      </c>
      <c r="D82" s="696">
        <v>0</v>
      </c>
      <c r="E82" s="694">
        <v>-21000</v>
      </c>
      <c r="F82" s="695">
        <v>42355</v>
      </c>
      <c r="G82" s="707">
        <v>42355</v>
      </c>
    </row>
    <row r="83" spans="1:7" s="87" customFormat="1" ht="12" customHeight="1" x14ac:dyDescent="0.2">
      <c r="A83" s="1069" t="s">
        <v>845</v>
      </c>
      <c r="B83" s="1070"/>
      <c r="C83" s="574" t="s">
        <v>136</v>
      </c>
      <c r="D83" s="694">
        <v>0</v>
      </c>
      <c r="E83" s="696">
        <v>130000</v>
      </c>
      <c r="F83" s="697">
        <v>42355</v>
      </c>
      <c r="G83" s="695">
        <v>42355</v>
      </c>
    </row>
    <row r="84" spans="1:7" s="87" customFormat="1" ht="11.25" x14ac:dyDescent="0.2">
      <c r="A84" s="1067" t="s">
        <v>846</v>
      </c>
      <c r="B84" s="1068"/>
      <c r="C84" s="574" t="s">
        <v>779</v>
      </c>
      <c r="D84" s="694">
        <v>0</v>
      </c>
      <c r="E84" s="694">
        <v>375000</v>
      </c>
      <c r="F84" s="695">
        <v>42369</v>
      </c>
      <c r="G84" s="700">
        <v>42369</v>
      </c>
    </row>
    <row r="85" spans="1:7" s="87" customFormat="1" ht="11.25" x14ac:dyDescent="0.2">
      <c r="A85" s="1067" t="s">
        <v>847</v>
      </c>
      <c r="B85" s="1068"/>
      <c r="C85" s="573" t="s">
        <v>487</v>
      </c>
      <c r="D85" s="694">
        <v>375000</v>
      </c>
      <c r="E85" s="696">
        <v>0</v>
      </c>
      <c r="F85" s="695">
        <v>42369</v>
      </c>
      <c r="G85" s="707">
        <v>42369</v>
      </c>
    </row>
    <row r="86" spans="1:7" s="87" customFormat="1" ht="11.25" x14ac:dyDescent="0.2">
      <c r="A86" s="1067" t="s">
        <v>848</v>
      </c>
      <c r="B86" s="1068"/>
      <c r="C86" s="580" t="s">
        <v>152</v>
      </c>
      <c r="D86" s="696">
        <v>0</v>
      </c>
      <c r="E86" s="694">
        <v>-14500</v>
      </c>
      <c r="F86" s="695">
        <v>42369</v>
      </c>
      <c r="G86" s="695">
        <v>42369</v>
      </c>
    </row>
    <row r="87" spans="1:7" s="87" customFormat="1" ht="11.25" x14ac:dyDescent="0.2">
      <c r="A87" s="1067" t="s">
        <v>849</v>
      </c>
      <c r="B87" s="1068"/>
      <c r="C87" s="574" t="s">
        <v>780</v>
      </c>
      <c r="D87" s="694">
        <v>0</v>
      </c>
      <c r="E87" s="694">
        <v>14500</v>
      </c>
      <c r="F87" s="695">
        <v>42369</v>
      </c>
      <c r="G87" s="695">
        <v>42369</v>
      </c>
    </row>
    <row r="88" spans="1:7" s="87" customFormat="1" ht="11.25" x14ac:dyDescent="0.2">
      <c r="A88" s="1067" t="s">
        <v>850</v>
      </c>
      <c r="B88" s="1068"/>
      <c r="C88" s="580" t="s">
        <v>153</v>
      </c>
      <c r="D88" s="694">
        <v>0</v>
      </c>
      <c r="E88" s="692">
        <v>6300</v>
      </c>
      <c r="F88" s="697">
        <v>42369</v>
      </c>
      <c r="G88" s="695">
        <v>42369</v>
      </c>
    </row>
    <row r="89" spans="1:7" s="87" customFormat="1" ht="11.25" x14ac:dyDescent="0.2">
      <c r="A89" s="1067" t="s">
        <v>851</v>
      </c>
      <c r="B89" s="1068"/>
      <c r="C89" s="576" t="s">
        <v>781</v>
      </c>
      <c r="D89" s="696">
        <v>6300</v>
      </c>
      <c r="E89" s="696">
        <v>0</v>
      </c>
      <c r="F89" s="695">
        <v>42369</v>
      </c>
      <c r="G89" s="695">
        <v>42369</v>
      </c>
    </row>
    <row r="90" spans="1:7" s="87" customFormat="1" ht="11.25" x14ac:dyDescent="0.2">
      <c r="A90" s="1067" t="s">
        <v>852</v>
      </c>
      <c r="B90" s="1068"/>
      <c r="C90" s="574" t="s">
        <v>771</v>
      </c>
      <c r="D90" s="694">
        <v>7990</v>
      </c>
      <c r="E90" s="694">
        <v>0</v>
      </c>
      <c r="F90" s="695">
        <v>42369</v>
      </c>
      <c r="G90" s="695">
        <v>42369</v>
      </c>
    </row>
    <row r="91" spans="1:7" s="87" customFormat="1" ht="11.25" x14ac:dyDescent="0.2">
      <c r="A91" s="1067" t="s">
        <v>853</v>
      </c>
      <c r="B91" s="1068"/>
      <c r="C91" s="580" t="s">
        <v>156</v>
      </c>
      <c r="D91" s="696">
        <v>0</v>
      </c>
      <c r="E91" s="694">
        <v>7990</v>
      </c>
      <c r="F91" s="695">
        <v>42369</v>
      </c>
      <c r="G91" s="695">
        <v>42369</v>
      </c>
    </row>
    <row r="92" spans="1:7" s="87" customFormat="1" ht="11.25" x14ac:dyDescent="0.2">
      <c r="A92" s="1067" t="s">
        <v>853</v>
      </c>
      <c r="B92" s="1068"/>
      <c r="C92" s="574" t="s">
        <v>156</v>
      </c>
      <c r="D92" s="698">
        <v>0</v>
      </c>
      <c r="E92" s="692">
        <v>1000</v>
      </c>
      <c r="F92" s="697">
        <v>42369</v>
      </c>
      <c r="G92" s="695">
        <v>42369</v>
      </c>
    </row>
    <row r="93" spans="1:7" s="87" customFormat="1" ht="11.25" x14ac:dyDescent="0.2">
      <c r="A93" s="1067" t="s">
        <v>854</v>
      </c>
      <c r="B93" s="1068"/>
      <c r="C93" s="574" t="s">
        <v>138</v>
      </c>
      <c r="D93" s="694">
        <v>0</v>
      </c>
      <c r="E93" s="694">
        <v>-1000</v>
      </c>
      <c r="F93" s="695">
        <v>42369</v>
      </c>
      <c r="G93" s="702">
        <v>42369</v>
      </c>
    </row>
    <row r="94" spans="1:7" s="87" customFormat="1" ht="12" customHeight="1" x14ac:dyDescent="0.2">
      <c r="A94" s="1069" t="s">
        <v>855</v>
      </c>
      <c r="B94" s="1070"/>
      <c r="C94" s="580" t="s">
        <v>156</v>
      </c>
      <c r="D94" s="692">
        <v>0</v>
      </c>
      <c r="E94" s="696">
        <v>11546</v>
      </c>
      <c r="F94" s="697">
        <v>42369</v>
      </c>
      <c r="G94" s="693">
        <v>42369</v>
      </c>
    </row>
    <row r="95" spans="1:7" s="87" customFormat="1" ht="12" customHeight="1" x14ac:dyDescent="0.2">
      <c r="A95" s="1067" t="s">
        <v>856</v>
      </c>
      <c r="B95" s="1068"/>
      <c r="C95" s="574" t="s">
        <v>155</v>
      </c>
      <c r="D95" s="694">
        <v>11546</v>
      </c>
      <c r="E95" s="694">
        <v>0</v>
      </c>
      <c r="F95" s="695">
        <v>42369</v>
      </c>
      <c r="G95" s="695">
        <v>42369</v>
      </c>
    </row>
    <row r="96" spans="1:7" s="87" customFormat="1" ht="11.25" x14ac:dyDescent="0.2">
      <c r="A96" s="1067" t="s">
        <v>848</v>
      </c>
      <c r="B96" s="1068"/>
      <c r="C96" s="574" t="s">
        <v>152</v>
      </c>
      <c r="D96" s="694">
        <v>0</v>
      </c>
      <c r="E96" s="694">
        <v>-8900</v>
      </c>
      <c r="F96" s="697">
        <v>42369</v>
      </c>
      <c r="G96" s="700">
        <v>42369</v>
      </c>
    </row>
    <row r="97" spans="1:9" s="87" customFormat="1" ht="12" customHeight="1" x14ac:dyDescent="0.2">
      <c r="A97" s="1067" t="s">
        <v>857</v>
      </c>
      <c r="B97" s="1068"/>
      <c r="C97" s="574" t="s">
        <v>773</v>
      </c>
      <c r="D97" s="696">
        <v>0</v>
      </c>
      <c r="E97" s="694">
        <v>7700</v>
      </c>
      <c r="F97" s="707">
        <v>42369</v>
      </c>
      <c r="G97" s="695">
        <v>42369</v>
      </c>
    </row>
    <row r="98" spans="1:9" s="87" customFormat="1" ht="12" customHeight="1" x14ac:dyDescent="0.2">
      <c r="A98" s="1111" t="s">
        <v>858</v>
      </c>
      <c r="B98" s="1112"/>
      <c r="C98" s="668" t="s">
        <v>774</v>
      </c>
      <c r="D98" s="708">
        <v>0</v>
      </c>
      <c r="E98" s="708">
        <v>1200</v>
      </c>
      <c r="F98" s="709">
        <v>42369</v>
      </c>
      <c r="G98" s="710">
        <v>42369</v>
      </c>
    </row>
    <row r="99" spans="1:9" s="87" customFormat="1" ht="12" customHeight="1" x14ac:dyDescent="0.2">
      <c r="A99" s="1113"/>
      <c r="B99" s="1114"/>
      <c r="C99" s="581"/>
      <c r="D99" s="90">
        <f>SUM(D52:D98)</f>
        <v>1144300</v>
      </c>
      <c r="E99" s="90">
        <f>SUM(E52:E98)</f>
        <v>1144300</v>
      </c>
      <c r="F99" s="1104"/>
      <c r="G99" s="1105"/>
    </row>
    <row r="100" spans="1:9" s="162" customFormat="1" ht="11.25" x14ac:dyDescent="0.2">
      <c r="A100" s="1106"/>
      <c r="B100" s="1106"/>
      <c r="C100" s="567"/>
      <c r="D100" s="568"/>
      <c r="E100" s="568"/>
      <c r="F100" s="569"/>
      <c r="G100" s="569"/>
    </row>
    <row r="101" spans="1:9" s="87" customFormat="1" ht="11.25" x14ac:dyDescent="0.2">
      <c r="A101" s="455" t="s">
        <v>211</v>
      </c>
      <c r="B101" s="455"/>
      <c r="C101" s="455"/>
      <c r="D101" s="455"/>
      <c r="E101" s="455"/>
      <c r="F101" s="455"/>
      <c r="G101" s="455"/>
      <c r="H101" s="455"/>
      <c r="I101" s="455"/>
    </row>
    <row r="102" spans="1:9" s="87" customFormat="1" ht="11.25" x14ac:dyDescent="0.2">
      <c r="C102" s="89"/>
    </row>
    <row r="103" spans="1:9" s="151" customFormat="1" ht="31.5" customHeight="1" x14ac:dyDescent="0.25">
      <c r="A103" s="743" t="s">
        <v>101</v>
      </c>
      <c r="B103" s="744"/>
      <c r="C103" s="551" t="s">
        <v>102</v>
      </c>
      <c r="D103" s="551" t="s">
        <v>103</v>
      </c>
      <c r="E103" s="551" t="s">
        <v>104</v>
      </c>
      <c r="F103" s="551" t="s">
        <v>105</v>
      </c>
      <c r="G103" s="551" t="s">
        <v>94</v>
      </c>
    </row>
    <row r="104" spans="1:9" s="87" customFormat="1" ht="11.25" x14ac:dyDescent="0.2">
      <c r="A104" s="1107" t="s">
        <v>1162</v>
      </c>
      <c r="B104" s="1108"/>
      <c r="C104" s="711" t="s">
        <v>782</v>
      </c>
      <c r="D104" s="690">
        <v>0</v>
      </c>
      <c r="E104" s="712">
        <v>22750</v>
      </c>
      <c r="F104" s="713">
        <v>42369</v>
      </c>
      <c r="G104" s="691">
        <v>42369</v>
      </c>
    </row>
    <row r="105" spans="1:9" s="87" customFormat="1" ht="11.25" x14ac:dyDescent="0.2">
      <c r="A105" s="1109" t="s">
        <v>859</v>
      </c>
      <c r="B105" s="1110"/>
      <c r="C105" s="714" t="s">
        <v>783</v>
      </c>
      <c r="D105" s="694">
        <v>0</v>
      </c>
      <c r="E105" s="715">
        <v>250</v>
      </c>
      <c r="F105" s="702">
        <v>42369</v>
      </c>
      <c r="G105" s="693">
        <v>42369</v>
      </c>
    </row>
    <row r="106" spans="1:9" s="87" customFormat="1" ht="11.25" x14ac:dyDescent="0.2">
      <c r="A106" s="1115" t="s">
        <v>860</v>
      </c>
      <c r="B106" s="1116"/>
      <c r="C106" s="714" t="s">
        <v>784</v>
      </c>
      <c r="D106" s="694">
        <v>0</v>
      </c>
      <c r="E106" s="716">
        <v>4500</v>
      </c>
      <c r="F106" s="706">
        <v>42369</v>
      </c>
      <c r="G106" s="693">
        <v>42369</v>
      </c>
    </row>
    <row r="107" spans="1:9" s="87" customFormat="1" ht="11.25" x14ac:dyDescent="0.2">
      <c r="A107" s="1117" t="s">
        <v>861</v>
      </c>
      <c r="B107" s="1118"/>
      <c r="C107" s="714" t="s">
        <v>785</v>
      </c>
      <c r="D107" s="694">
        <v>0</v>
      </c>
      <c r="E107" s="716">
        <v>19500</v>
      </c>
      <c r="F107" s="706">
        <v>42369</v>
      </c>
      <c r="G107" s="693">
        <v>42369</v>
      </c>
    </row>
    <row r="108" spans="1:9" s="87" customFormat="1" ht="11.25" x14ac:dyDescent="0.2">
      <c r="A108" s="1109" t="s">
        <v>862</v>
      </c>
      <c r="B108" s="1110"/>
      <c r="C108" s="714" t="s">
        <v>786</v>
      </c>
      <c r="D108" s="694">
        <v>0</v>
      </c>
      <c r="E108" s="716">
        <v>-5900</v>
      </c>
      <c r="F108" s="706">
        <v>42369</v>
      </c>
      <c r="G108" s="693">
        <v>42369</v>
      </c>
    </row>
    <row r="109" spans="1:9" s="87" customFormat="1" ht="11.25" x14ac:dyDescent="0.2">
      <c r="A109" s="1109" t="s">
        <v>863</v>
      </c>
      <c r="B109" s="1110"/>
      <c r="C109" s="717" t="s">
        <v>787</v>
      </c>
      <c r="D109" s="692">
        <v>0</v>
      </c>
      <c r="E109" s="716">
        <v>120</v>
      </c>
      <c r="F109" s="706">
        <v>42369</v>
      </c>
      <c r="G109" s="693">
        <v>42369</v>
      </c>
    </row>
    <row r="110" spans="1:9" s="87" customFormat="1" ht="11.25" x14ac:dyDescent="0.2">
      <c r="A110" s="1115" t="s">
        <v>864</v>
      </c>
      <c r="B110" s="1116"/>
      <c r="C110" s="714" t="s">
        <v>788</v>
      </c>
      <c r="D110" s="694">
        <v>0</v>
      </c>
      <c r="E110" s="716">
        <v>2200</v>
      </c>
      <c r="F110" s="706">
        <v>42369</v>
      </c>
      <c r="G110" s="693">
        <v>42369</v>
      </c>
    </row>
    <row r="111" spans="1:9" s="87" customFormat="1" ht="11.25" x14ac:dyDescent="0.2">
      <c r="A111" s="1115" t="s">
        <v>865</v>
      </c>
      <c r="B111" s="1116"/>
      <c r="C111" s="714" t="s">
        <v>789</v>
      </c>
      <c r="D111" s="694">
        <v>0</v>
      </c>
      <c r="E111" s="716">
        <v>-8420</v>
      </c>
      <c r="F111" s="706">
        <v>42369</v>
      </c>
      <c r="G111" s="693">
        <v>42369</v>
      </c>
    </row>
    <row r="112" spans="1:9" s="87" customFormat="1" ht="11.25" x14ac:dyDescent="0.2">
      <c r="A112" s="1117" t="s">
        <v>866</v>
      </c>
      <c r="B112" s="1118"/>
      <c r="C112" s="718" t="s">
        <v>790</v>
      </c>
      <c r="D112" s="696">
        <v>0</v>
      </c>
      <c r="E112" s="716">
        <v>1650</v>
      </c>
      <c r="F112" s="706">
        <v>42369</v>
      </c>
      <c r="G112" s="693">
        <v>42369</v>
      </c>
    </row>
    <row r="113" spans="1:7" s="87" customFormat="1" ht="11.25" x14ac:dyDescent="0.2">
      <c r="A113" s="1115" t="s">
        <v>867</v>
      </c>
      <c r="B113" s="1116"/>
      <c r="C113" s="714" t="s">
        <v>791</v>
      </c>
      <c r="D113" s="694">
        <v>0</v>
      </c>
      <c r="E113" s="715">
        <v>300</v>
      </c>
      <c r="F113" s="706">
        <v>42369</v>
      </c>
      <c r="G113" s="693">
        <v>42369</v>
      </c>
    </row>
    <row r="114" spans="1:7" s="87" customFormat="1" ht="11.25" x14ac:dyDescent="0.2">
      <c r="A114" s="1115" t="s">
        <v>868</v>
      </c>
      <c r="B114" s="1116"/>
      <c r="C114" s="714" t="s">
        <v>792</v>
      </c>
      <c r="D114" s="694">
        <v>0</v>
      </c>
      <c r="E114" s="715">
        <v>3350</v>
      </c>
      <c r="F114" s="702">
        <v>42369</v>
      </c>
      <c r="G114" s="695">
        <v>42369</v>
      </c>
    </row>
    <row r="115" spans="1:7" s="87" customFormat="1" ht="12" customHeight="1" x14ac:dyDescent="0.2">
      <c r="A115" s="1115" t="s">
        <v>869</v>
      </c>
      <c r="B115" s="1116"/>
      <c r="C115" s="714" t="s">
        <v>793</v>
      </c>
      <c r="D115" s="694">
        <v>0</v>
      </c>
      <c r="E115" s="715">
        <v>800</v>
      </c>
      <c r="F115" s="702">
        <v>42369</v>
      </c>
      <c r="G115" s="695">
        <v>42369</v>
      </c>
    </row>
    <row r="116" spans="1:7" s="87" customFormat="1" ht="12" customHeight="1" x14ac:dyDescent="0.2">
      <c r="A116" s="1115" t="s">
        <v>870</v>
      </c>
      <c r="B116" s="1116"/>
      <c r="C116" s="714" t="s">
        <v>794</v>
      </c>
      <c r="D116" s="692">
        <v>0</v>
      </c>
      <c r="E116" s="716">
        <v>800</v>
      </c>
      <c r="F116" s="706">
        <v>42369</v>
      </c>
      <c r="G116" s="693">
        <v>42369</v>
      </c>
    </row>
    <row r="117" spans="1:7" s="87" customFormat="1" ht="12" customHeight="1" x14ac:dyDescent="0.2">
      <c r="A117" s="1115" t="s">
        <v>871</v>
      </c>
      <c r="B117" s="1116"/>
      <c r="C117" s="717" t="s">
        <v>795</v>
      </c>
      <c r="D117" s="692">
        <v>0</v>
      </c>
      <c r="E117" s="716">
        <v>550</v>
      </c>
      <c r="F117" s="706">
        <v>42369</v>
      </c>
      <c r="G117" s="693">
        <v>42369</v>
      </c>
    </row>
    <row r="118" spans="1:7" s="87" customFormat="1" ht="12" customHeight="1" x14ac:dyDescent="0.2">
      <c r="A118" s="1115" t="s">
        <v>872</v>
      </c>
      <c r="B118" s="1116"/>
      <c r="C118" s="714" t="s">
        <v>796</v>
      </c>
      <c r="D118" s="694">
        <v>0</v>
      </c>
      <c r="E118" s="715">
        <v>1730</v>
      </c>
      <c r="F118" s="702">
        <v>42369</v>
      </c>
      <c r="G118" s="695">
        <v>42369</v>
      </c>
    </row>
    <row r="119" spans="1:7" s="87" customFormat="1" ht="12" customHeight="1" x14ac:dyDescent="0.2">
      <c r="A119" s="1119" t="s">
        <v>873</v>
      </c>
      <c r="B119" s="1120"/>
      <c r="C119" s="717" t="s">
        <v>797</v>
      </c>
      <c r="D119" s="692">
        <v>0</v>
      </c>
      <c r="E119" s="719">
        <v>4520</v>
      </c>
      <c r="F119" s="706">
        <v>42369</v>
      </c>
      <c r="G119" s="693">
        <v>42369</v>
      </c>
    </row>
    <row r="120" spans="1:7" s="87" customFormat="1" ht="12" customHeight="1" x14ac:dyDescent="0.2">
      <c r="A120" s="1115" t="s">
        <v>874</v>
      </c>
      <c r="B120" s="1116"/>
      <c r="C120" s="720" t="s">
        <v>798</v>
      </c>
      <c r="D120" s="692">
        <v>0</v>
      </c>
      <c r="E120" s="715">
        <v>1150</v>
      </c>
      <c r="F120" s="706">
        <v>42369</v>
      </c>
      <c r="G120" s="693">
        <v>42369</v>
      </c>
    </row>
    <row r="121" spans="1:7" s="87" customFormat="1" ht="12" customHeight="1" x14ac:dyDescent="0.2">
      <c r="A121" s="1121" t="s">
        <v>875</v>
      </c>
      <c r="B121" s="1122"/>
      <c r="C121" s="721" t="s">
        <v>799</v>
      </c>
      <c r="D121" s="692">
        <v>0</v>
      </c>
      <c r="E121" s="722">
        <v>2500</v>
      </c>
      <c r="F121" s="706">
        <v>42369</v>
      </c>
      <c r="G121" s="693">
        <v>42369</v>
      </c>
    </row>
    <row r="122" spans="1:7" s="87" customFormat="1" ht="12" customHeight="1" x14ac:dyDescent="0.2">
      <c r="A122" s="1123" t="s">
        <v>876</v>
      </c>
      <c r="B122" s="1124"/>
      <c r="C122" s="721" t="s">
        <v>800</v>
      </c>
      <c r="D122" s="692">
        <v>0</v>
      </c>
      <c r="E122" s="723">
        <v>200</v>
      </c>
      <c r="F122" s="706">
        <v>42369</v>
      </c>
      <c r="G122" s="693">
        <v>42369</v>
      </c>
    </row>
    <row r="123" spans="1:7" s="87" customFormat="1" ht="12" customHeight="1" x14ac:dyDescent="0.2">
      <c r="A123" s="1123" t="s">
        <v>877</v>
      </c>
      <c r="B123" s="1124"/>
      <c r="C123" s="721" t="s">
        <v>121</v>
      </c>
      <c r="D123" s="692">
        <v>0</v>
      </c>
      <c r="E123" s="722">
        <v>1250</v>
      </c>
      <c r="F123" s="706">
        <v>42369</v>
      </c>
      <c r="G123" s="693">
        <v>42369</v>
      </c>
    </row>
    <row r="124" spans="1:7" s="87" customFormat="1" ht="12" customHeight="1" x14ac:dyDescent="0.2">
      <c r="A124" s="1121" t="s">
        <v>878</v>
      </c>
      <c r="B124" s="1122"/>
      <c r="C124" s="721" t="s">
        <v>801</v>
      </c>
      <c r="D124" s="692">
        <v>0</v>
      </c>
      <c r="E124" s="722">
        <v>350</v>
      </c>
      <c r="F124" s="706">
        <v>42369</v>
      </c>
      <c r="G124" s="693">
        <v>42369</v>
      </c>
    </row>
    <row r="125" spans="1:7" s="87" customFormat="1" ht="12" customHeight="1" x14ac:dyDescent="0.2">
      <c r="A125" s="1123" t="s">
        <v>879</v>
      </c>
      <c r="B125" s="1124"/>
      <c r="C125" s="721" t="s">
        <v>802</v>
      </c>
      <c r="D125" s="694">
        <v>0</v>
      </c>
      <c r="E125" s="723">
        <v>-5000</v>
      </c>
      <c r="F125" s="702">
        <v>42369</v>
      </c>
      <c r="G125" s="695">
        <v>42369</v>
      </c>
    </row>
    <row r="126" spans="1:7" s="87" customFormat="1" ht="12" customHeight="1" x14ac:dyDescent="0.2">
      <c r="A126" s="1123" t="s">
        <v>880</v>
      </c>
      <c r="B126" s="1125"/>
      <c r="C126" s="724" t="s">
        <v>803</v>
      </c>
      <c r="D126" s="692">
        <v>0</v>
      </c>
      <c r="E126" s="723">
        <v>-2400</v>
      </c>
      <c r="F126" s="706">
        <v>42369</v>
      </c>
      <c r="G126" s="693">
        <v>42369</v>
      </c>
    </row>
    <row r="127" spans="1:7" s="87" customFormat="1" ht="12" customHeight="1" x14ac:dyDescent="0.2">
      <c r="A127" s="1123" t="s">
        <v>881</v>
      </c>
      <c r="B127" s="1125"/>
      <c r="C127" s="724" t="s">
        <v>804</v>
      </c>
      <c r="D127" s="692">
        <v>0</v>
      </c>
      <c r="E127" s="723">
        <v>3500</v>
      </c>
      <c r="F127" s="706">
        <v>42369</v>
      </c>
      <c r="G127" s="693">
        <v>42369</v>
      </c>
    </row>
    <row r="128" spans="1:7" s="87" customFormat="1" ht="12" customHeight="1" x14ac:dyDescent="0.2">
      <c r="A128" s="1123" t="s">
        <v>882</v>
      </c>
      <c r="B128" s="1125"/>
      <c r="C128" s="724" t="s">
        <v>805</v>
      </c>
      <c r="D128" s="692">
        <v>0</v>
      </c>
      <c r="E128" s="723">
        <v>3950</v>
      </c>
      <c r="F128" s="706">
        <v>42369</v>
      </c>
      <c r="G128" s="693">
        <v>42369</v>
      </c>
    </row>
    <row r="129" spans="1:9" s="87" customFormat="1" ht="12" customHeight="1" x14ac:dyDescent="0.2">
      <c r="A129" s="1123" t="s">
        <v>883</v>
      </c>
      <c r="B129" s="1125"/>
      <c r="C129" s="724" t="s">
        <v>159</v>
      </c>
      <c r="D129" s="692">
        <v>0</v>
      </c>
      <c r="E129" s="723">
        <v>2600</v>
      </c>
      <c r="F129" s="706">
        <v>42369</v>
      </c>
      <c r="G129" s="693">
        <v>42369</v>
      </c>
    </row>
    <row r="130" spans="1:9" s="87" customFormat="1" ht="12" customHeight="1" x14ac:dyDescent="0.2">
      <c r="A130" s="1123" t="s">
        <v>884</v>
      </c>
      <c r="B130" s="1125"/>
      <c r="C130" s="725" t="s">
        <v>160</v>
      </c>
      <c r="D130" s="692">
        <v>0</v>
      </c>
      <c r="E130" s="722">
        <v>4000</v>
      </c>
      <c r="F130" s="706">
        <v>42369</v>
      </c>
      <c r="G130" s="693">
        <v>42369</v>
      </c>
    </row>
    <row r="131" spans="1:9" s="87" customFormat="1" ht="12" customHeight="1" x14ac:dyDescent="0.2">
      <c r="A131" s="1115" t="s">
        <v>885</v>
      </c>
      <c r="B131" s="1116"/>
      <c r="C131" s="714" t="s">
        <v>806</v>
      </c>
      <c r="D131" s="716">
        <v>42900</v>
      </c>
      <c r="E131" s="726">
        <v>0</v>
      </c>
      <c r="F131" s="706">
        <v>42369</v>
      </c>
      <c r="G131" s="693">
        <v>42369</v>
      </c>
    </row>
    <row r="132" spans="1:9" s="87" customFormat="1" ht="12" customHeight="1" x14ac:dyDescent="0.2">
      <c r="A132" s="1115" t="s">
        <v>886</v>
      </c>
      <c r="B132" s="1116"/>
      <c r="C132" s="717" t="s">
        <v>807</v>
      </c>
      <c r="D132" s="716">
        <v>3300</v>
      </c>
      <c r="E132" s="723">
        <v>0</v>
      </c>
      <c r="F132" s="706">
        <v>42369</v>
      </c>
      <c r="G132" s="693">
        <v>42369</v>
      </c>
    </row>
    <row r="133" spans="1:9" s="87" customFormat="1" ht="12" customHeight="1" x14ac:dyDescent="0.2">
      <c r="A133" s="1115" t="s">
        <v>887</v>
      </c>
      <c r="B133" s="1116"/>
      <c r="C133" s="717" t="s">
        <v>808</v>
      </c>
      <c r="D133" s="716">
        <v>13700</v>
      </c>
      <c r="E133" s="723">
        <v>0</v>
      </c>
      <c r="F133" s="706">
        <v>42369</v>
      </c>
      <c r="G133" s="693">
        <v>42369</v>
      </c>
    </row>
    <row r="134" spans="1:9" s="87" customFormat="1" ht="12" customHeight="1" x14ac:dyDescent="0.2">
      <c r="A134" s="1115" t="s">
        <v>888</v>
      </c>
      <c r="B134" s="1116"/>
      <c r="C134" s="717" t="s">
        <v>809</v>
      </c>
      <c r="D134" s="716">
        <v>400</v>
      </c>
      <c r="E134" s="694">
        <v>0</v>
      </c>
      <c r="F134" s="706">
        <v>42369</v>
      </c>
      <c r="G134" s="693">
        <v>42369</v>
      </c>
    </row>
    <row r="135" spans="1:9" s="87" customFormat="1" ht="12" customHeight="1" x14ac:dyDescent="0.2">
      <c r="A135" s="1126" t="s">
        <v>889</v>
      </c>
      <c r="B135" s="1127"/>
      <c r="C135" s="727" t="s">
        <v>810</v>
      </c>
      <c r="D135" s="728">
        <v>500</v>
      </c>
      <c r="E135" s="729">
        <v>0</v>
      </c>
      <c r="F135" s="730">
        <v>42369</v>
      </c>
      <c r="G135" s="731">
        <v>42369</v>
      </c>
    </row>
    <row r="136" spans="1:9" s="87" customFormat="1" ht="11.25" x14ac:dyDescent="0.2">
      <c r="A136" s="1113" t="s">
        <v>111</v>
      </c>
      <c r="B136" s="1114"/>
      <c r="C136" s="152"/>
      <c r="D136" s="90">
        <f>SUM(D104:D135)</f>
        <v>60800</v>
      </c>
      <c r="E136" s="90">
        <f>SUM(E104:E135)</f>
        <v>60800</v>
      </c>
      <c r="F136" s="1128"/>
      <c r="G136" s="1129"/>
    </row>
    <row r="137" spans="1:9" s="87" customFormat="1" ht="11.25" x14ac:dyDescent="0.2">
      <c r="A137" s="1106"/>
      <c r="B137" s="1106"/>
      <c r="C137" s="1106"/>
      <c r="D137" s="1106"/>
      <c r="E137" s="1106"/>
      <c r="F137" s="1106"/>
      <c r="G137" s="1106"/>
      <c r="H137" s="1106"/>
    </row>
    <row r="138" spans="1:9" s="87" customFormat="1" ht="11.25" x14ac:dyDescent="0.2">
      <c r="A138" s="738" t="s">
        <v>212</v>
      </c>
      <c r="B138" s="738"/>
      <c r="C138" s="738"/>
      <c r="D138" s="738"/>
      <c r="E138" s="738"/>
      <c r="F138" s="738"/>
      <c r="G138" s="738"/>
      <c r="H138" s="738"/>
      <c r="I138" s="738"/>
    </row>
    <row r="139" spans="1:9" s="87" customFormat="1" ht="11.25" x14ac:dyDescent="0.2"/>
    <row r="140" spans="1:9" s="87" customFormat="1" ht="24.75" customHeight="1" x14ac:dyDescent="0.2">
      <c r="A140" s="739" t="s">
        <v>890</v>
      </c>
      <c r="B140" s="740"/>
      <c r="C140" s="740"/>
      <c r="D140" s="740"/>
      <c r="E140" s="740"/>
      <c r="F140" s="740"/>
      <c r="G140" s="740"/>
      <c r="H140" s="740"/>
      <c r="I140" s="741"/>
    </row>
    <row r="141" spans="1:9" s="87" customFormat="1" ht="11.25" x14ac:dyDescent="0.2"/>
    <row r="142" spans="1:9" s="88" customFormat="1" ht="10.5" x14ac:dyDescent="0.15">
      <c r="A142" s="742" t="s">
        <v>213</v>
      </c>
      <c r="B142" s="742"/>
      <c r="C142" s="742"/>
      <c r="D142" s="742"/>
      <c r="E142" s="742"/>
      <c r="F142" s="742"/>
      <c r="G142" s="742"/>
      <c r="H142" s="742"/>
      <c r="I142" s="742"/>
    </row>
    <row r="143" spans="1:9" s="87" customFormat="1" ht="11.25" x14ac:dyDescent="0.2"/>
    <row r="144" spans="1:9" s="87" customFormat="1" ht="50.25" customHeight="1" x14ac:dyDescent="0.2">
      <c r="A144" s="739" t="s">
        <v>1242</v>
      </c>
      <c r="B144" s="740"/>
      <c r="C144" s="740"/>
      <c r="D144" s="740"/>
      <c r="E144" s="740"/>
      <c r="F144" s="740"/>
      <c r="G144" s="740"/>
      <c r="H144" s="740"/>
      <c r="I144" s="741"/>
    </row>
    <row r="145" spans="1:9" s="28" customFormat="1" x14ac:dyDescent="0.2">
      <c r="A145" s="1071" t="s">
        <v>216</v>
      </c>
      <c r="B145" s="1072"/>
      <c r="C145" s="1072"/>
      <c r="D145" s="1072"/>
      <c r="E145" s="1072"/>
      <c r="F145" s="1072"/>
      <c r="G145" s="1072"/>
      <c r="H145" s="1072"/>
      <c r="I145" s="1073"/>
    </row>
    <row r="146" spans="1:9" s="28" customFormat="1" x14ac:dyDescent="0.2"/>
    <row r="147" spans="1:9" s="28" customFormat="1" x14ac:dyDescent="0.2"/>
    <row r="148" spans="1:9" s="28" customFormat="1" x14ac:dyDescent="0.2"/>
    <row r="149" spans="1:9" s="28" customFormat="1" x14ac:dyDescent="0.2"/>
    <row r="150" spans="1:9" s="28" customFormat="1" x14ac:dyDescent="0.2"/>
    <row r="151" spans="1:9" s="28" customFormat="1" x14ac:dyDescent="0.2"/>
    <row r="152" spans="1:9" s="28" customFormat="1" x14ac:dyDescent="0.2"/>
    <row r="153" spans="1:9" s="28" customFormat="1" x14ac:dyDescent="0.2"/>
    <row r="154" spans="1:9" s="28" customFormat="1" x14ac:dyDescent="0.2"/>
    <row r="155" spans="1:9" s="28" customFormat="1" x14ac:dyDescent="0.2"/>
    <row r="156" spans="1:9" s="28" customFormat="1" x14ac:dyDescent="0.2"/>
    <row r="157" spans="1:9" s="28" customFormat="1" x14ac:dyDescent="0.2"/>
    <row r="158" spans="1:9" s="28" customFormat="1" x14ac:dyDescent="0.2"/>
    <row r="159" spans="1:9" s="28" customFormat="1" x14ac:dyDescent="0.2"/>
    <row r="160" spans="1:9"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row r="308" s="28" customFormat="1" x14ac:dyDescent="0.2"/>
    <row r="309" s="28" customFormat="1" x14ac:dyDescent="0.2"/>
    <row r="310" s="28" customFormat="1" x14ac:dyDescent="0.2"/>
    <row r="311" s="28" customFormat="1" x14ac:dyDescent="0.2"/>
    <row r="312" s="28" customFormat="1" x14ac:dyDescent="0.2"/>
    <row r="313" s="28" customFormat="1" x14ac:dyDescent="0.2"/>
    <row r="314" s="28" customFormat="1" x14ac:dyDescent="0.2"/>
    <row r="315" s="28" customFormat="1" x14ac:dyDescent="0.2"/>
    <row r="316" s="28" customFormat="1" x14ac:dyDescent="0.2"/>
    <row r="317" s="28" customFormat="1" x14ac:dyDescent="0.2"/>
    <row r="318" s="28" customFormat="1" x14ac:dyDescent="0.2"/>
    <row r="319" s="28" customFormat="1" x14ac:dyDescent="0.2"/>
    <row r="320" s="28" customFormat="1" x14ac:dyDescent="0.2"/>
    <row r="321" s="28" customFormat="1" x14ac:dyDescent="0.2"/>
    <row r="322" s="28" customFormat="1" x14ac:dyDescent="0.2"/>
    <row r="323" s="28" customFormat="1" x14ac:dyDescent="0.2"/>
    <row r="324" s="28" customFormat="1" x14ac:dyDescent="0.2"/>
    <row r="325" s="28" customFormat="1" x14ac:dyDescent="0.2"/>
    <row r="326" s="28" customFormat="1" x14ac:dyDescent="0.2"/>
    <row r="327" s="28" customFormat="1" x14ac:dyDescent="0.2"/>
    <row r="328" s="28" customFormat="1" x14ac:dyDescent="0.2"/>
    <row r="329" s="28" customFormat="1" x14ac:dyDescent="0.2"/>
    <row r="330" s="28" customFormat="1" x14ac:dyDescent="0.2"/>
    <row r="331" s="28" customFormat="1" x14ac:dyDescent="0.2"/>
    <row r="332" s="28" customFormat="1" x14ac:dyDescent="0.2"/>
    <row r="333" s="28" customFormat="1" x14ac:dyDescent="0.2"/>
    <row r="334" s="28" customFormat="1" x14ac:dyDescent="0.2"/>
    <row r="335" s="28" customFormat="1" x14ac:dyDescent="0.2"/>
    <row r="336" s="28" customFormat="1" x14ac:dyDescent="0.2"/>
    <row r="337" s="28" customFormat="1" x14ac:dyDescent="0.2"/>
    <row r="338" s="28" customFormat="1" x14ac:dyDescent="0.2"/>
    <row r="339" s="28" customFormat="1" x14ac:dyDescent="0.2"/>
    <row r="340" s="28" customFormat="1" x14ac:dyDescent="0.2"/>
    <row r="341" s="28" customFormat="1" x14ac:dyDescent="0.2"/>
    <row r="342" s="28" customFormat="1" x14ac:dyDescent="0.2"/>
    <row r="343" s="28" customFormat="1" x14ac:dyDescent="0.2"/>
    <row r="344" s="28" customFormat="1" x14ac:dyDescent="0.2"/>
    <row r="345" s="28" customFormat="1" x14ac:dyDescent="0.2"/>
    <row r="346" s="28" customFormat="1" x14ac:dyDescent="0.2"/>
    <row r="347" s="28" customFormat="1" x14ac:dyDescent="0.2"/>
    <row r="348" s="28" customFormat="1" x14ac:dyDescent="0.2"/>
    <row r="349" s="28" customFormat="1" x14ac:dyDescent="0.2"/>
    <row r="350" s="28" customFormat="1" x14ac:dyDescent="0.2"/>
    <row r="351" s="28" customFormat="1" x14ac:dyDescent="0.2"/>
  </sheetData>
  <mergeCells count="128">
    <mergeCell ref="A138:I138"/>
    <mergeCell ref="A140:I140"/>
    <mergeCell ref="A142:I142"/>
    <mergeCell ref="A144:I144"/>
    <mergeCell ref="A134:B134"/>
    <mergeCell ref="A135:B135"/>
    <mergeCell ref="A136:B136"/>
    <mergeCell ref="F136:G136"/>
    <mergeCell ref="A137:H137"/>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5:B115"/>
    <mergeCell ref="A116:B116"/>
    <mergeCell ref="A117:B117"/>
    <mergeCell ref="A118:B118"/>
    <mergeCell ref="A111:B111"/>
    <mergeCell ref="A112:B112"/>
    <mergeCell ref="A113:B113"/>
    <mergeCell ref="A114:B114"/>
    <mergeCell ref="A106:B106"/>
    <mergeCell ref="A107:B107"/>
    <mergeCell ref="A108:B108"/>
    <mergeCell ref="A109:B109"/>
    <mergeCell ref="A110:B110"/>
    <mergeCell ref="F99:G99"/>
    <mergeCell ref="A100:B100"/>
    <mergeCell ref="A103:B103"/>
    <mergeCell ref="A104:B104"/>
    <mergeCell ref="A105:B105"/>
    <mergeCell ref="A95:B95"/>
    <mergeCell ref="A96:B96"/>
    <mergeCell ref="A97:B97"/>
    <mergeCell ref="A98:B98"/>
    <mergeCell ref="A99:B99"/>
    <mergeCell ref="A90:B90"/>
    <mergeCell ref="A91:B91"/>
    <mergeCell ref="A92:B92"/>
    <mergeCell ref="A93:B93"/>
    <mergeCell ref="A94:B94"/>
    <mergeCell ref="A85:B85"/>
    <mergeCell ref="A86:B86"/>
    <mergeCell ref="A87:B87"/>
    <mergeCell ref="A88:B88"/>
    <mergeCell ref="A89:B89"/>
    <mergeCell ref="A80:B80"/>
    <mergeCell ref="A81:B81"/>
    <mergeCell ref="A82:B82"/>
    <mergeCell ref="A83:B83"/>
    <mergeCell ref="A84:B84"/>
    <mergeCell ref="A76:B76"/>
    <mergeCell ref="A77:B77"/>
    <mergeCell ref="A78:B78"/>
    <mergeCell ref="A79:B79"/>
    <mergeCell ref="A71:B71"/>
    <mergeCell ref="A72:B72"/>
    <mergeCell ref="A73:B73"/>
    <mergeCell ref="A74:B74"/>
    <mergeCell ref="A75:B75"/>
    <mergeCell ref="C43:I43"/>
    <mergeCell ref="C44:I44"/>
    <mergeCell ref="C45:I45"/>
    <mergeCell ref="C46:I46"/>
    <mergeCell ref="C47:I47"/>
    <mergeCell ref="A51:B51"/>
    <mergeCell ref="A52:B52"/>
    <mergeCell ref="A49:I49"/>
    <mergeCell ref="A53:B53"/>
    <mergeCell ref="A57:B57"/>
    <mergeCell ref="A58:B58"/>
    <mergeCell ref="A54:B54"/>
    <mergeCell ref="A55:B55"/>
    <mergeCell ref="A56:B56"/>
    <mergeCell ref="A59:B59"/>
    <mergeCell ref="A60:B60"/>
    <mergeCell ref="A61:B61"/>
    <mergeCell ref="A62:B62"/>
    <mergeCell ref="A63:B63"/>
    <mergeCell ref="A9:B9"/>
    <mergeCell ref="D9:I9"/>
    <mergeCell ref="A11:I11"/>
    <mergeCell ref="A15:A16"/>
    <mergeCell ref="A34:I34"/>
    <mergeCell ref="D36:I36"/>
    <mergeCell ref="D37:I37"/>
    <mergeCell ref="C38:I38"/>
    <mergeCell ref="A40:I40"/>
    <mergeCell ref="F26:I26"/>
    <mergeCell ref="A28:I28"/>
    <mergeCell ref="D30:I30"/>
    <mergeCell ref="D31:I31"/>
    <mergeCell ref="C32:I32"/>
    <mergeCell ref="A64:B64"/>
    <mergeCell ref="A65:B65"/>
    <mergeCell ref="A66:B66"/>
    <mergeCell ref="A67:B67"/>
    <mergeCell ref="A68:B68"/>
    <mergeCell ref="A69:B69"/>
    <mergeCell ref="A70:B70"/>
    <mergeCell ref="A145:I145"/>
    <mergeCell ref="A3:I3"/>
    <mergeCell ref="A5:B5"/>
    <mergeCell ref="D5:I5"/>
    <mergeCell ref="A6:B6"/>
    <mergeCell ref="D6:I6"/>
    <mergeCell ref="D7:I7"/>
    <mergeCell ref="D8:I8"/>
    <mergeCell ref="A7:B7"/>
    <mergeCell ref="C42:I42"/>
    <mergeCell ref="F21:I21"/>
    <mergeCell ref="F22:I22"/>
    <mergeCell ref="F23:I23"/>
    <mergeCell ref="F24:I24"/>
    <mergeCell ref="F25:I25"/>
    <mergeCell ref="A8:B8"/>
    <mergeCell ref="A19:I19"/>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86</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27328652</v>
      </c>
      <c r="F6" s="29">
        <f>SUM(F7:F9)</f>
        <v>30013897</v>
      </c>
      <c r="G6" s="29">
        <f>SUM(G7:G9)</f>
        <v>30192230.759999998</v>
      </c>
      <c r="H6" s="24">
        <f t="shared" ref="H6:H36" si="0">G6/F6*100</f>
        <v>100.59417062702653</v>
      </c>
      <c r="I6" s="29">
        <f>SUM(I7:I9)</f>
        <v>27427458.879999999</v>
      </c>
      <c r="J6" s="29">
        <f>SUM(J7:J9)</f>
        <v>6750000</v>
      </c>
      <c r="K6" s="29">
        <f>SUM(K7:K9)</f>
        <v>7894300</v>
      </c>
      <c r="L6" s="29">
        <f t="shared" ref="L6:X6" si="1">SUM(L7:L9)</f>
        <v>8072633.7599999998</v>
      </c>
      <c r="M6" s="24">
        <f t="shared" ref="M6:M33" si="2">L6/K6*100</f>
        <v>102.25901929240084</v>
      </c>
      <c r="N6" s="30">
        <f t="shared" si="1"/>
        <v>7342701.8799999999</v>
      </c>
      <c r="O6" s="29">
        <f t="shared" si="1"/>
        <v>20578652</v>
      </c>
      <c r="P6" s="29">
        <f t="shared" si="1"/>
        <v>22119597</v>
      </c>
      <c r="Q6" s="29">
        <f t="shared" si="1"/>
        <v>22119597</v>
      </c>
      <c r="R6" s="24">
        <f t="shared" ref="R6:R33" si="3">Q6/P6*100</f>
        <v>100</v>
      </c>
      <c r="S6" s="29">
        <f t="shared" si="1"/>
        <v>20084757</v>
      </c>
      <c r="T6" s="29">
        <f t="shared" si="1"/>
        <v>604300</v>
      </c>
      <c r="U6" s="29">
        <f t="shared" si="1"/>
        <v>665100</v>
      </c>
      <c r="V6" s="29">
        <f t="shared" si="1"/>
        <v>663090</v>
      </c>
      <c r="W6" s="24">
        <f t="shared" ref="W6:W33" si="4">V6/U6*100</f>
        <v>99.697789806044199</v>
      </c>
      <c r="X6" s="29">
        <f t="shared" si="1"/>
        <v>539358</v>
      </c>
    </row>
    <row r="7" spans="1:24" s="6" customFormat="1" ht="9.9499999999999993" customHeight="1" x14ac:dyDescent="0.2">
      <c r="A7" s="169" t="s">
        <v>2</v>
      </c>
      <c r="B7" s="823" t="s">
        <v>44</v>
      </c>
      <c r="C7" s="824"/>
      <c r="D7" s="170" t="s">
        <v>25</v>
      </c>
      <c r="E7" s="32">
        <f>SUM(J7,O7)</f>
        <v>3360000</v>
      </c>
      <c r="F7" s="33">
        <f>SUM(K7,P7)</f>
        <v>3768028</v>
      </c>
      <c r="G7" s="33">
        <f t="shared" ref="E7:G10" si="5">SUM(L7,Q7)</f>
        <v>3946336.3</v>
      </c>
      <c r="H7" s="9">
        <f t="shared" si="0"/>
        <v>104.73213840236855</v>
      </c>
      <c r="I7" s="34">
        <f>SUM(N7,S7)</f>
        <v>3871819.5</v>
      </c>
      <c r="J7" s="193">
        <v>3360000</v>
      </c>
      <c r="K7" s="35">
        <v>3768028</v>
      </c>
      <c r="L7" s="47">
        <v>3946336.3</v>
      </c>
      <c r="M7" s="9">
        <f t="shared" si="2"/>
        <v>104.73213840236855</v>
      </c>
      <c r="N7" s="194">
        <v>3871819.5</v>
      </c>
      <c r="O7" s="195"/>
      <c r="P7" s="35"/>
      <c r="Q7" s="35"/>
      <c r="R7" s="9" t="e">
        <f t="shared" si="3"/>
        <v>#DIV/0!</v>
      </c>
      <c r="S7" s="194"/>
      <c r="T7" s="195">
        <v>604300</v>
      </c>
      <c r="U7" s="35">
        <v>665100</v>
      </c>
      <c r="V7" s="35">
        <v>663090</v>
      </c>
      <c r="W7" s="9">
        <f t="shared" si="4"/>
        <v>99.697789806044199</v>
      </c>
      <c r="X7" s="59">
        <v>539358</v>
      </c>
    </row>
    <row r="8" spans="1:24" s="6" customFormat="1" ht="9.9499999999999993" customHeight="1" x14ac:dyDescent="0.2">
      <c r="A8" s="171" t="s">
        <v>3</v>
      </c>
      <c r="B8" s="825" t="s">
        <v>45</v>
      </c>
      <c r="C8" s="826"/>
      <c r="D8" s="172" t="s">
        <v>25</v>
      </c>
      <c r="E8" s="38">
        <f t="shared" si="5"/>
        <v>5000</v>
      </c>
      <c r="F8" s="39">
        <f t="shared" si="5"/>
        <v>5700</v>
      </c>
      <c r="G8" s="39">
        <f t="shared" si="5"/>
        <v>5725.46</v>
      </c>
      <c r="H8" s="10">
        <f t="shared" si="0"/>
        <v>100.44666666666666</v>
      </c>
      <c r="I8" s="40">
        <f>SUM(N8,S8)</f>
        <v>5871.38</v>
      </c>
      <c r="J8" s="196">
        <v>5000</v>
      </c>
      <c r="K8" s="157">
        <v>5700</v>
      </c>
      <c r="L8" s="197">
        <v>5725.46</v>
      </c>
      <c r="M8" s="158">
        <f t="shared" si="2"/>
        <v>100.44666666666666</v>
      </c>
      <c r="N8" s="198">
        <v>5871.38</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76" t="s">
        <v>25</v>
      </c>
      <c r="E9" s="42">
        <f t="shared" si="5"/>
        <v>23963652</v>
      </c>
      <c r="F9" s="43">
        <f t="shared" si="5"/>
        <v>26240169</v>
      </c>
      <c r="G9" s="43">
        <f t="shared" si="5"/>
        <v>26240169</v>
      </c>
      <c r="H9" s="26">
        <f t="shared" si="0"/>
        <v>100</v>
      </c>
      <c r="I9" s="44">
        <f>SUM(N9,S9)</f>
        <v>23549768</v>
      </c>
      <c r="J9" s="199">
        <v>3385000</v>
      </c>
      <c r="K9" s="200">
        <v>4120572</v>
      </c>
      <c r="L9" s="200">
        <v>4120572</v>
      </c>
      <c r="M9" s="201">
        <f t="shared" si="2"/>
        <v>100</v>
      </c>
      <c r="N9" s="202">
        <v>3465011</v>
      </c>
      <c r="O9" s="160">
        <v>20578652</v>
      </c>
      <c r="P9" s="203">
        <v>22119597</v>
      </c>
      <c r="Q9" s="203">
        <v>22119597</v>
      </c>
      <c r="R9" s="201">
        <f t="shared" si="3"/>
        <v>100</v>
      </c>
      <c r="S9" s="202">
        <v>20084757</v>
      </c>
      <c r="T9" s="160"/>
      <c r="U9" s="203"/>
      <c r="V9" s="203"/>
      <c r="W9" s="201" t="e">
        <f t="shared" si="4"/>
        <v>#DIV/0!</v>
      </c>
      <c r="X9" s="161"/>
    </row>
    <row r="10" spans="1:24" s="6" customFormat="1" ht="9.9499999999999993" customHeight="1" x14ac:dyDescent="0.2">
      <c r="A10" s="168" t="s">
        <v>5</v>
      </c>
      <c r="B10" s="822" t="s">
        <v>7</v>
      </c>
      <c r="C10" s="822"/>
      <c r="D10" s="177"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177" t="s">
        <v>25</v>
      </c>
      <c r="E11" s="29">
        <f>SUM(E12:E31)</f>
        <v>27328652</v>
      </c>
      <c r="F11" s="29">
        <f>SUM(F12:F31)</f>
        <v>30013897</v>
      </c>
      <c r="G11" s="29">
        <f>SUM(G12:G31)</f>
        <v>28492528.279999997</v>
      </c>
      <c r="H11" s="24">
        <f t="shared" si="0"/>
        <v>94.931119007971532</v>
      </c>
      <c r="I11" s="30">
        <f>SUM(I12:I31)</f>
        <v>29018031.740000002</v>
      </c>
      <c r="J11" s="29">
        <f>SUM(J12:J31)</f>
        <v>6750000</v>
      </c>
      <c r="K11" s="29">
        <f>SUM(K12:K31)</f>
        <v>7894300</v>
      </c>
      <c r="L11" s="29">
        <f>SUM(L12:L31)</f>
        <v>6372930.8799999999</v>
      </c>
      <c r="M11" s="24">
        <f t="shared" si="2"/>
        <v>80.728258110282098</v>
      </c>
      <c r="N11" s="30">
        <f>SUM(N12:N31)</f>
        <v>8933274.7400000002</v>
      </c>
      <c r="O11" s="29">
        <f>SUM(O12:O31)</f>
        <v>20578652</v>
      </c>
      <c r="P11" s="29">
        <f>SUM(P12:P31)</f>
        <v>22119597</v>
      </c>
      <c r="Q11" s="29">
        <f>SUM(Q12:Q31)</f>
        <v>22119597.399999999</v>
      </c>
      <c r="R11" s="24">
        <f t="shared" si="3"/>
        <v>100.0000018083512</v>
      </c>
      <c r="S11" s="30">
        <f>SUM(S12:S31)</f>
        <v>20084757</v>
      </c>
      <c r="T11" s="29">
        <f>SUM(T12:T31)</f>
        <v>477941</v>
      </c>
      <c r="U11" s="29">
        <f>SUM(U12:U31)</f>
        <v>538741</v>
      </c>
      <c r="V11" s="29">
        <f>SUM(V12:V31)</f>
        <v>534766.78</v>
      </c>
      <c r="W11" s="24">
        <f t="shared" si="4"/>
        <v>99.262313430758013</v>
      </c>
      <c r="X11" s="29">
        <f>SUM(X12:X31)</f>
        <v>461023.41000000003</v>
      </c>
    </row>
    <row r="12" spans="1:24" s="6" customFormat="1" ht="9.9499999999999993" customHeight="1" x14ac:dyDescent="0.2">
      <c r="A12" s="178" t="s">
        <v>8</v>
      </c>
      <c r="B12" s="827" t="s">
        <v>28</v>
      </c>
      <c r="C12" s="828"/>
      <c r="D12" s="179" t="s">
        <v>25</v>
      </c>
      <c r="E12" s="32">
        <f t="shared" ref="E12:I29" si="6">SUM(J12,O12)</f>
        <v>3859447</v>
      </c>
      <c r="F12" s="33">
        <f t="shared" si="6"/>
        <v>4347846</v>
      </c>
      <c r="G12" s="33">
        <f t="shared" si="6"/>
        <v>4290380.97</v>
      </c>
      <c r="H12" s="9">
        <f t="shared" si="0"/>
        <v>98.678310363338525</v>
      </c>
      <c r="I12" s="34">
        <f t="shared" si="6"/>
        <v>4175174.93</v>
      </c>
      <c r="J12" s="204">
        <v>3530447</v>
      </c>
      <c r="K12" s="47">
        <v>4014676</v>
      </c>
      <c r="L12" s="47">
        <v>3957214.57</v>
      </c>
      <c r="M12" s="9">
        <f t="shared" si="2"/>
        <v>98.568715632344933</v>
      </c>
      <c r="N12" s="205">
        <v>3812216.93</v>
      </c>
      <c r="O12" s="206">
        <v>329000</v>
      </c>
      <c r="P12" s="47">
        <v>333170</v>
      </c>
      <c r="Q12" s="47">
        <v>333166.40000000002</v>
      </c>
      <c r="R12" s="9">
        <f t="shared" si="3"/>
        <v>99.998919470540571</v>
      </c>
      <c r="S12" s="207">
        <v>362958</v>
      </c>
      <c r="T12" s="206">
        <v>194100</v>
      </c>
      <c r="U12" s="47">
        <v>229100</v>
      </c>
      <c r="V12" s="47">
        <v>228660.36</v>
      </c>
      <c r="W12" s="9">
        <f t="shared" si="4"/>
        <v>99.808101265822785</v>
      </c>
      <c r="X12" s="51">
        <v>181457.53</v>
      </c>
    </row>
    <row r="13" spans="1:24" s="6" customFormat="1" ht="9.9499999999999993" customHeight="1" x14ac:dyDescent="0.2">
      <c r="A13" s="180" t="s">
        <v>10</v>
      </c>
      <c r="B13" s="820" t="s">
        <v>29</v>
      </c>
      <c r="C13" s="821"/>
      <c r="D13" s="172" t="s">
        <v>25</v>
      </c>
      <c r="E13" s="38">
        <f t="shared" si="6"/>
        <v>2196000</v>
      </c>
      <c r="F13" s="39">
        <f t="shared" si="6"/>
        <v>1861000</v>
      </c>
      <c r="G13" s="39">
        <f t="shared" si="6"/>
        <v>1766271.55</v>
      </c>
      <c r="H13" s="10">
        <f t="shared" si="0"/>
        <v>94.909809242342817</v>
      </c>
      <c r="I13" s="40">
        <f t="shared" si="6"/>
        <v>1833836.45</v>
      </c>
      <c r="J13" s="208">
        <v>2196000</v>
      </c>
      <c r="K13" s="197">
        <v>1861000</v>
      </c>
      <c r="L13" s="197">
        <v>1766271.55</v>
      </c>
      <c r="M13" s="158">
        <f t="shared" si="2"/>
        <v>94.909809242342817</v>
      </c>
      <c r="N13" s="198">
        <v>1833836.45</v>
      </c>
      <c r="O13" s="156"/>
      <c r="P13" s="157"/>
      <c r="Q13" s="157"/>
      <c r="R13" s="158" t="e">
        <f t="shared" si="3"/>
        <v>#DIV/0!</v>
      </c>
      <c r="S13" s="198"/>
      <c r="T13" s="156">
        <v>106642</v>
      </c>
      <c r="U13" s="157">
        <v>112742</v>
      </c>
      <c r="V13" s="157">
        <v>112603.4</v>
      </c>
      <c r="W13" s="158">
        <f t="shared" si="4"/>
        <v>99.877064448031788</v>
      </c>
      <c r="X13" s="159">
        <v>102168</v>
      </c>
    </row>
    <row r="14" spans="1:24" s="6" customFormat="1" ht="9.9499999999999993" customHeight="1" x14ac:dyDescent="0.2">
      <c r="A14" s="180" t="s">
        <v>11</v>
      </c>
      <c r="B14" s="181" t="s">
        <v>60</v>
      </c>
      <c r="C14" s="182"/>
      <c r="D14" s="172" t="s">
        <v>25</v>
      </c>
      <c r="E14" s="38">
        <f t="shared" si="6"/>
        <v>0</v>
      </c>
      <c r="F14" s="39">
        <f t="shared" si="6"/>
        <v>0</v>
      </c>
      <c r="G14" s="39">
        <f t="shared" si="6"/>
        <v>0</v>
      </c>
      <c r="H14" s="10" t="e">
        <f t="shared" si="0"/>
        <v>#DIV/0!</v>
      </c>
      <c r="I14" s="40">
        <f t="shared" si="6"/>
        <v>0</v>
      </c>
      <c r="J14" s="208"/>
      <c r="K14" s="197"/>
      <c r="L14" s="19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430000</v>
      </c>
      <c r="F15" s="39">
        <f t="shared" si="6"/>
        <v>444500</v>
      </c>
      <c r="G15" s="39">
        <f t="shared" si="6"/>
        <v>444276.81</v>
      </c>
      <c r="H15" s="10">
        <f t="shared" si="0"/>
        <v>99.94978852643419</v>
      </c>
      <c r="I15" s="40">
        <f t="shared" si="6"/>
        <v>472223.74</v>
      </c>
      <c r="J15" s="208">
        <v>430000</v>
      </c>
      <c r="K15" s="197">
        <v>444500</v>
      </c>
      <c r="L15" s="197">
        <v>444276.81</v>
      </c>
      <c r="M15" s="158">
        <f t="shared" si="2"/>
        <v>99.94978852643419</v>
      </c>
      <c r="N15" s="198">
        <v>472223.74</v>
      </c>
      <c r="O15" s="156"/>
      <c r="P15" s="157"/>
      <c r="Q15" s="157"/>
      <c r="R15" s="158" t="e">
        <f t="shared" si="3"/>
        <v>#DIV/0!</v>
      </c>
      <c r="S15" s="198"/>
      <c r="T15" s="156">
        <v>10657</v>
      </c>
      <c r="U15" s="157">
        <v>18257</v>
      </c>
      <c r="V15" s="157">
        <v>18194.599999999999</v>
      </c>
      <c r="W15" s="158">
        <f t="shared" si="4"/>
        <v>99.658213288053886</v>
      </c>
      <c r="X15" s="159">
        <v>38558</v>
      </c>
    </row>
    <row r="16" spans="1:24" s="6" customFormat="1" ht="9.9499999999999993" customHeight="1" x14ac:dyDescent="0.2">
      <c r="A16" s="180" t="s">
        <v>13</v>
      </c>
      <c r="B16" s="820" t="s">
        <v>30</v>
      </c>
      <c r="C16" s="821"/>
      <c r="D16" s="172" t="s">
        <v>25</v>
      </c>
      <c r="E16" s="38">
        <f t="shared" si="6"/>
        <v>31400</v>
      </c>
      <c r="F16" s="39">
        <f t="shared" si="6"/>
        <v>99840</v>
      </c>
      <c r="G16" s="39">
        <f t="shared" si="6"/>
        <v>96378</v>
      </c>
      <c r="H16" s="10">
        <f t="shared" si="0"/>
        <v>96.53245192307692</v>
      </c>
      <c r="I16" s="40">
        <f t="shared" si="6"/>
        <v>28546</v>
      </c>
      <c r="J16" s="208">
        <v>4000</v>
      </c>
      <c r="K16" s="197">
        <v>4000</v>
      </c>
      <c r="L16" s="197">
        <v>538</v>
      </c>
      <c r="M16" s="158">
        <f t="shared" si="2"/>
        <v>13.450000000000001</v>
      </c>
      <c r="N16" s="198">
        <v>1840</v>
      </c>
      <c r="O16" s="156">
        <v>27400</v>
      </c>
      <c r="P16" s="157">
        <v>95840</v>
      </c>
      <c r="Q16" s="157">
        <v>95840</v>
      </c>
      <c r="R16" s="158">
        <f t="shared" si="3"/>
        <v>100</v>
      </c>
      <c r="S16" s="198">
        <v>26706</v>
      </c>
      <c r="T16" s="156"/>
      <c r="U16" s="157"/>
      <c r="V16" s="157"/>
      <c r="W16" s="158" t="e">
        <f t="shared" si="4"/>
        <v>#DIV/0!</v>
      </c>
      <c r="X16" s="159"/>
    </row>
    <row r="17" spans="1:24" s="6" customFormat="1" ht="9.9499999999999993" customHeight="1" x14ac:dyDescent="0.2">
      <c r="A17" s="180" t="s">
        <v>14</v>
      </c>
      <c r="B17" s="181" t="s">
        <v>46</v>
      </c>
      <c r="C17" s="182"/>
      <c r="D17" s="172" t="s">
        <v>25</v>
      </c>
      <c r="E17" s="38">
        <f t="shared" si="6"/>
        <v>3000</v>
      </c>
      <c r="F17" s="39">
        <f t="shared" si="6"/>
        <v>3000</v>
      </c>
      <c r="G17" s="39">
        <f t="shared" si="6"/>
        <v>2788</v>
      </c>
      <c r="H17" s="10">
        <f t="shared" si="0"/>
        <v>92.933333333333337</v>
      </c>
      <c r="I17" s="40">
        <f t="shared" si="6"/>
        <v>3000</v>
      </c>
      <c r="J17" s="208">
        <v>3000</v>
      </c>
      <c r="K17" s="197">
        <v>3000</v>
      </c>
      <c r="L17" s="197">
        <v>2788</v>
      </c>
      <c r="M17" s="158">
        <f t="shared" si="2"/>
        <v>92.933333333333337</v>
      </c>
      <c r="N17" s="198">
        <v>3000</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464000</v>
      </c>
      <c r="F18" s="39">
        <f t="shared" si="6"/>
        <v>743212</v>
      </c>
      <c r="G18" s="39">
        <f t="shared" si="6"/>
        <v>727755.05</v>
      </c>
      <c r="H18" s="10">
        <f t="shared" si="0"/>
        <v>97.920250211245246</v>
      </c>
      <c r="I18" s="40">
        <f t="shared" si="6"/>
        <v>856795.32</v>
      </c>
      <c r="J18" s="208">
        <v>369000</v>
      </c>
      <c r="K18" s="197">
        <v>369000</v>
      </c>
      <c r="L18" s="197">
        <v>353539.05</v>
      </c>
      <c r="M18" s="158">
        <f t="shared" si="2"/>
        <v>95.810040650406506</v>
      </c>
      <c r="N18" s="198">
        <v>687488.32</v>
      </c>
      <c r="O18" s="156">
        <v>95000</v>
      </c>
      <c r="P18" s="157">
        <v>374212</v>
      </c>
      <c r="Q18" s="157">
        <v>374216</v>
      </c>
      <c r="R18" s="158">
        <f t="shared" si="3"/>
        <v>100.00106891280878</v>
      </c>
      <c r="S18" s="198">
        <v>169307</v>
      </c>
      <c r="T18" s="156">
        <v>23089</v>
      </c>
      <c r="U18" s="157">
        <v>28589</v>
      </c>
      <c r="V18" s="157">
        <v>27997.3</v>
      </c>
      <c r="W18" s="158">
        <f t="shared" si="4"/>
        <v>97.930322851446363</v>
      </c>
      <c r="X18" s="159">
        <v>20377.2</v>
      </c>
    </row>
    <row r="19" spans="1:24" s="11" customFormat="1" ht="9.9499999999999993" customHeight="1" x14ac:dyDescent="0.2">
      <c r="A19" s="180" t="s">
        <v>16</v>
      </c>
      <c r="B19" s="820" t="s">
        <v>32</v>
      </c>
      <c r="C19" s="821"/>
      <c r="D19" s="172" t="s">
        <v>25</v>
      </c>
      <c r="E19" s="38">
        <f t="shared" si="6"/>
        <v>14933927</v>
      </c>
      <c r="F19" s="39">
        <f t="shared" si="6"/>
        <v>15728287</v>
      </c>
      <c r="G19" s="39">
        <f t="shared" si="6"/>
        <v>15728287</v>
      </c>
      <c r="H19" s="10">
        <f t="shared" si="0"/>
        <v>100</v>
      </c>
      <c r="I19" s="40">
        <f t="shared" si="6"/>
        <v>14477614</v>
      </c>
      <c r="J19" s="209">
        <v>90000</v>
      </c>
      <c r="K19" s="197">
        <v>96270</v>
      </c>
      <c r="L19" s="197">
        <v>96270</v>
      </c>
      <c r="M19" s="158">
        <f t="shared" si="2"/>
        <v>100</v>
      </c>
      <c r="N19" s="198">
        <v>46827</v>
      </c>
      <c r="O19" s="156">
        <v>14843927</v>
      </c>
      <c r="P19" s="157">
        <v>15632017</v>
      </c>
      <c r="Q19" s="157">
        <v>15632017</v>
      </c>
      <c r="R19" s="158">
        <f t="shared" si="3"/>
        <v>100</v>
      </c>
      <c r="S19" s="198">
        <v>14430787</v>
      </c>
      <c r="T19" s="210">
        <v>102838</v>
      </c>
      <c r="U19" s="211">
        <v>102838</v>
      </c>
      <c r="V19" s="211">
        <v>100853</v>
      </c>
      <c r="W19" s="158">
        <f t="shared" si="4"/>
        <v>98.069779653435489</v>
      </c>
      <c r="X19" s="212">
        <v>76827</v>
      </c>
    </row>
    <row r="20" spans="1:24" s="6" customFormat="1" ht="9.9499999999999993" customHeight="1" x14ac:dyDescent="0.2">
      <c r="A20" s="180" t="s">
        <v>17</v>
      </c>
      <c r="B20" s="820" t="s">
        <v>47</v>
      </c>
      <c r="C20" s="821"/>
      <c r="D20" s="172" t="s">
        <v>25</v>
      </c>
      <c r="E20" s="38">
        <f t="shared" si="6"/>
        <v>5127502</v>
      </c>
      <c r="F20" s="39">
        <f t="shared" si="6"/>
        <v>5356658</v>
      </c>
      <c r="G20" s="39">
        <f t="shared" si="6"/>
        <v>5356408</v>
      </c>
      <c r="H20" s="10">
        <f t="shared" si="0"/>
        <v>99.995332910930657</v>
      </c>
      <c r="I20" s="40">
        <f t="shared" si="6"/>
        <v>4928366</v>
      </c>
      <c r="J20" s="208">
        <v>28257</v>
      </c>
      <c r="K20" s="197">
        <v>40857</v>
      </c>
      <c r="L20" s="197">
        <v>40607</v>
      </c>
      <c r="M20" s="158">
        <f t="shared" si="2"/>
        <v>99.388109748635486</v>
      </c>
      <c r="N20" s="198">
        <v>14564</v>
      </c>
      <c r="O20" s="156">
        <v>5099245</v>
      </c>
      <c r="P20" s="157">
        <v>5315801</v>
      </c>
      <c r="Q20" s="157">
        <v>5315801</v>
      </c>
      <c r="R20" s="158">
        <f t="shared" si="3"/>
        <v>100</v>
      </c>
      <c r="S20" s="198">
        <v>4913802</v>
      </c>
      <c r="T20" s="156">
        <v>35398</v>
      </c>
      <c r="U20" s="157">
        <v>35398</v>
      </c>
      <c r="V20" s="157">
        <v>34802.400000000001</v>
      </c>
      <c r="W20" s="158">
        <f t="shared" si="4"/>
        <v>98.317419063223909</v>
      </c>
      <c r="X20" s="159">
        <v>26336</v>
      </c>
    </row>
    <row r="21" spans="1:24" s="6" customFormat="1" ht="9.9499999999999993" customHeight="1" x14ac:dyDescent="0.2">
      <c r="A21" s="180" t="s">
        <v>18</v>
      </c>
      <c r="B21" s="820" t="s">
        <v>48</v>
      </c>
      <c r="C21" s="821"/>
      <c r="D21" s="172" t="s">
        <v>25</v>
      </c>
      <c r="E21" s="38">
        <f t="shared" si="6"/>
        <v>165500</v>
      </c>
      <c r="F21" s="39">
        <f t="shared" si="6"/>
        <v>180319</v>
      </c>
      <c r="G21" s="39">
        <f t="shared" si="6"/>
        <v>180286</v>
      </c>
      <c r="H21" s="10">
        <f t="shared" si="0"/>
        <v>99.981699099928463</v>
      </c>
      <c r="I21" s="40">
        <f t="shared" si="6"/>
        <v>160545</v>
      </c>
      <c r="J21" s="208">
        <v>1420</v>
      </c>
      <c r="K21" s="197">
        <v>420</v>
      </c>
      <c r="L21" s="197">
        <v>387</v>
      </c>
      <c r="M21" s="158">
        <f t="shared" si="2"/>
        <v>92.142857142857139</v>
      </c>
      <c r="N21" s="198">
        <v>118</v>
      </c>
      <c r="O21" s="156">
        <v>164080</v>
      </c>
      <c r="P21" s="157">
        <v>179899</v>
      </c>
      <c r="Q21" s="157">
        <v>179899</v>
      </c>
      <c r="R21" s="158">
        <f t="shared" si="3"/>
        <v>100</v>
      </c>
      <c r="S21" s="198">
        <v>160427</v>
      </c>
      <c r="T21" s="156">
        <v>1028</v>
      </c>
      <c r="U21" s="157">
        <v>1028</v>
      </c>
      <c r="V21" s="157">
        <v>990</v>
      </c>
      <c r="W21" s="158">
        <f t="shared" si="4"/>
        <v>96.303501945525298</v>
      </c>
      <c r="X21" s="159">
        <v>770</v>
      </c>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97"/>
      <c r="L22" s="197"/>
      <c r="M22" s="158" t="e">
        <f t="shared" si="2"/>
        <v>#DIV/0!</v>
      </c>
      <c r="N22" s="198">
        <v>0</v>
      </c>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22</v>
      </c>
      <c r="G23" s="674">
        <f t="shared" si="6"/>
        <v>-708791</v>
      </c>
      <c r="H23" s="675">
        <f t="shared" si="0"/>
        <v>-3221777.2727272729</v>
      </c>
      <c r="I23" s="676">
        <f t="shared" si="6"/>
        <v>749644</v>
      </c>
      <c r="J23" s="208"/>
      <c r="K23" s="197">
        <v>22</v>
      </c>
      <c r="L23" s="197">
        <v>-708791</v>
      </c>
      <c r="M23" s="158">
        <f>L23/K23*100</f>
        <v>-3221777.2727272729</v>
      </c>
      <c r="N23" s="198">
        <v>749644</v>
      </c>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97"/>
      <c r="L24" s="19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26300</v>
      </c>
      <c r="G25" s="674">
        <f t="shared" si="6"/>
        <v>26210</v>
      </c>
      <c r="H25" s="675">
        <f>G25/F25*100</f>
        <v>99.657794676806091</v>
      </c>
      <c r="I25" s="676">
        <f>SUM(N25,S25)</f>
        <v>0</v>
      </c>
      <c r="J25" s="208"/>
      <c r="K25" s="213">
        <v>26300</v>
      </c>
      <c r="L25" s="213">
        <v>26210</v>
      </c>
      <c r="M25" s="158">
        <f t="shared" si="2"/>
        <v>99.657794676806091</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94359</v>
      </c>
      <c r="F26" s="674">
        <f t="shared" si="6"/>
        <v>829931</v>
      </c>
      <c r="G26" s="674">
        <f t="shared" si="6"/>
        <v>829931</v>
      </c>
      <c r="H26" s="675">
        <f t="shared" si="0"/>
        <v>100</v>
      </c>
      <c r="I26" s="676">
        <f t="shared" si="6"/>
        <v>43858</v>
      </c>
      <c r="J26" s="208">
        <v>94359</v>
      </c>
      <c r="K26" s="197">
        <v>829931</v>
      </c>
      <c r="L26" s="197">
        <v>829931</v>
      </c>
      <c r="M26" s="158">
        <f t="shared" si="2"/>
        <v>100</v>
      </c>
      <c r="N26" s="198">
        <v>43858</v>
      </c>
      <c r="O26" s="218"/>
      <c r="P26" s="197"/>
      <c r="Q26" s="197"/>
      <c r="R26" s="158" t="e">
        <f t="shared" si="3"/>
        <v>#DIV/0!</v>
      </c>
      <c r="S26" s="214"/>
      <c r="T26" s="218">
        <v>4189</v>
      </c>
      <c r="U26" s="197">
        <v>6789</v>
      </c>
      <c r="V26" s="197">
        <v>6715.32</v>
      </c>
      <c r="W26" s="158">
        <f t="shared" si="4"/>
        <v>98.914714980114894</v>
      </c>
      <c r="X26" s="219">
        <v>868.18</v>
      </c>
    </row>
    <row r="27" spans="1:24" s="13" customFormat="1" ht="9.9499999999999993" customHeight="1" x14ac:dyDescent="0.2">
      <c r="A27" s="180" t="s">
        <v>43</v>
      </c>
      <c r="B27" s="181" t="s">
        <v>64</v>
      </c>
      <c r="C27" s="182"/>
      <c r="D27" s="172" t="s">
        <v>25</v>
      </c>
      <c r="E27" s="38">
        <f t="shared" si="6"/>
        <v>0</v>
      </c>
      <c r="F27" s="39">
        <f t="shared" si="6"/>
        <v>0</v>
      </c>
      <c r="G27" s="39">
        <f t="shared" si="6"/>
        <v>0</v>
      </c>
      <c r="H27" s="14" t="e">
        <f t="shared" si="0"/>
        <v>#DIV/0!</v>
      </c>
      <c r="I27" s="40">
        <f t="shared" si="6"/>
        <v>410552.3</v>
      </c>
      <c r="J27" s="208"/>
      <c r="K27" s="197"/>
      <c r="L27" s="197"/>
      <c r="M27" s="158" t="e">
        <f t="shared" si="2"/>
        <v>#DIV/0!</v>
      </c>
      <c r="N27" s="214">
        <v>410552.3</v>
      </c>
      <c r="O27" s="218"/>
      <c r="P27" s="197"/>
      <c r="Q27" s="197"/>
      <c r="R27" s="158" t="e">
        <f t="shared" si="3"/>
        <v>#DIV/0!</v>
      </c>
      <c r="S27" s="214"/>
      <c r="T27" s="218"/>
      <c r="U27" s="197"/>
      <c r="V27" s="197"/>
      <c r="W27" s="158" t="e">
        <f t="shared" si="4"/>
        <v>#DIV/0!</v>
      </c>
      <c r="X27" s="219"/>
    </row>
    <row r="28" spans="1:24" s="13" customFormat="1" ht="9.9499999999999993" customHeight="1" x14ac:dyDescent="0.2">
      <c r="A28" s="180" t="s">
        <v>49</v>
      </c>
      <c r="B28" s="181" t="s">
        <v>92</v>
      </c>
      <c r="C28" s="182"/>
      <c r="D28" s="172" t="s">
        <v>25</v>
      </c>
      <c r="E28" s="38">
        <f>SUM(J28,O28)</f>
        <v>20000</v>
      </c>
      <c r="F28" s="39">
        <f>SUM(K28,P28)</f>
        <v>392165</v>
      </c>
      <c r="G28" s="39">
        <f>SUM(L28,Q28)</f>
        <v>391993.9</v>
      </c>
      <c r="H28" s="14">
        <f>G28/F28*100</f>
        <v>99.956370405314104</v>
      </c>
      <c r="I28" s="40">
        <f>SUM(N28,S28)</f>
        <v>23923</v>
      </c>
      <c r="J28" s="208"/>
      <c r="K28" s="197">
        <v>203507</v>
      </c>
      <c r="L28" s="197">
        <v>203335.9</v>
      </c>
      <c r="M28" s="158">
        <f t="shared" si="2"/>
        <v>99.915924267961302</v>
      </c>
      <c r="N28" s="214">
        <v>3153</v>
      </c>
      <c r="O28" s="218">
        <v>20000</v>
      </c>
      <c r="P28" s="197">
        <v>188658</v>
      </c>
      <c r="Q28" s="197">
        <v>188658</v>
      </c>
      <c r="R28" s="158">
        <f t="shared" si="3"/>
        <v>100</v>
      </c>
      <c r="S28" s="214">
        <v>20770</v>
      </c>
      <c r="T28" s="218"/>
      <c r="U28" s="197">
        <v>4000</v>
      </c>
      <c r="V28" s="197">
        <v>3950.4</v>
      </c>
      <c r="W28" s="158">
        <f t="shared" si="4"/>
        <v>98.76</v>
      </c>
      <c r="X28" s="219">
        <v>13661.5</v>
      </c>
    </row>
    <row r="29" spans="1:24" s="15" customFormat="1" ht="9.9499999999999993" customHeight="1" x14ac:dyDescent="0.2">
      <c r="A29" s="180" t="s">
        <v>50</v>
      </c>
      <c r="B29" s="820" t="s">
        <v>65</v>
      </c>
      <c r="C29" s="821"/>
      <c r="D29" s="172" t="s">
        <v>25</v>
      </c>
      <c r="E29" s="38">
        <f t="shared" si="6"/>
        <v>3517</v>
      </c>
      <c r="F29" s="39">
        <f t="shared" si="6"/>
        <v>817</v>
      </c>
      <c r="G29" s="39">
        <f t="shared" si="6"/>
        <v>-639647</v>
      </c>
      <c r="H29" s="14">
        <f t="shared" si="0"/>
        <v>-78292.16646266829</v>
      </c>
      <c r="I29" s="40">
        <f t="shared" si="6"/>
        <v>853953</v>
      </c>
      <c r="J29" s="208">
        <v>3517</v>
      </c>
      <c r="K29" s="197">
        <v>817</v>
      </c>
      <c r="L29" s="197">
        <v>-639647</v>
      </c>
      <c r="M29" s="158">
        <f t="shared" si="2"/>
        <v>-78292.16646266829</v>
      </c>
      <c r="N29" s="214">
        <v>853953</v>
      </c>
      <c r="O29" s="218"/>
      <c r="P29" s="197"/>
      <c r="Q29" s="197"/>
      <c r="R29" s="158" t="e">
        <f t="shared" si="3"/>
        <v>#DIV/0!</v>
      </c>
      <c r="S29" s="214"/>
      <c r="T29" s="218"/>
      <c r="U29" s="220"/>
      <c r="V29" s="197"/>
      <c r="W29" s="158" t="e">
        <f t="shared" si="4"/>
        <v>#DIV/0!</v>
      </c>
      <c r="X29" s="219"/>
    </row>
    <row r="30" spans="1:24" s="6" customFormat="1" ht="9.75" x14ac:dyDescent="0.2">
      <c r="A30" s="180" t="s">
        <v>52</v>
      </c>
      <c r="B30" s="181" t="s">
        <v>51</v>
      </c>
      <c r="C30" s="182"/>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18"/>
      <c r="U30" s="220"/>
      <c r="V30" s="197"/>
      <c r="W30" s="158" t="e">
        <f t="shared" si="4"/>
        <v>#DIV/0!</v>
      </c>
      <c r="X30" s="219"/>
    </row>
    <row r="31" spans="1:24" s="23" customFormat="1" ht="9.75" x14ac:dyDescent="0.2">
      <c r="A31" s="180" t="s">
        <v>53</v>
      </c>
      <c r="B31" s="255" t="s">
        <v>66</v>
      </c>
      <c r="C31" s="256"/>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7"/>
      <c r="U31" s="228"/>
      <c r="V31" s="224"/>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1699702.4800000004</v>
      </c>
      <c r="H33" s="25" t="e">
        <f t="shared" si="0"/>
        <v>#DIV/0!</v>
      </c>
      <c r="I33" s="29">
        <f>I6-I11</f>
        <v>-1590572.8600000031</v>
      </c>
      <c r="J33" s="29">
        <f t="shared" ref="J33:K33" si="8">J6-J11</f>
        <v>0</v>
      </c>
      <c r="K33" s="29">
        <f t="shared" si="8"/>
        <v>0</v>
      </c>
      <c r="L33" s="29">
        <f>L6-L11</f>
        <v>1699702.88</v>
      </c>
      <c r="M33" s="19" t="e">
        <f t="shared" si="2"/>
        <v>#DIV/0!</v>
      </c>
      <c r="N33" s="29">
        <f t="shared" ref="N33:Q33" si="9">N6-N11</f>
        <v>-1590572.8600000003</v>
      </c>
      <c r="O33" s="29">
        <f t="shared" si="9"/>
        <v>0</v>
      </c>
      <c r="P33" s="29">
        <f t="shared" si="9"/>
        <v>0</v>
      </c>
      <c r="Q33" s="29">
        <f t="shared" si="9"/>
        <v>-0.39999999850988388</v>
      </c>
      <c r="R33" s="19" t="e">
        <f t="shared" si="3"/>
        <v>#DIV/0!</v>
      </c>
      <c r="S33" s="29">
        <f t="shared" ref="S33:V33" si="10">S6-S11</f>
        <v>0</v>
      </c>
      <c r="T33" s="29">
        <f t="shared" si="10"/>
        <v>126359</v>
      </c>
      <c r="U33" s="29">
        <f t="shared" si="10"/>
        <v>126359</v>
      </c>
      <c r="V33" s="29">
        <f t="shared" si="10"/>
        <v>128323.21999999997</v>
      </c>
      <c r="W33" s="19">
        <f t="shared" si="4"/>
        <v>101.55447573975734</v>
      </c>
      <c r="X33" s="29">
        <f>X6-X11</f>
        <v>78334.589999999967</v>
      </c>
    </row>
    <row r="34" spans="1:24" s="4" customFormat="1" ht="9" x14ac:dyDescent="0.2">
      <c r="A34" s="187" t="s">
        <v>56</v>
      </c>
      <c r="B34" s="841" t="s">
        <v>24</v>
      </c>
      <c r="C34" s="842"/>
      <c r="D34" s="188" t="s">
        <v>25</v>
      </c>
      <c r="E34" s="142">
        <v>22089</v>
      </c>
      <c r="F34" s="143">
        <v>23148</v>
      </c>
      <c r="G34" s="143">
        <v>24807</v>
      </c>
      <c r="H34" s="12">
        <f t="shared" si="0"/>
        <v>107.16692586832555</v>
      </c>
      <c r="I34" s="247">
        <v>24742</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55</v>
      </c>
      <c r="F35" s="145">
        <v>56</v>
      </c>
      <c r="G35" s="145">
        <v>53</v>
      </c>
      <c r="H35" s="232">
        <f t="shared" si="0"/>
        <v>94.642857142857139</v>
      </c>
      <c r="I35" s="248">
        <v>50</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64</v>
      </c>
      <c r="F36" s="249">
        <v>66</v>
      </c>
      <c r="G36" s="249">
        <v>63</v>
      </c>
      <c r="H36" s="233">
        <f t="shared" si="0"/>
        <v>95.454545454545453</v>
      </c>
      <c r="I36" s="250">
        <v>57</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07"/>
  <sheetViews>
    <sheetView tabSelected="1" zoomScaleNormal="100" workbookViewId="0"/>
  </sheetViews>
  <sheetFormatPr defaultRowHeight="12.75" x14ac:dyDescent="0.2"/>
  <cols>
    <col min="1" max="1" width="74.75" style="61" customWidth="1"/>
    <col min="2" max="9" width="23.75" style="61" customWidth="1"/>
    <col min="13" max="13" width="17.75" bestFit="1" customWidth="1"/>
    <col min="15" max="15" width="15.5" bestFit="1" customWidth="1"/>
  </cols>
  <sheetData>
    <row r="1" spans="1:9" ht="18.75" x14ac:dyDescent="0.3">
      <c r="A1" s="62" t="s">
        <v>87</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555" t="s">
        <v>25</v>
      </c>
      <c r="D5" s="788" t="s">
        <v>176</v>
      </c>
      <c r="E5" s="788"/>
      <c r="F5" s="788"/>
      <c r="G5" s="788"/>
      <c r="H5" s="788"/>
      <c r="I5" s="788"/>
    </row>
    <row r="6" spans="1:9" s="87" customFormat="1" ht="11.25" x14ac:dyDescent="0.2">
      <c r="A6" s="792" t="s">
        <v>177</v>
      </c>
      <c r="B6" s="792"/>
      <c r="C6" s="283">
        <f>SUM(C7:C9)</f>
        <v>277220.13</v>
      </c>
      <c r="D6" s="793"/>
      <c r="E6" s="794"/>
      <c r="F6" s="794"/>
      <c r="G6" s="794"/>
      <c r="H6" s="794"/>
      <c r="I6" s="795"/>
    </row>
    <row r="7" spans="1:9" s="87" customFormat="1" ht="82.5" customHeight="1" x14ac:dyDescent="0.2">
      <c r="A7" s="796" t="s">
        <v>69</v>
      </c>
      <c r="B7" s="797"/>
      <c r="C7" s="284">
        <v>99172.14</v>
      </c>
      <c r="D7" s="1139" t="s">
        <v>891</v>
      </c>
      <c r="E7" s="1140"/>
      <c r="F7" s="1140"/>
      <c r="G7" s="1140"/>
      <c r="H7" s="1140"/>
      <c r="I7" s="1141"/>
    </row>
    <row r="8" spans="1:9" s="88" customFormat="1" ht="13.5" customHeight="1" x14ac:dyDescent="0.15">
      <c r="A8" s="757" t="s">
        <v>178</v>
      </c>
      <c r="B8" s="758"/>
      <c r="C8" s="285">
        <v>178047.99</v>
      </c>
      <c r="D8" s="737" t="s">
        <v>892</v>
      </c>
      <c r="E8" s="737"/>
      <c r="F8" s="737"/>
      <c r="G8" s="737"/>
      <c r="H8" s="737"/>
      <c r="I8" s="737"/>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555" t="s">
        <v>68</v>
      </c>
      <c r="B13" s="555" t="s">
        <v>181</v>
      </c>
      <c r="C13" s="555"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177220.13</v>
      </c>
      <c r="D15" s="295"/>
      <c r="E15" s="296"/>
      <c r="F15" s="296"/>
      <c r="G15" s="296"/>
      <c r="H15" s="296"/>
      <c r="I15" s="296"/>
    </row>
    <row r="16" spans="1:9" s="87" customFormat="1" ht="11.25" x14ac:dyDescent="0.2">
      <c r="A16" s="763"/>
      <c r="B16" s="297" t="s">
        <v>71</v>
      </c>
      <c r="C16" s="298">
        <v>100000</v>
      </c>
      <c r="D16" s="299"/>
      <c r="E16" s="300"/>
      <c r="F16" s="300"/>
      <c r="G16" s="300"/>
      <c r="H16" s="300"/>
      <c r="I16" s="300"/>
    </row>
    <row r="17" spans="1:9" s="87" customFormat="1" ht="11.25" x14ac:dyDescent="0.2">
      <c r="A17" s="556" t="s">
        <v>177</v>
      </c>
      <c r="B17" s="302"/>
      <c r="C17" s="283">
        <f>SUM(C14:C16)</f>
        <v>277220.13</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553" t="s">
        <v>181</v>
      </c>
      <c r="B21" s="553" t="s">
        <v>185</v>
      </c>
      <c r="C21" s="307" t="s">
        <v>186</v>
      </c>
      <c r="D21" s="553" t="s">
        <v>187</v>
      </c>
      <c r="E21" s="553" t="s">
        <v>188</v>
      </c>
      <c r="F21" s="764" t="s">
        <v>189</v>
      </c>
      <c r="G21" s="764"/>
      <c r="H21" s="764"/>
      <c r="I21" s="764"/>
    </row>
    <row r="22" spans="1:9" s="87" customFormat="1" ht="81" customHeight="1" x14ac:dyDescent="0.2">
      <c r="A22" s="310" t="s">
        <v>190</v>
      </c>
      <c r="B22" s="685">
        <v>87724.05</v>
      </c>
      <c r="C22" s="685">
        <v>487436.76</v>
      </c>
      <c r="D22" s="685">
        <v>493710.14</v>
      </c>
      <c r="E22" s="148">
        <v>81450.67</v>
      </c>
      <c r="F22" s="1139" t="s">
        <v>1014</v>
      </c>
      <c r="G22" s="1140"/>
      <c r="H22" s="1140"/>
      <c r="I22" s="1141"/>
    </row>
    <row r="23" spans="1:9" s="87" customFormat="1" ht="24.75" customHeight="1" x14ac:dyDescent="0.2">
      <c r="A23" s="293" t="s">
        <v>191</v>
      </c>
      <c r="B23" s="148">
        <v>89231.99</v>
      </c>
      <c r="C23" s="148">
        <v>2331753</v>
      </c>
      <c r="D23" s="148">
        <v>1685157</v>
      </c>
      <c r="E23" s="148">
        <v>735827.99</v>
      </c>
      <c r="F23" s="1142" t="s">
        <v>1015</v>
      </c>
      <c r="G23" s="1143"/>
      <c r="H23" s="1143"/>
      <c r="I23" s="1144"/>
    </row>
    <row r="24" spans="1:9" s="87" customFormat="1" ht="35.25" customHeight="1" x14ac:dyDescent="0.2">
      <c r="A24" s="293" t="s">
        <v>71</v>
      </c>
      <c r="B24" s="148">
        <v>878.61</v>
      </c>
      <c r="C24" s="148">
        <v>100000</v>
      </c>
      <c r="D24" s="148">
        <v>100120</v>
      </c>
      <c r="E24" s="148">
        <v>758.61</v>
      </c>
      <c r="F24" s="1142" t="s">
        <v>893</v>
      </c>
      <c r="G24" s="1143"/>
      <c r="H24" s="1143"/>
      <c r="I24" s="1144"/>
    </row>
    <row r="25" spans="1:9" s="87" customFormat="1" ht="34.5" customHeight="1" x14ac:dyDescent="0.2">
      <c r="A25" s="311" t="s">
        <v>193</v>
      </c>
      <c r="B25" s="686">
        <v>24467.49</v>
      </c>
      <c r="C25" s="686">
        <v>73610.55</v>
      </c>
      <c r="D25" s="686">
        <v>70290</v>
      </c>
      <c r="E25" s="148">
        <v>27788.04</v>
      </c>
      <c r="F25" s="1145" t="s">
        <v>894</v>
      </c>
      <c r="G25" s="1146"/>
      <c r="H25" s="1146"/>
      <c r="I25" s="1147"/>
    </row>
    <row r="26" spans="1:9" s="88" customFormat="1" ht="10.5" x14ac:dyDescent="0.15">
      <c r="A26" s="670" t="s">
        <v>34</v>
      </c>
      <c r="B26" s="283">
        <f>SUM(B22:B25)</f>
        <v>202302.13999999998</v>
      </c>
      <c r="C26" s="283">
        <f t="shared" ref="C26:E26" si="0">SUM(C22:C25)</f>
        <v>2992800.3099999996</v>
      </c>
      <c r="D26" s="283">
        <f t="shared" si="0"/>
        <v>2349277.14</v>
      </c>
      <c r="E26" s="283">
        <f t="shared" si="0"/>
        <v>845825.31</v>
      </c>
      <c r="F26" s="1091"/>
      <c r="G26" s="1091"/>
      <c r="H26" s="1091"/>
      <c r="I26" s="1091"/>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555" t="s">
        <v>72</v>
      </c>
      <c r="B30" s="555" t="s">
        <v>25</v>
      </c>
      <c r="C30" s="554" t="s">
        <v>73</v>
      </c>
      <c r="D30" s="788" t="s">
        <v>196</v>
      </c>
      <c r="E30" s="788"/>
      <c r="F30" s="788"/>
      <c r="G30" s="788"/>
      <c r="H30" s="788"/>
      <c r="I30" s="788"/>
    </row>
    <row r="31" spans="1:9" s="87" customFormat="1" ht="11.25" x14ac:dyDescent="0.2">
      <c r="A31" s="448" t="s">
        <v>161</v>
      </c>
      <c r="B31" s="131">
        <v>14400</v>
      </c>
      <c r="C31" s="589" t="s">
        <v>895</v>
      </c>
      <c r="D31" s="1130" t="s">
        <v>1016</v>
      </c>
      <c r="E31" s="1131"/>
      <c r="F31" s="1131"/>
      <c r="G31" s="1131"/>
      <c r="H31" s="1131"/>
      <c r="I31" s="1132"/>
    </row>
    <row r="32" spans="1:9" s="87" customFormat="1" ht="11.25" x14ac:dyDescent="0.2">
      <c r="A32" s="448" t="s">
        <v>161</v>
      </c>
      <c r="B32" s="131">
        <v>67540</v>
      </c>
      <c r="C32" s="589" t="s">
        <v>896</v>
      </c>
      <c r="D32" s="1133"/>
      <c r="E32" s="1134"/>
      <c r="F32" s="1134"/>
      <c r="G32" s="1134"/>
      <c r="H32" s="1134"/>
      <c r="I32" s="1135"/>
    </row>
    <row r="33" spans="1:9" s="87" customFormat="1" ht="11.25" x14ac:dyDescent="0.2">
      <c r="A33" s="448" t="s">
        <v>161</v>
      </c>
      <c r="B33" s="131">
        <v>31798</v>
      </c>
      <c r="C33" s="589" t="s">
        <v>897</v>
      </c>
      <c r="D33" s="1133"/>
      <c r="E33" s="1134"/>
      <c r="F33" s="1134"/>
      <c r="G33" s="1134"/>
      <c r="H33" s="1134"/>
      <c r="I33" s="1135"/>
    </row>
    <row r="34" spans="1:9" s="87" customFormat="1" ht="11.25" x14ac:dyDescent="0.2">
      <c r="A34" s="448" t="s">
        <v>161</v>
      </c>
      <c r="B34" s="131">
        <v>17520</v>
      </c>
      <c r="C34" s="589" t="s">
        <v>898</v>
      </c>
      <c r="D34" s="1133"/>
      <c r="E34" s="1134"/>
      <c r="F34" s="1134"/>
      <c r="G34" s="1134"/>
      <c r="H34" s="1134"/>
      <c r="I34" s="1135"/>
    </row>
    <row r="35" spans="1:9" s="87" customFormat="1" ht="11.25" x14ac:dyDescent="0.2">
      <c r="A35" s="448" t="s">
        <v>161</v>
      </c>
      <c r="B35" s="132">
        <v>5943</v>
      </c>
      <c r="C35" s="590" t="s">
        <v>899</v>
      </c>
      <c r="D35" s="1136"/>
      <c r="E35" s="1137"/>
      <c r="F35" s="1137"/>
      <c r="G35" s="1137"/>
      <c r="H35" s="1137"/>
      <c r="I35" s="1138"/>
    </row>
    <row r="36" spans="1:9" s="88" customFormat="1" ht="11.25" x14ac:dyDescent="0.2">
      <c r="A36" s="315" t="s">
        <v>34</v>
      </c>
      <c r="B36" s="316">
        <f>SUM(B31:B35)</f>
        <v>137201</v>
      </c>
      <c r="C36" s="777"/>
      <c r="D36" s="777"/>
      <c r="E36" s="777"/>
      <c r="F36" s="777"/>
      <c r="G36" s="777"/>
      <c r="H36" s="777"/>
      <c r="I36" s="777"/>
    </row>
    <row r="37" spans="1:9" s="87" customFormat="1" ht="11.25" x14ac:dyDescent="0.2">
      <c r="C37" s="89"/>
    </row>
    <row r="38" spans="1:9" s="87" customFormat="1" ht="11.25" x14ac:dyDescent="0.2">
      <c r="A38" s="742" t="s">
        <v>197</v>
      </c>
      <c r="B38" s="742"/>
      <c r="C38" s="742"/>
      <c r="D38" s="742"/>
      <c r="E38" s="742"/>
      <c r="F38" s="742"/>
      <c r="G38" s="742"/>
      <c r="H38" s="742"/>
      <c r="I38" s="742"/>
    </row>
    <row r="39" spans="1:9" s="87" customFormat="1" ht="11.25" x14ac:dyDescent="0.2">
      <c r="C39" s="89"/>
    </row>
    <row r="40" spans="1:9" s="87" customFormat="1" ht="11.25" x14ac:dyDescent="0.2">
      <c r="A40" s="555" t="s">
        <v>72</v>
      </c>
      <c r="B40" s="555" t="s">
        <v>25</v>
      </c>
      <c r="C40" s="554" t="s">
        <v>73</v>
      </c>
      <c r="D40" s="788" t="s">
        <v>196</v>
      </c>
      <c r="E40" s="788"/>
      <c r="F40" s="788"/>
      <c r="G40" s="788"/>
      <c r="H40" s="788"/>
      <c r="I40" s="788"/>
    </row>
    <row r="41" spans="1:9" s="87" customFormat="1" ht="11.25" x14ac:dyDescent="0.2">
      <c r="A41" s="313"/>
      <c r="B41" s="131">
        <v>0</v>
      </c>
      <c r="C41" s="314"/>
      <c r="D41" s="778"/>
      <c r="E41" s="779"/>
      <c r="F41" s="779"/>
      <c r="G41" s="779"/>
      <c r="H41" s="779"/>
      <c r="I41" s="780"/>
    </row>
    <row r="42" spans="1:9" s="88" customFormat="1" ht="10.5" x14ac:dyDescent="0.15">
      <c r="A42" s="315" t="s">
        <v>34</v>
      </c>
      <c r="B42" s="316">
        <f>SUM(B41:B41)</f>
        <v>0</v>
      </c>
      <c r="C42" s="776"/>
      <c r="D42" s="776"/>
      <c r="E42" s="776"/>
      <c r="F42" s="776"/>
      <c r="G42" s="776"/>
      <c r="H42" s="776"/>
      <c r="I42" s="776"/>
    </row>
    <row r="43" spans="1:9" s="87" customFormat="1" ht="11.25" x14ac:dyDescent="0.2">
      <c r="C43" s="89"/>
    </row>
    <row r="44" spans="1:9" s="87" customFormat="1" ht="11.25" x14ac:dyDescent="0.2">
      <c r="A44" s="742" t="s">
        <v>198</v>
      </c>
      <c r="B44" s="742"/>
      <c r="C44" s="742"/>
      <c r="D44" s="742"/>
      <c r="E44" s="742"/>
      <c r="F44" s="742"/>
      <c r="G44" s="742"/>
      <c r="H44" s="742"/>
      <c r="I44" s="742"/>
    </row>
    <row r="45" spans="1:9" s="87" customFormat="1" ht="11.25" x14ac:dyDescent="0.2">
      <c r="C45" s="89"/>
    </row>
    <row r="46" spans="1:9" s="87" customFormat="1" ht="21" x14ac:dyDescent="0.2">
      <c r="A46" s="555" t="s">
        <v>25</v>
      </c>
      <c r="B46" s="307" t="s">
        <v>100</v>
      </c>
      <c r="C46" s="765" t="s">
        <v>74</v>
      </c>
      <c r="D46" s="765"/>
      <c r="E46" s="765"/>
      <c r="F46" s="765"/>
      <c r="G46" s="765"/>
      <c r="H46" s="765"/>
      <c r="I46" s="765"/>
    </row>
    <row r="47" spans="1:9" s="87" customFormat="1" ht="11.25" x14ac:dyDescent="0.2">
      <c r="A47" s="124">
        <v>0</v>
      </c>
      <c r="B47" s="124">
        <v>0</v>
      </c>
      <c r="C47" s="847" t="s">
        <v>1017</v>
      </c>
      <c r="D47" s="847"/>
      <c r="E47" s="847"/>
      <c r="F47" s="847"/>
      <c r="G47" s="847"/>
      <c r="H47" s="847"/>
      <c r="I47" s="847"/>
    </row>
    <row r="48" spans="1:9" s="88" customFormat="1" ht="10.5" x14ac:dyDescent="0.15">
      <c r="A48" s="283">
        <f>SUM(A47:A47)</f>
        <v>0</v>
      </c>
      <c r="B48" s="283">
        <f>SUM(B47:B47)</f>
        <v>0</v>
      </c>
      <c r="C48" s="767" t="s">
        <v>34</v>
      </c>
      <c r="D48" s="767"/>
      <c r="E48" s="767"/>
      <c r="F48" s="767"/>
      <c r="G48" s="767"/>
      <c r="H48" s="767"/>
      <c r="I48" s="767"/>
    </row>
    <row r="49" spans="1:9" s="87" customFormat="1" ht="11.25" x14ac:dyDescent="0.2">
      <c r="C49" s="89"/>
    </row>
    <row r="50" spans="1:9" s="87" customFormat="1" ht="11.25" x14ac:dyDescent="0.2">
      <c r="A50" s="742" t="s">
        <v>199</v>
      </c>
      <c r="B50" s="742"/>
      <c r="C50" s="742"/>
      <c r="D50" s="742"/>
      <c r="E50" s="742"/>
      <c r="F50" s="742"/>
      <c r="G50" s="742"/>
      <c r="H50" s="742"/>
      <c r="I50" s="742"/>
    </row>
    <row r="51" spans="1:9" s="87" customFormat="1" ht="11.25" x14ac:dyDescent="0.2">
      <c r="C51" s="89"/>
    </row>
    <row r="52" spans="1:9" s="151" customFormat="1" ht="31.5" x14ac:dyDescent="0.25">
      <c r="A52" s="743" t="s">
        <v>101</v>
      </c>
      <c r="B52" s="744"/>
      <c r="C52" s="553" t="s">
        <v>102</v>
      </c>
      <c r="D52" s="553" t="s">
        <v>103</v>
      </c>
      <c r="E52" s="553" t="s">
        <v>104</v>
      </c>
      <c r="F52" s="553" t="s">
        <v>105</v>
      </c>
      <c r="G52" s="553" t="s">
        <v>94</v>
      </c>
    </row>
    <row r="53" spans="1:9" s="87" customFormat="1" ht="40.5" customHeight="1" x14ac:dyDescent="0.2">
      <c r="A53" s="752" t="s">
        <v>1020</v>
      </c>
      <c r="B53" s="752"/>
      <c r="C53" s="318" t="s">
        <v>163</v>
      </c>
      <c r="D53" s="591">
        <v>1864650</v>
      </c>
      <c r="E53" s="591">
        <v>0</v>
      </c>
      <c r="F53" s="324">
        <v>42107</v>
      </c>
      <c r="G53" s="324">
        <v>42155</v>
      </c>
    </row>
    <row r="54" spans="1:9" s="87" customFormat="1" ht="30.75" customHeight="1" x14ac:dyDescent="0.2">
      <c r="A54" s="737"/>
      <c r="B54" s="737"/>
      <c r="C54" s="350" t="s">
        <v>108</v>
      </c>
      <c r="D54" s="351"/>
      <c r="E54" s="351">
        <v>1864650</v>
      </c>
      <c r="F54" s="327">
        <v>42107</v>
      </c>
      <c r="G54" s="327">
        <v>42155</v>
      </c>
    </row>
    <row r="55" spans="1:9" s="87" customFormat="1" ht="11.25" customHeight="1" x14ac:dyDescent="0.2">
      <c r="A55" s="737" t="s">
        <v>1019</v>
      </c>
      <c r="B55" s="737"/>
      <c r="C55" s="350" t="s">
        <v>117</v>
      </c>
      <c r="D55" s="351">
        <v>170000</v>
      </c>
      <c r="E55" s="351"/>
      <c r="F55" s="327">
        <v>42171</v>
      </c>
      <c r="G55" s="327">
        <v>42185</v>
      </c>
    </row>
    <row r="56" spans="1:9" s="87" customFormat="1" ht="11.25" x14ac:dyDescent="0.2">
      <c r="A56" s="737"/>
      <c r="B56" s="737"/>
      <c r="C56" s="350" t="s">
        <v>107</v>
      </c>
      <c r="D56" s="351"/>
      <c r="E56" s="351">
        <v>55000</v>
      </c>
      <c r="F56" s="327">
        <v>42171</v>
      </c>
      <c r="G56" s="327">
        <v>42185</v>
      </c>
    </row>
    <row r="57" spans="1:9" s="87" customFormat="1" ht="11.25" x14ac:dyDescent="0.2">
      <c r="A57" s="737"/>
      <c r="B57" s="737"/>
      <c r="C57" s="350" t="s">
        <v>705</v>
      </c>
      <c r="D57" s="351"/>
      <c r="E57" s="351">
        <v>60000</v>
      </c>
      <c r="F57" s="327">
        <v>42171</v>
      </c>
      <c r="G57" s="327">
        <v>42185</v>
      </c>
    </row>
    <row r="58" spans="1:9" s="87" customFormat="1" ht="11.25" x14ac:dyDescent="0.2">
      <c r="A58" s="737"/>
      <c r="B58" s="737"/>
      <c r="C58" s="350" t="s">
        <v>113</v>
      </c>
      <c r="D58" s="351"/>
      <c r="E58" s="351">
        <v>55000</v>
      </c>
      <c r="F58" s="327">
        <v>42171</v>
      </c>
      <c r="G58" s="327">
        <v>42185</v>
      </c>
    </row>
    <row r="59" spans="1:9" s="87" customFormat="1" ht="44.25" customHeight="1" x14ac:dyDescent="0.2">
      <c r="A59" s="737" t="s">
        <v>1018</v>
      </c>
      <c r="B59" s="737"/>
      <c r="C59" s="350" t="s">
        <v>129</v>
      </c>
      <c r="D59" s="351"/>
      <c r="E59" s="351">
        <v>300</v>
      </c>
      <c r="F59" s="327">
        <v>42185</v>
      </c>
      <c r="G59" s="327">
        <v>42185</v>
      </c>
    </row>
    <row r="60" spans="1:9" s="87" customFormat="1" ht="11.25" x14ac:dyDescent="0.2">
      <c r="A60" s="737"/>
      <c r="B60" s="737"/>
      <c r="C60" s="350" t="s">
        <v>900</v>
      </c>
      <c r="D60" s="351"/>
      <c r="E60" s="351">
        <v>1600</v>
      </c>
      <c r="F60" s="327">
        <v>42185</v>
      </c>
      <c r="G60" s="327">
        <v>42185</v>
      </c>
    </row>
    <row r="61" spans="1:9" s="87" customFormat="1" ht="11.25" x14ac:dyDescent="0.2">
      <c r="A61" s="737"/>
      <c r="B61" s="737"/>
      <c r="C61" s="350" t="s">
        <v>506</v>
      </c>
      <c r="D61" s="351"/>
      <c r="E61" s="351">
        <v>-1900</v>
      </c>
      <c r="F61" s="327">
        <v>42185</v>
      </c>
      <c r="G61" s="327">
        <v>42185</v>
      </c>
    </row>
    <row r="62" spans="1:9" s="87" customFormat="1" ht="11.25" customHeight="1" x14ac:dyDescent="0.2">
      <c r="A62" s="737" t="s">
        <v>1028</v>
      </c>
      <c r="B62" s="737"/>
      <c r="C62" s="350" t="s">
        <v>108</v>
      </c>
      <c r="D62" s="351"/>
      <c r="E62" s="351">
        <v>-144000</v>
      </c>
      <c r="F62" s="327">
        <v>42332</v>
      </c>
      <c r="G62" s="327">
        <v>42332</v>
      </c>
    </row>
    <row r="63" spans="1:9" s="87" customFormat="1" ht="11.25" x14ac:dyDescent="0.2">
      <c r="A63" s="737"/>
      <c r="B63" s="737"/>
      <c r="C63" s="350" t="s">
        <v>558</v>
      </c>
      <c r="D63" s="351"/>
      <c r="E63" s="351">
        <v>117530</v>
      </c>
      <c r="F63" s="327">
        <v>42332</v>
      </c>
      <c r="G63" s="327">
        <v>42332</v>
      </c>
    </row>
    <row r="64" spans="1:9" s="87" customFormat="1" ht="11.25" x14ac:dyDescent="0.2">
      <c r="A64" s="737"/>
      <c r="B64" s="737"/>
      <c r="C64" s="350" t="s">
        <v>713</v>
      </c>
      <c r="D64" s="351"/>
      <c r="E64" s="351">
        <v>12350</v>
      </c>
      <c r="F64" s="327">
        <v>42332</v>
      </c>
      <c r="G64" s="327">
        <v>42332</v>
      </c>
    </row>
    <row r="65" spans="1:7" s="87" customFormat="1" ht="11.25" x14ac:dyDescent="0.2">
      <c r="A65" s="737"/>
      <c r="B65" s="737"/>
      <c r="C65" s="350" t="s">
        <v>901</v>
      </c>
      <c r="D65" s="351"/>
      <c r="E65" s="351">
        <v>14120</v>
      </c>
      <c r="F65" s="327">
        <v>42332</v>
      </c>
      <c r="G65" s="327">
        <v>42332</v>
      </c>
    </row>
    <row r="66" spans="1:7" s="87" customFormat="1" ht="11.25" customHeight="1" x14ac:dyDescent="0.2">
      <c r="A66" s="867" t="s">
        <v>1243</v>
      </c>
      <c r="B66" s="867"/>
      <c r="C66" s="350" t="s">
        <v>902</v>
      </c>
      <c r="D66" s="351">
        <v>151580</v>
      </c>
      <c r="E66" s="351"/>
      <c r="F66" s="327">
        <v>42360</v>
      </c>
      <c r="G66" s="327">
        <v>42360</v>
      </c>
    </row>
    <row r="67" spans="1:7" s="87" customFormat="1" ht="11.25" customHeight="1" x14ac:dyDescent="0.2">
      <c r="A67" s="867"/>
      <c r="B67" s="867"/>
      <c r="C67" s="350" t="s">
        <v>903</v>
      </c>
      <c r="D67" s="351">
        <v>497000</v>
      </c>
      <c r="E67" s="351"/>
      <c r="F67" s="327">
        <v>42360</v>
      </c>
      <c r="G67" s="327">
        <v>42360</v>
      </c>
    </row>
    <row r="68" spans="1:7" s="87" customFormat="1" ht="11.25" customHeight="1" x14ac:dyDescent="0.2">
      <c r="A68" s="867"/>
      <c r="B68" s="867"/>
      <c r="C68" s="350" t="s">
        <v>904</v>
      </c>
      <c r="D68" s="351">
        <v>51890</v>
      </c>
      <c r="E68" s="351"/>
      <c r="F68" s="327">
        <v>42360</v>
      </c>
      <c r="G68" s="327">
        <v>42360</v>
      </c>
    </row>
    <row r="69" spans="1:7" s="87" customFormat="1" ht="11.25" customHeight="1" x14ac:dyDescent="0.2">
      <c r="A69" s="867"/>
      <c r="B69" s="867"/>
      <c r="C69" s="350" t="s">
        <v>490</v>
      </c>
      <c r="D69" s="351">
        <v>25000</v>
      </c>
      <c r="E69" s="351"/>
      <c r="F69" s="327">
        <v>42360</v>
      </c>
      <c r="G69" s="327">
        <v>42360</v>
      </c>
    </row>
    <row r="70" spans="1:7" s="87" customFormat="1" ht="11.25" customHeight="1" x14ac:dyDescent="0.2">
      <c r="A70" s="867"/>
      <c r="B70" s="867"/>
      <c r="C70" s="350" t="s">
        <v>905</v>
      </c>
      <c r="D70" s="351">
        <v>60000</v>
      </c>
      <c r="E70" s="351"/>
      <c r="F70" s="327">
        <v>42360</v>
      </c>
      <c r="G70" s="327">
        <v>42360</v>
      </c>
    </row>
    <row r="71" spans="1:7" s="87" customFormat="1" ht="11.25" customHeight="1" x14ac:dyDescent="0.2">
      <c r="A71" s="867"/>
      <c r="B71" s="867"/>
      <c r="C71" s="350" t="s">
        <v>906</v>
      </c>
      <c r="D71" s="351">
        <v>98000</v>
      </c>
      <c r="E71" s="351"/>
      <c r="F71" s="327">
        <v>42360</v>
      </c>
      <c r="G71" s="327">
        <v>42360</v>
      </c>
    </row>
    <row r="72" spans="1:7" s="87" customFormat="1" ht="11.25" customHeight="1" x14ac:dyDescent="0.2">
      <c r="A72" s="867"/>
      <c r="B72" s="867"/>
      <c r="C72" s="350" t="s">
        <v>907</v>
      </c>
      <c r="D72" s="351">
        <v>30000</v>
      </c>
      <c r="E72" s="351"/>
      <c r="F72" s="327">
        <v>42360</v>
      </c>
      <c r="G72" s="327">
        <v>42360</v>
      </c>
    </row>
    <row r="73" spans="1:7" s="87" customFormat="1" ht="11.25" customHeight="1" x14ac:dyDescent="0.2">
      <c r="A73" s="867"/>
      <c r="B73" s="867"/>
      <c r="C73" s="350" t="s">
        <v>117</v>
      </c>
      <c r="D73" s="351">
        <v>100120</v>
      </c>
      <c r="E73" s="351"/>
      <c r="F73" s="327">
        <v>42360</v>
      </c>
      <c r="G73" s="327">
        <v>42360</v>
      </c>
    </row>
    <row r="74" spans="1:7" s="87" customFormat="1" ht="11.25" customHeight="1" x14ac:dyDescent="0.2">
      <c r="A74" s="867"/>
      <c r="B74" s="867"/>
      <c r="C74" s="350" t="s">
        <v>908</v>
      </c>
      <c r="D74" s="351">
        <v>17950</v>
      </c>
      <c r="E74" s="351"/>
      <c r="F74" s="327">
        <v>42360</v>
      </c>
      <c r="G74" s="327">
        <v>42360</v>
      </c>
    </row>
    <row r="75" spans="1:7" s="87" customFormat="1" ht="11.25" customHeight="1" x14ac:dyDescent="0.2">
      <c r="A75" s="867"/>
      <c r="B75" s="867"/>
      <c r="C75" s="350" t="s">
        <v>909</v>
      </c>
      <c r="D75" s="351">
        <v>-1000</v>
      </c>
      <c r="E75" s="351"/>
      <c r="F75" s="327">
        <v>42360</v>
      </c>
      <c r="G75" s="327">
        <v>42360</v>
      </c>
    </row>
    <row r="76" spans="1:7" s="87" customFormat="1" ht="11.25" customHeight="1" x14ac:dyDescent="0.2">
      <c r="A76" s="867"/>
      <c r="B76" s="867"/>
      <c r="C76" s="592" t="s">
        <v>910</v>
      </c>
      <c r="D76" s="351"/>
      <c r="E76" s="351">
        <v>60170</v>
      </c>
      <c r="F76" s="327">
        <v>42360</v>
      </c>
      <c r="G76" s="327">
        <v>42360</v>
      </c>
    </row>
    <row r="77" spans="1:7" s="87" customFormat="1" ht="11.25" customHeight="1" x14ac:dyDescent="0.2">
      <c r="A77" s="867"/>
      <c r="B77" s="867"/>
      <c r="C77" s="592" t="s">
        <v>911</v>
      </c>
      <c r="D77" s="351"/>
      <c r="E77" s="351">
        <v>14720</v>
      </c>
      <c r="F77" s="327">
        <v>42360</v>
      </c>
      <c r="G77" s="327">
        <v>42360</v>
      </c>
    </row>
    <row r="78" spans="1:7" s="87" customFormat="1" ht="11.25" customHeight="1" x14ac:dyDescent="0.2">
      <c r="A78" s="867"/>
      <c r="B78" s="867"/>
      <c r="C78" s="592" t="s">
        <v>912</v>
      </c>
      <c r="D78" s="351"/>
      <c r="E78" s="351">
        <v>-23010</v>
      </c>
      <c r="F78" s="327">
        <v>42360</v>
      </c>
      <c r="G78" s="327">
        <v>42360</v>
      </c>
    </row>
    <row r="79" spans="1:7" s="87" customFormat="1" ht="11.25" customHeight="1" x14ac:dyDescent="0.2">
      <c r="A79" s="867"/>
      <c r="B79" s="867"/>
      <c r="C79" s="592" t="s">
        <v>913</v>
      </c>
      <c r="D79" s="351"/>
      <c r="E79" s="351">
        <v>32870</v>
      </c>
      <c r="F79" s="327">
        <v>42360</v>
      </c>
      <c r="G79" s="327">
        <v>42360</v>
      </c>
    </row>
    <row r="80" spans="1:7" s="87" customFormat="1" ht="11.25" customHeight="1" x14ac:dyDescent="0.2">
      <c r="A80" s="867"/>
      <c r="B80" s="867"/>
      <c r="C80" s="592" t="s">
        <v>914</v>
      </c>
      <c r="D80" s="351"/>
      <c r="E80" s="351">
        <v>-184100</v>
      </c>
      <c r="F80" s="327">
        <v>42360</v>
      </c>
      <c r="G80" s="327">
        <v>42360</v>
      </c>
    </row>
    <row r="81" spans="1:7" s="87" customFormat="1" ht="11.25" customHeight="1" x14ac:dyDescent="0.2">
      <c r="A81" s="867"/>
      <c r="B81" s="867"/>
      <c r="C81" s="592" t="s">
        <v>915</v>
      </c>
      <c r="D81" s="351"/>
      <c r="E81" s="351">
        <v>2390</v>
      </c>
      <c r="F81" s="327">
        <v>42360</v>
      </c>
      <c r="G81" s="327">
        <v>42360</v>
      </c>
    </row>
    <row r="82" spans="1:7" s="87" customFormat="1" ht="11.25" customHeight="1" x14ac:dyDescent="0.2">
      <c r="A82" s="867"/>
      <c r="B82" s="867"/>
      <c r="C82" s="592" t="s">
        <v>916</v>
      </c>
      <c r="D82" s="351"/>
      <c r="E82" s="351">
        <v>16490</v>
      </c>
      <c r="F82" s="327">
        <v>42360</v>
      </c>
      <c r="G82" s="327">
        <v>42360</v>
      </c>
    </row>
    <row r="83" spans="1:7" s="87" customFormat="1" ht="11.25" customHeight="1" x14ac:dyDescent="0.2">
      <c r="A83" s="867"/>
      <c r="B83" s="867"/>
      <c r="C83" s="592" t="s">
        <v>917</v>
      </c>
      <c r="D83" s="351"/>
      <c r="E83" s="351">
        <v>9880</v>
      </c>
      <c r="F83" s="327">
        <v>42360</v>
      </c>
      <c r="G83" s="327">
        <v>42360</v>
      </c>
    </row>
    <row r="84" spans="1:7" s="87" customFormat="1" ht="11.25" customHeight="1" x14ac:dyDescent="0.2">
      <c r="A84" s="867"/>
      <c r="B84" s="867"/>
      <c r="C84" s="592" t="s">
        <v>918</v>
      </c>
      <c r="D84" s="351"/>
      <c r="E84" s="351">
        <v>12350</v>
      </c>
      <c r="F84" s="327">
        <v>42360</v>
      </c>
      <c r="G84" s="327">
        <v>42360</v>
      </c>
    </row>
    <row r="85" spans="1:7" s="87" customFormat="1" ht="11.25" customHeight="1" x14ac:dyDescent="0.2">
      <c r="A85" s="867"/>
      <c r="B85" s="867"/>
      <c r="C85" s="592" t="s">
        <v>919</v>
      </c>
      <c r="D85" s="351"/>
      <c r="E85" s="351">
        <v>18840</v>
      </c>
      <c r="F85" s="327">
        <v>42360</v>
      </c>
      <c r="G85" s="327">
        <v>42360</v>
      </c>
    </row>
    <row r="86" spans="1:7" s="87" customFormat="1" ht="11.25" customHeight="1" x14ac:dyDescent="0.2">
      <c r="A86" s="867"/>
      <c r="B86" s="867"/>
      <c r="C86" s="592" t="s">
        <v>920</v>
      </c>
      <c r="D86" s="351"/>
      <c r="E86" s="351">
        <v>-13530</v>
      </c>
      <c r="F86" s="327">
        <v>42360</v>
      </c>
      <c r="G86" s="327">
        <v>42360</v>
      </c>
    </row>
    <row r="87" spans="1:7" s="87" customFormat="1" ht="11.25" customHeight="1" x14ac:dyDescent="0.2">
      <c r="A87" s="867"/>
      <c r="B87" s="867"/>
      <c r="C87" s="592" t="s">
        <v>921</v>
      </c>
      <c r="D87" s="351"/>
      <c r="E87" s="351">
        <v>2400</v>
      </c>
      <c r="F87" s="327">
        <v>42360</v>
      </c>
      <c r="G87" s="327">
        <v>42360</v>
      </c>
    </row>
    <row r="88" spans="1:7" s="87" customFormat="1" ht="11.25" customHeight="1" x14ac:dyDescent="0.2">
      <c r="A88" s="867"/>
      <c r="B88" s="867"/>
      <c r="C88" s="592" t="s">
        <v>922</v>
      </c>
      <c r="D88" s="351"/>
      <c r="E88" s="351">
        <v>61910</v>
      </c>
      <c r="F88" s="327">
        <v>42360</v>
      </c>
      <c r="G88" s="327">
        <v>42360</v>
      </c>
    </row>
    <row r="89" spans="1:7" s="87" customFormat="1" ht="11.25" customHeight="1" x14ac:dyDescent="0.2">
      <c r="A89" s="867"/>
      <c r="B89" s="867"/>
      <c r="C89" s="592" t="s">
        <v>923</v>
      </c>
      <c r="D89" s="351"/>
      <c r="E89" s="351">
        <v>130060</v>
      </c>
      <c r="F89" s="327">
        <v>42360</v>
      </c>
      <c r="G89" s="327">
        <v>42360</v>
      </c>
    </row>
    <row r="90" spans="1:7" s="87" customFormat="1" ht="11.25" customHeight="1" x14ac:dyDescent="0.2">
      <c r="A90" s="867"/>
      <c r="B90" s="867"/>
      <c r="C90" s="592" t="s">
        <v>924</v>
      </c>
      <c r="D90" s="351"/>
      <c r="E90" s="351">
        <v>20150</v>
      </c>
      <c r="F90" s="327">
        <v>42360</v>
      </c>
      <c r="G90" s="327">
        <v>42360</v>
      </c>
    </row>
    <row r="91" spans="1:7" s="87" customFormat="1" ht="11.25" customHeight="1" x14ac:dyDescent="0.2">
      <c r="A91" s="867"/>
      <c r="B91" s="867"/>
      <c r="C91" s="592" t="s">
        <v>925</v>
      </c>
      <c r="D91" s="351"/>
      <c r="E91" s="351">
        <v>-52740</v>
      </c>
      <c r="F91" s="327">
        <v>42360</v>
      </c>
      <c r="G91" s="327">
        <v>42360</v>
      </c>
    </row>
    <row r="92" spans="1:7" s="87" customFormat="1" ht="11.25" customHeight="1" x14ac:dyDescent="0.2">
      <c r="A92" s="867"/>
      <c r="B92" s="867"/>
      <c r="C92" s="592" t="s">
        <v>926</v>
      </c>
      <c r="D92" s="351"/>
      <c r="E92" s="351">
        <v>194890</v>
      </c>
      <c r="F92" s="327">
        <v>42360</v>
      </c>
      <c r="G92" s="327">
        <v>42360</v>
      </c>
    </row>
    <row r="93" spans="1:7" s="87" customFormat="1" ht="11.25" customHeight="1" x14ac:dyDescent="0.2">
      <c r="A93" s="867"/>
      <c r="B93" s="867"/>
      <c r="C93" s="592" t="s">
        <v>927</v>
      </c>
      <c r="D93" s="351"/>
      <c r="E93" s="351">
        <v>-2000</v>
      </c>
      <c r="F93" s="327">
        <v>42360</v>
      </c>
      <c r="G93" s="327">
        <v>42360</v>
      </c>
    </row>
    <row r="94" spans="1:7" s="87" customFormat="1" ht="11.25" x14ac:dyDescent="0.2">
      <c r="A94" s="867"/>
      <c r="B94" s="867"/>
      <c r="C94" s="592" t="s">
        <v>928</v>
      </c>
      <c r="D94" s="351"/>
      <c r="E94" s="351">
        <v>1650</v>
      </c>
      <c r="F94" s="327">
        <v>42360</v>
      </c>
      <c r="G94" s="327">
        <v>42360</v>
      </c>
    </row>
    <row r="95" spans="1:7" s="87" customFormat="1" ht="11.25" x14ac:dyDescent="0.2">
      <c r="A95" s="867"/>
      <c r="B95" s="867"/>
      <c r="C95" s="592" t="s">
        <v>929</v>
      </c>
      <c r="D95" s="351"/>
      <c r="E95" s="351">
        <v>-135800</v>
      </c>
      <c r="F95" s="327">
        <v>42360</v>
      </c>
      <c r="G95" s="327">
        <v>42360</v>
      </c>
    </row>
    <row r="96" spans="1:7" s="87" customFormat="1" ht="11.25" x14ac:dyDescent="0.2">
      <c r="A96" s="867"/>
      <c r="B96" s="867"/>
      <c r="C96" s="592" t="s">
        <v>930</v>
      </c>
      <c r="D96" s="351"/>
      <c r="E96" s="351">
        <v>-41600</v>
      </c>
      <c r="F96" s="327">
        <v>42360</v>
      </c>
      <c r="G96" s="327">
        <v>42360</v>
      </c>
    </row>
    <row r="97" spans="1:7" s="87" customFormat="1" ht="11.25" x14ac:dyDescent="0.2">
      <c r="A97" s="867"/>
      <c r="B97" s="867"/>
      <c r="C97" s="592" t="s">
        <v>931</v>
      </c>
      <c r="D97" s="351"/>
      <c r="E97" s="351">
        <f>1090-40390</f>
        <v>-39300</v>
      </c>
      <c r="F97" s="327">
        <v>42360</v>
      </c>
      <c r="G97" s="327">
        <v>42360</v>
      </c>
    </row>
    <row r="98" spans="1:7" s="87" customFormat="1" ht="11.25" x14ac:dyDescent="0.2">
      <c r="A98" s="867"/>
      <c r="B98" s="867"/>
      <c r="C98" s="592" t="s">
        <v>932</v>
      </c>
      <c r="D98" s="351"/>
      <c r="E98" s="351">
        <f>19950+8530</f>
        <v>28480</v>
      </c>
      <c r="F98" s="327">
        <v>42360</v>
      </c>
      <c r="G98" s="327">
        <v>42360</v>
      </c>
    </row>
    <row r="99" spans="1:7" s="87" customFormat="1" ht="11.25" x14ac:dyDescent="0.2">
      <c r="A99" s="867"/>
      <c r="B99" s="867"/>
      <c r="C99" s="592" t="s">
        <v>933</v>
      </c>
      <c r="D99" s="351"/>
      <c r="E99" s="351">
        <v>-30450</v>
      </c>
      <c r="F99" s="327">
        <v>42360</v>
      </c>
      <c r="G99" s="327">
        <v>42360</v>
      </c>
    </row>
    <row r="100" spans="1:7" s="87" customFormat="1" ht="11.25" x14ac:dyDescent="0.2">
      <c r="A100" s="867"/>
      <c r="B100" s="867"/>
      <c r="C100" s="592" t="s">
        <v>934</v>
      </c>
      <c r="D100" s="351"/>
      <c r="E100" s="351">
        <v>18000</v>
      </c>
      <c r="F100" s="327">
        <v>42360</v>
      </c>
      <c r="G100" s="327">
        <v>42360</v>
      </c>
    </row>
    <row r="101" spans="1:7" s="87" customFormat="1" ht="11.25" x14ac:dyDescent="0.2">
      <c r="A101" s="867"/>
      <c r="B101" s="867"/>
      <c r="C101" s="592" t="s">
        <v>935</v>
      </c>
      <c r="D101" s="351"/>
      <c r="E101" s="351">
        <v>-9650</v>
      </c>
      <c r="F101" s="327">
        <v>42360</v>
      </c>
      <c r="G101" s="327">
        <v>42360</v>
      </c>
    </row>
    <row r="102" spans="1:7" s="87" customFormat="1" ht="11.25" x14ac:dyDescent="0.2">
      <c r="A102" s="867"/>
      <c r="B102" s="867"/>
      <c r="C102" s="592" t="s">
        <v>936</v>
      </c>
      <c r="D102" s="351"/>
      <c r="E102" s="351">
        <v>11340</v>
      </c>
      <c r="F102" s="327">
        <v>42360</v>
      </c>
      <c r="G102" s="327">
        <v>42360</v>
      </c>
    </row>
    <row r="103" spans="1:7" s="87" customFormat="1" ht="11.25" x14ac:dyDescent="0.2">
      <c r="A103" s="867"/>
      <c r="B103" s="867"/>
      <c r="C103" s="592" t="s">
        <v>937</v>
      </c>
      <c r="D103" s="351"/>
      <c r="E103" s="351">
        <v>-1150</v>
      </c>
      <c r="F103" s="327">
        <v>42360</v>
      </c>
      <c r="G103" s="327">
        <v>42360</v>
      </c>
    </row>
    <row r="104" spans="1:7" s="87" customFormat="1" ht="11.25" x14ac:dyDescent="0.2">
      <c r="A104" s="867"/>
      <c r="B104" s="867"/>
      <c r="C104" s="592" t="s">
        <v>938</v>
      </c>
      <c r="D104" s="351"/>
      <c r="E104" s="351">
        <v>-1300</v>
      </c>
      <c r="F104" s="327">
        <v>42360</v>
      </c>
      <c r="G104" s="327">
        <v>42360</v>
      </c>
    </row>
    <row r="105" spans="1:7" s="87" customFormat="1" ht="11.25" x14ac:dyDescent="0.2">
      <c r="A105" s="867"/>
      <c r="B105" s="867"/>
      <c r="C105" s="592" t="s">
        <v>939</v>
      </c>
      <c r="D105" s="351"/>
      <c r="E105" s="351">
        <v>24020</v>
      </c>
      <c r="F105" s="327">
        <v>42360</v>
      </c>
      <c r="G105" s="327">
        <v>42360</v>
      </c>
    </row>
    <row r="106" spans="1:7" s="87" customFormat="1" ht="11.25" x14ac:dyDescent="0.2">
      <c r="A106" s="867"/>
      <c r="B106" s="867"/>
      <c r="C106" s="592" t="s">
        <v>940</v>
      </c>
      <c r="D106" s="351"/>
      <c r="E106" s="351">
        <v>6860</v>
      </c>
      <c r="F106" s="327">
        <v>42360</v>
      </c>
      <c r="G106" s="327">
        <v>42360</v>
      </c>
    </row>
    <row r="107" spans="1:7" s="87" customFormat="1" ht="11.25" x14ac:dyDescent="0.2">
      <c r="A107" s="867"/>
      <c r="B107" s="867"/>
      <c r="C107" s="592" t="s">
        <v>941</v>
      </c>
      <c r="D107" s="351"/>
      <c r="E107" s="351">
        <v>5090</v>
      </c>
      <c r="F107" s="327">
        <v>42360</v>
      </c>
      <c r="G107" s="327">
        <v>42360</v>
      </c>
    </row>
    <row r="108" spans="1:7" s="87" customFormat="1" ht="11.25" x14ac:dyDescent="0.2">
      <c r="A108" s="867"/>
      <c r="B108" s="867"/>
      <c r="C108" s="592" t="s">
        <v>942</v>
      </c>
      <c r="D108" s="351"/>
      <c r="E108" s="351">
        <v>215850</v>
      </c>
      <c r="F108" s="327">
        <v>42360</v>
      </c>
      <c r="G108" s="327">
        <v>42360</v>
      </c>
    </row>
    <row r="109" spans="1:7" s="87" customFormat="1" ht="11.25" x14ac:dyDescent="0.2">
      <c r="A109" s="867"/>
      <c r="B109" s="867"/>
      <c r="C109" s="592" t="s">
        <v>943</v>
      </c>
      <c r="D109" s="351"/>
      <c r="E109" s="351">
        <v>10530</v>
      </c>
      <c r="F109" s="327">
        <v>42360</v>
      </c>
      <c r="G109" s="327">
        <v>42360</v>
      </c>
    </row>
    <row r="110" spans="1:7" s="87" customFormat="1" ht="11.25" x14ac:dyDescent="0.2">
      <c r="A110" s="867"/>
      <c r="B110" s="867"/>
      <c r="C110" s="592" t="s">
        <v>944</v>
      </c>
      <c r="D110" s="351"/>
      <c r="E110" s="351">
        <v>38670</v>
      </c>
      <c r="F110" s="327">
        <v>42360</v>
      </c>
      <c r="G110" s="327">
        <v>42360</v>
      </c>
    </row>
    <row r="111" spans="1:7" s="87" customFormat="1" ht="11.25" x14ac:dyDescent="0.2">
      <c r="A111" s="867"/>
      <c r="B111" s="867"/>
      <c r="C111" s="592" t="s">
        <v>945</v>
      </c>
      <c r="D111" s="351"/>
      <c r="E111" s="351">
        <v>41030</v>
      </c>
      <c r="F111" s="327">
        <v>42360</v>
      </c>
      <c r="G111" s="327">
        <v>42360</v>
      </c>
    </row>
    <row r="112" spans="1:7" s="87" customFormat="1" ht="11.25" x14ac:dyDescent="0.2">
      <c r="A112" s="867"/>
      <c r="B112" s="867"/>
      <c r="C112" s="592" t="s">
        <v>946</v>
      </c>
      <c r="D112" s="351"/>
      <c r="E112" s="351">
        <v>11940</v>
      </c>
      <c r="F112" s="327">
        <v>42360</v>
      </c>
      <c r="G112" s="327">
        <v>42360</v>
      </c>
    </row>
    <row r="113" spans="1:7" s="87" customFormat="1" ht="11.25" x14ac:dyDescent="0.2">
      <c r="A113" s="867"/>
      <c r="B113" s="867"/>
      <c r="C113" s="592" t="s">
        <v>947</v>
      </c>
      <c r="D113" s="351"/>
      <c r="E113" s="351">
        <v>50570</v>
      </c>
      <c r="F113" s="327">
        <v>42360</v>
      </c>
      <c r="G113" s="327">
        <v>42360</v>
      </c>
    </row>
    <row r="114" spans="1:7" s="87" customFormat="1" ht="11.25" x14ac:dyDescent="0.2">
      <c r="A114" s="867"/>
      <c r="B114" s="867"/>
      <c r="C114" s="592" t="s">
        <v>948</v>
      </c>
      <c r="D114" s="351"/>
      <c r="E114" s="351">
        <v>29070</v>
      </c>
      <c r="F114" s="327">
        <v>42360</v>
      </c>
      <c r="G114" s="327">
        <v>42360</v>
      </c>
    </row>
    <row r="115" spans="1:7" s="87" customFormat="1" ht="11.25" x14ac:dyDescent="0.2">
      <c r="A115" s="867"/>
      <c r="B115" s="867"/>
      <c r="C115" s="592" t="s">
        <v>949</v>
      </c>
      <c r="D115" s="351"/>
      <c r="E115" s="351">
        <v>-11000</v>
      </c>
      <c r="F115" s="327">
        <v>42360</v>
      </c>
      <c r="G115" s="327">
        <v>42360</v>
      </c>
    </row>
    <row r="116" spans="1:7" s="87" customFormat="1" ht="11.25" x14ac:dyDescent="0.2">
      <c r="A116" s="867"/>
      <c r="B116" s="867"/>
      <c r="C116" s="592" t="s">
        <v>950</v>
      </c>
      <c r="D116" s="351"/>
      <c r="E116" s="351">
        <v>79900</v>
      </c>
      <c r="F116" s="327">
        <v>42360</v>
      </c>
      <c r="G116" s="327">
        <v>42360</v>
      </c>
    </row>
    <row r="117" spans="1:7" s="87" customFormat="1" ht="11.25" x14ac:dyDescent="0.2">
      <c r="A117" s="867"/>
      <c r="B117" s="867"/>
      <c r="C117" s="592" t="s">
        <v>951</v>
      </c>
      <c r="D117" s="351"/>
      <c r="E117" s="351">
        <v>29710</v>
      </c>
      <c r="F117" s="327">
        <v>42360</v>
      </c>
      <c r="G117" s="327">
        <v>42360</v>
      </c>
    </row>
    <row r="118" spans="1:7" s="87" customFormat="1" ht="11.25" x14ac:dyDescent="0.2">
      <c r="A118" s="867"/>
      <c r="B118" s="867"/>
      <c r="C118" s="592" t="s">
        <v>952</v>
      </c>
      <c r="D118" s="351"/>
      <c r="E118" s="351">
        <v>-281680</v>
      </c>
      <c r="F118" s="327">
        <v>42360</v>
      </c>
      <c r="G118" s="327">
        <v>42360</v>
      </c>
    </row>
    <row r="119" spans="1:7" s="87" customFormat="1" ht="11.25" x14ac:dyDescent="0.2">
      <c r="A119" s="867"/>
      <c r="B119" s="867"/>
      <c r="C119" s="592" t="s">
        <v>953</v>
      </c>
      <c r="D119" s="351"/>
      <c r="E119" s="351">
        <v>32770</v>
      </c>
      <c r="F119" s="327">
        <v>42360</v>
      </c>
      <c r="G119" s="327">
        <v>42360</v>
      </c>
    </row>
    <row r="120" spans="1:7" s="87" customFormat="1" ht="11.25" x14ac:dyDescent="0.2">
      <c r="A120" s="867"/>
      <c r="B120" s="867"/>
      <c r="C120" s="592" t="s">
        <v>954</v>
      </c>
      <c r="D120" s="351"/>
      <c r="E120" s="351">
        <v>4130</v>
      </c>
      <c r="F120" s="327">
        <v>42360</v>
      </c>
      <c r="G120" s="327">
        <v>42360</v>
      </c>
    </row>
    <row r="121" spans="1:7" s="87" customFormat="1" ht="11.25" x14ac:dyDescent="0.2">
      <c r="A121" s="867"/>
      <c r="B121" s="867"/>
      <c r="C121" s="592" t="s">
        <v>955</v>
      </c>
      <c r="D121" s="351"/>
      <c r="E121" s="351">
        <v>55930</v>
      </c>
      <c r="F121" s="327">
        <v>42360</v>
      </c>
      <c r="G121" s="327">
        <v>42360</v>
      </c>
    </row>
    <row r="122" spans="1:7" s="87" customFormat="1" ht="11.25" x14ac:dyDescent="0.2">
      <c r="A122" s="867"/>
      <c r="B122" s="867"/>
      <c r="C122" s="592" t="s">
        <v>956</v>
      </c>
      <c r="D122" s="351"/>
      <c r="E122" s="351">
        <v>2920</v>
      </c>
      <c r="F122" s="327">
        <v>42360</v>
      </c>
      <c r="G122" s="327">
        <v>42360</v>
      </c>
    </row>
    <row r="123" spans="1:7" s="87" customFormat="1" ht="11.25" x14ac:dyDescent="0.2">
      <c r="A123" s="867"/>
      <c r="B123" s="867"/>
      <c r="C123" s="592" t="s">
        <v>957</v>
      </c>
      <c r="D123" s="351"/>
      <c r="E123" s="351">
        <v>-238300</v>
      </c>
      <c r="F123" s="327">
        <v>42360</v>
      </c>
      <c r="G123" s="327">
        <v>42360</v>
      </c>
    </row>
    <row r="124" spans="1:7" s="87" customFormat="1" ht="11.25" x14ac:dyDescent="0.2">
      <c r="A124" s="867"/>
      <c r="B124" s="867"/>
      <c r="C124" s="592" t="s">
        <v>958</v>
      </c>
      <c r="D124" s="351"/>
      <c r="E124" s="351">
        <v>236870</v>
      </c>
      <c r="F124" s="327">
        <v>42360</v>
      </c>
      <c r="G124" s="327">
        <v>42360</v>
      </c>
    </row>
    <row r="125" spans="1:7" s="87" customFormat="1" ht="11.25" x14ac:dyDescent="0.2">
      <c r="A125" s="867"/>
      <c r="B125" s="867"/>
      <c r="C125" s="592" t="s">
        <v>959</v>
      </c>
      <c r="D125" s="351"/>
      <c r="E125" s="351">
        <v>100120</v>
      </c>
      <c r="F125" s="327">
        <v>42360</v>
      </c>
      <c r="G125" s="327">
        <v>42360</v>
      </c>
    </row>
    <row r="126" spans="1:7" s="87" customFormat="1" ht="11.25" x14ac:dyDescent="0.2">
      <c r="A126" s="867"/>
      <c r="B126" s="867"/>
      <c r="C126" s="592" t="s">
        <v>960</v>
      </c>
      <c r="D126" s="351"/>
      <c r="E126" s="351">
        <v>-46636</v>
      </c>
      <c r="F126" s="327">
        <v>42360</v>
      </c>
      <c r="G126" s="327">
        <v>42360</v>
      </c>
    </row>
    <row r="127" spans="1:7" s="87" customFormat="1" ht="11.25" x14ac:dyDescent="0.2">
      <c r="A127" s="867"/>
      <c r="B127" s="867"/>
      <c r="C127" s="592" t="s">
        <v>961</v>
      </c>
      <c r="D127" s="351"/>
      <c r="E127" s="351">
        <v>-2000</v>
      </c>
      <c r="F127" s="327">
        <v>42360</v>
      </c>
      <c r="G127" s="327">
        <v>42360</v>
      </c>
    </row>
    <row r="128" spans="1:7" s="87" customFormat="1" ht="11.25" x14ac:dyDescent="0.2">
      <c r="A128" s="867"/>
      <c r="B128" s="867"/>
      <c r="C128" s="592" t="s">
        <v>962</v>
      </c>
      <c r="D128" s="351"/>
      <c r="E128" s="351">
        <v>1600</v>
      </c>
      <c r="F128" s="327">
        <v>42360</v>
      </c>
      <c r="G128" s="327">
        <v>42360</v>
      </c>
    </row>
    <row r="129" spans="1:7" s="87" customFormat="1" ht="11.25" x14ac:dyDescent="0.2">
      <c r="A129" s="867"/>
      <c r="B129" s="867"/>
      <c r="C129" s="592" t="s">
        <v>963</v>
      </c>
      <c r="D129" s="351"/>
      <c r="E129" s="351">
        <v>400</v>
      </c>
      <c r="F129" s="327">
        <v>42360</v>
      </c>
      <c r="G129" s="327">
        <v>42360</v>
      </c>
    </row>
    <row r="130" spans="1:7" s="87" customFormat="1" ht="11.25" x14ac:dyDescent="0.2">
      <c r="A130" s="867"/>
      <c r="B130" s="867"/>
      <c r="C130" s="592" t="s">
        <v>964</v>
      </c>
      <c r="D130" s="351"/>
      <c r="E130" s="351">
        <v>46636</v>
      </c>
      <c r="F130" s="327">
        <v>42360</v>
      </c>
      <c r="G130" s="327">
        <v>42360</v>
      </c>
    </row>
    <row r="131" spans="1:7" s="87" customFormat="1" ht="11.25" x14ac:dyDescent="0.2">
      <c r="A131" s="867"/>
      <c r="B131" s="867"/>
      <c r="C131" s="592" t="s">
        <v>965</v>
      </c>
      <c r="D131" s="351"/>
      <c r="E131" s="351">
        <v>10660</v>
      </c>
      <c r="F131" s="327">
        <v>42360</v>
      </c>
      <c r="G131" s="327">
        <v>42360</v>
      </c>
    </row>
    <row r="132" spans="1:7" s="87" customFormat="1" ht="11.25" x14ac:dyDescent="0.2">
      <c r="A132" s="867"/>
      <c r="B132" s="867"/>
      <c r="C132" s="592" t="s">
        <v>966</v>
      </c>
      <c r="D132" s="351"/>
      <c r="E132" s="351">
        <v>-1400</v>
      </c>
      <c r="F132" s="327">
        <v>42360</v>
      </c>
      <c r="G132" s="327">
        <v>42360</v>
      </c>
    </row>
    <row r="133" spans="1:7" s="87" customFormat="1" ht="11.25" x14ac:dyDescent="0.2">
      <c r="A133" s="867"/>
      <c r="B133" s="867"/>
      <c r="C133" s="592" t="s">
        <v>967</v>
      </c>
      <c r="D133" s="351"/>
      <c r="E133" s="351">
        <v>-13400</v>
      </c>
      <c r="F133" s="327">
        <v>42360</v>
      </c>
      <c r="G133" s="327">
        <v>42360</v>
      </c>
    </row>
    <row r="134" spans="1:7" s="87" customFormat="1" ht="11.25" x14ac:dyDescent="0.2">
      <c r="A134" s="867"/>
      <c r="B134" s="867"/>
      <c r="C134" s="592" t="s">
        <v>968</v>
      </c>
      <c r="D134" s="351"/>
      <c r="E134" s="351">
        <v>3850</v>
      </c>
      <c r="F134" s="327">
        <v>42360</v>
      </c>
      <c r="G134" s="327">
        <v>42360</v>
      </c>
    </row>
    <row r="135" spans="1:7" s="87" customFormat="1" ht="11.25" x14ac:dyDescent="0.2">
      <c r="A135" s="867"/>
      <c r="B135" s="867"/>
      <c r="C135" s="592" t="s">
        <v>969</v>
      </c>
      <c r="D135" s="351"/>
      <c r="E135" s="351">
        <v>290</v>
      </c>
      <c r="F135" s="327">
        <v>42360</v>
      </c>
      <c r="G135" s="327">
        <v>42360</v>
      </c>
    </row>
    <row r="136" spans="1:7" s="87" customFormat="1" ht="11.25" x14ac:dyDescent="0.2">
      <c r="A136" s="867"/>
      <c r="B136" s="867"/>
      <c r="C136" s="592" t="s">
        <v>970</v>
      </c>
      <c r="D136" s="351"/>
      <c r="E136" s="351">
        <v>350</v>
      </c>
      <c r="F136" s="327">
        <v>42360</v>
      </c>
      <c r="G136" s="327">
        <v>42360</v>
      </c>
    </row>
    <row r="137" spans="1:7" s="87" customFormat="1" ht="11.25" x14ac:dyDescent="0.2">
      <c r="A137" s="867"/>
      <c r="B137" s="867"/>
      <c r="C137" s="592" t="s">
        <v>971</v>
      </c>
      <c r="D137" s="351"/>
      <c r="E137" s="351">
        <v>3100</v>
      </c>
      <c r="F137" s="327">
        <v>42360</v>
      </c>
      <c r="G137" s="327">
        <v>42360</v>
      </c>
    </row>
    <row r="138" spans="1:7" s="87" customFormat="1" ht="11.25" x14ac:dyDescent="0.2">
      <c r="A138" s="867"/>
      <c r="B138" s="867"/>
      <c r="C138" s="592" t="s">
        <v>972</v>
      </c>
      <c r="D138" s="351"/>
      <c r="E138" s="351">
        <v>7000</v>
      </c>
      <c r="F138" s="327">
        <v>42360</v>
      </c>
      <c r="G138" s="327">
        <v>42360</v>
      </c>
    </row>
    <row r="139" spans="1:7" s="87" customFormat="1" ht="11.25" x14ac:dyDescent="0.2">
      <c r="A139" s="867"/>
      <c r="B139" s="867"/>
      <c r="C139" s="592" t="s">
        <v>973</v>
      </c>
      <c r="D139" s="351"/>
      <c r="E139" s="351">
        <v>-1950</v>
      </c>
      <c r="F139" s="327">
        <v>42360</v>
      </c>
      <c r="G139" s="327">
        <v>42360</v>
      </c>
    </row>
    <row r="140" spans="1:7" s="87" customFormat="1" ht="11.25" x14ac:dyDescent="0.2">
      <c r="A140" s="867"/>
      <c r="B140" s="867"/>
      <c r="C140" s="592" t="s">
        <v>974</v>
      </c>
      <c r="D140" s="351"/>
      <c r="E140" s="351">
        <v>950</v>
      </c>
      <c r="F140" s="327">
        <v>42360</v>
      </c>
      <c r="G140" s="327">
        <v>42360</v>
      </c>
    </row>
    <row r="141" spans="1:7" s="87" customFormat="1" ht="11.25" x14ac:dyDescent="0.2">
      <c r="A141" s="867"/>
      <c r="B141" s="867"/>
      <c r="C141" s="592" t="s">
        <v>975</v>
      </c>
      <c r="D141" s="351"/>
      <c r="E141" s="351">
        <v>26850</v>
      </c>
      <c r="F141" s="327">
        <v>42360</v>
      </c>
      <c r="G141" s="327">
        <v>42360</v>
      </c>
    </row>
    <row r="142" spans="1:7" s="87" customFormat="1" ht="11.25" x14ac:dyDescent="0.2">
      <c r="A142" s="998"/>
      <c r="B142" s="998"/>
      <c r="C142" s="593" t="s">
        <v>976</v>
      </c>
      <c r="D142" s="340"/>
      <c r="E142" s="340">
        <v>447280</v>
      </c>
      <c r="F142" s="330">
        <v>42360</v>
      </c>
      <c r="G142" s="330">
        <v>42360</v>
      </c>
    </row>
    <row r="143" spans="1:7" s="87" customFormat="1" ht="11.25" x14ac:dyDescent="0.2">
      <c r="A143" s="747" t="s">
        <v>111</v>
      </c>
      <c r="B143" s="748"/>
      <c r="C143" s="320"/>
      <c r="D143" s="90">
        <f>SUM(D53:D142)</f>
        <v>3065190</v>
      </c>
      <c r="E143" s="90">
        <f>SUM(E53:E142)</f>
        <v>3065190</v>
      </c>
      <c r="F143" s="753"/>
      <c r="G143" s="754"/>
    </row>
    <row r="144" spans="1:7" s="87" customFormat="1" ht="11.25" x14ac:dyDescent="0.2">
      <c r="C144" s="89"/>
    </row>
    <row r="145" spans="1:9" s="87" customFormat="1" ht="11.25" x14ac:dyDescent="0.2">
      <c r="A145" s="742" t="s">
        <v>211</v>
      </c>
      <c r="B145" s="742"/>
      <c r="C145" s="742"/>
      <c r="D145" s="742"/>
      <c r="E145" s="742"/>
      <c r="F145" s="742"/>
      <c r="G145" s="742"/>
      <c r="H145" s="742"/>
      <c r="I145" s="742"/>
    </row>
    <row r="146" spans="1:9" s="87" customFormat="1" ht="11.25" x14ac:dyDescent="0.2">
      <c r="C146" s="89"/>
    </row>
    <row r="147" spans="1:9" s="151" customFormat="1" ht="31.5" x14ac:dyDescent="0.25">
      <c r="A147" s="743" t="s">
        <v>101</v>
      </c>
      <c r="B147" s="744"/>
      <c r="C147" s="553" t="s">
        <v>102</v>
      </c>
      <c r="D147" s="553" t="s">
        <v>103</v>
      </c>
      <c r="E147" s="553" t="s">
        <v>104</v>
      </c>
      <c r="F147" s="553" t="s">
        <v>105</v>
      </c>
      <c r="G147" s="553" t="s">
        <v>94</v>
      </c>
    </row>
    <row r="148" spans="1:9" s="87" customFormat="1" ht="11.25" x14ac:dyDescent="0.2">
      <c r="A148" s="868" t="s">
        <v>1021</v>
      </c>
      <c r="B148" s="868"/>
      <c r="C148" s="594" t="s">
        <v>977</v>
      </c>
      <c r="D148" s="93"/>
      <c r="E148" s="93">
        <v>100000</v>
      </c>
      <c r="F148" s="349">
        <v>42185</v>
      </c>
      <c r="G148" s="349">
        <v>42185</v>
      </c>
    </row>
    <row r="149" spans="1:9" s="87" customFormat="1" ht="11.25" x14ac:dyDescent="0.2">
      <c r="A149" s="867"/>
      <c r="B149" s="867"/>
      <c r="C149" s="482" t="s">
        <v>568</v>
      </c>
      <c r="D149" s="148"/>
      <c r="E149" s="148">
        <v>-100000</v>
      </c>
      <c r="F149" s="352">
        <v>42185</v>
      </c>
      <c r="G149" s="352">
        <v>42185</v>
      </c>
    </row>
    <row r="150" spans="1:9" s="87" customFormat="1" ht="11.25" customHeight="1" x14ac:dyDescent="0.2">
      <c r="A150" s="737" t="s">
        <v>1022</v>
      </c>
      <c r="B150" s="737"/>
      <c r="C150" s="350" t="s">
        <v>978</v>
      </c>
      <c r="D150" s="351">
        <v>-16000</v>
      </c>
      <c r="E150" s="351"/>
      <c r="F150" s="327">
        <v>42360</v>
      </c>
      <c r="G150" s="327">
        <v>42360</v>
      </c>
    </row>
    <row r="151" spans="1:9" s="87" customFormat="1" ht="11.25" x14ac:dyDescent="0.2">
      <c r="A151" s="737"/>
      <c r="B151" s="737"/>
      <c r="C151" s="350" t="s">
        <v>640</v>
      </c>
      <c r="D151" s="351">
        <v>10000</v>
      </c>
      <c r="E151" s="351"/>
      <c r="F151" s="327">
        <v>42360</v>
      </c>
      <c r="G151" s="327">
        <v>42360</v>
      </c>
    </row>
    <row r="152" spans="1:9" s="87" customFormat="1" ht="11.25" x14ac:dyDescent="0.2">
      <c r="A152" s="737"/>
      <c r="B152" s="737"/>
      <c r="C152" s="350" t="s">
        <v>979</v>
      </c>
      <c r="D152" s="351">
        <v>99000</v>
      </c>
      <c r="E152" s="351"/>
      <c r="F152" s="327">
        <v>42360</v>
      </c>
      <c r="G152" s="327">
        <v>42360</v>
      </c>
    </row>
    <row r="153" spans="1:9" s="87" customFormat="1" ht="11.25" x14ac:dyDescent="0.2">
      <c r="A153" s="737"/>
      <c r="B153" s="737"/>
      <c r="C153" s="350" t="s">
        <v>980</v>
      </c>
      <c r="D153" s="351">
        <v>300</v>
      </c>
      <c r="E153" s="351"/>
      <c r="F153" s="327">
        <v>42360</v>
      </c>
      <c r="G153" s="327">
        <v>42360</v>
      </c>
    </row>
    <row r="154" spans="1:9" s="87" customFormat="1" ht="11.25" x14ac:dyDescent="0.2">
      <c r="A154" s="737"/>
      <c r="B154" s="737"/>
      <c r="C154" s="592" t="s">
        <v>981</v>
      </c>
      <c r="D154" s="351"/>
      <c r="E154" s="351">
        <v>-4500</v>
      </c>
      <c r="F154" s="327">
        <v>42360</v>
      </c>
      <c r="G154" s="327">
        <v>42360</v>
      </c>
    </row>
    <row r="155" spans="1:9" s="87" customFormat="1" ht="11.25" x14ac:dyDescent="0.2">
      <c r="A155" s="737"/>
      <c r="B155" s="737"/>
      <c r="C155" s="592" t="s">
        <v>982</v>
      </c>
      <c r="D155" s="351"/>
      <c r="E155" s="351">
        <v>3780</v>
      </c>
      <c r="F155" s="327">
        <v>42360</v>
      </c>
      <c r="G155" s="327">
        <v>42360</v>
      </c>
    </row>
    <row r="156" spans="1:9" s="87" customFormat="1" ht="11.25" x14ac:dyDescent="0.2">
      <c r="A156" s="737"/>
      <c r="B156" s="737"/>
      <c r="C156" s="592" t="s">
        <v>983</v>
      </c>
      <c r="D156" s="351"/>
      <c r="E156" s="351">
        <v>550</v>
      </c>
      <c r="F156" s="327">
        <v>42360</v>
      </c>
      <c r="G156" s="327">
        <v>42360</v>
      </c>
    </row>
    <row r="157" spans="1:9" s="87" customFormat="1" ht="11.25" x14ac:dyDescent="0.2">
      <c r="A157" s="737"/>
      <c r="B157" s="737"/>
      <c r="C157" s="592" t="s">
        <v>984</v>
      </c>
      <c r="D157" s="351"/>
      <c r="E157" s="351">
        <v>-6850</v>
      </c>
      <c r="F157" s="327">
        <v>42360</v>
      </c>
      <c r="G157" s="327">
        <v>42360</v>
      </c>
    </row>
    <row r="158" spans="1:9" s="87" customFormat="1" ht="11.25" x14ac:dyDescent="0.2">
      <c r="A158" s="737"/>
      <c r="B158" s="737"/>
      <c r="C158" s="592" t="s">
        <v>985</v>
      </c>
      <c r="D158" s="351"/>
      <c r="E158" s="351">
        <v>80</v>
      </c>
      <c r="F158" s="327">
        <v>42360</v>
      </c>
      <c r="G158" s="327">
        <v>42360</v>
      </c>
    </row>
    <row r="159" spans="1:9" s="87" customFormat="1" ht="11.25" x14ac:dyDescent="0.2">
      <c r="A159" s="737"/>
      <c r="B159" s="737"/>
      <c r="C159" s="592" t="s">
        <v>986</v>
      </c>
      <c r="D159" s="351"/>
      <c r="E159" s="351">
        <v>540</v>
      </c>
      <c r="F159" s="327">
        <v>42360</v>
      </c>
      <c r="G159" s="327">
        <v>42360</v>
      </c>
    </row>
    <row r="160" spans="1:9" s="87" customFormat="1" ht="11.25" x14ac:dyDescent="0.2">
      <c r="A160" s="737"/>
      <c r="B160" s="737"/>
      <c r="C160" s="592" t="s">
        <v>987</v>
      </c>
      <c r="D160" s="351"/>
      <c r="E160" s="351">
        <v>2300</v>
      </c>
      <c r="F160" s="327">
        <v>42360</v>
      </c>
      <c r="G160" s="327">
        <v>42360</v>
      </c>
    </row>
    <row r="161" spans="1:7" s="87" customFormat="1" ht="11.25" x14ac:dyDescent="0.2">
      <c r="A161" s="737"/>
      <c r="B161" s="737"/>
      <c r="C161" s="592" t="s">
        <v>988</v>
      </c>
      <c r="D161" s="351"/>
      <c r="E161" s="351">
        <v>150</v>
      </c>
      <c r="F161" s="327">
        <v>42360</v>
      </c>
      <c r="G161" s="327">
        <v>42360</v>
      </c>
    </row>
    <row r="162" spans="1:7" s="87" customFormat="1" ht="11.25" x14ac:dyDescent="0.2">
      <c r="A162" s="737"/>
      <c r="B162" s="737"/>
      <c r="C162" s="592" t="s">
        <v>989</v>
      </c>
      <c r="D162" s="351"/>
      <c r="E162" s="351">
        <v>18050</v>
      </c>
      <c r="F162" s="327">
        <v>42360</v>
      </c>
      <c r="G162" s="327">
        <v>42360</v>
      </c>
    </row>
    <row r="163" spans="1:7" s="87" customFormat="1" ht="11.25" x14ac:dyDescent="0.2">
      <c r="A163" s="737"/>
      <c r="B163" s="737"/>
      <c r="C163" s="592" t="s">
        <v>990</v>
      </c>
      <c r="D163" s="351"/>
      <c r="E163" s="351">
        <v>23080</v>
      </c>
      <c r="F163" s="327">
        <v>42360</v>
      </c>
      <c r="G163" s="327">
        <v>42360</v>
      </c>
    </row>
    <row r="164" spans="1:7" s="87" customFormat="1" ht="11.25" x14ac:dyDescent="0.2">
      <c r="A164" s="737"/>
      <c r="B164" s="737"/>
      <c r="C164" s="592" t="s">
        <v>991</v>
      </c>
      <c r="D164" s="351"/>
      <c r="E164" s="351">
        <v>47660</v>
      </c>
      <c r="F164" s="327">
        <v>42360</v>
      </c>
      <c r="G164" s="327">
        <v>42360</v>
      </c>
    </row>
    <row r="165" spans="1:7" s="87" customFormat="1" ht="11.25" x14ac:dyDescent="0.2">
      <c r="A165" s="737"/>
      <c r="B165" s="737"/>
      <c r="C165" s="592" t="s">
        <v>992</v>
      </c>
      <c r="D165" s="351"/>
      <c r="E165" s="351">
        <v>-68700</v>
      </c>
      <c r="F165" s="327">
        <v>42360</v>
      </c>
      <c r="G165" s="327">
        <v>42360</v>
      </c>
    </row>
    <row r="166" spans="1:7" s="87" customFormat="1" ht="11.25" x14ac:dyDescent="0.2">
      <c r="A166" s="737"/>
      <c r="B166" s="737"/>
      <c r="C166" s="592" t="s">
        <v>993</v>
      </c>
      <c r="D166" s="351"/>
      <c r="E166" s="351">
        <v>-232000</v>
      </c>
      <c r="F166" s="327">
        <v>42360</v>
      </c>
      <c r="G166" s="327">
        <v>42360</v>
      </c>
    </row>
    <row r="167" spans="1:7" s="87" customFormat="1" ht="11.25" x14ac:dyDescent="0.2">
      <c r="A167" s="737"/>
      <c r="B167" s="737"/>
      <c r="C167" s="592" t="s">
        <v>994</v>
      </c>
      <c r="D167" s="351"/>
      <c r="E167" s="351">
        <v>-185000</v>
      </c>
      <c r="F167" s="327">
        <v>42360</v>
      </c>
      <c r="G167" s="327">
        <v>42360</v>
      </c>
    </row>
    <row r="168" spans="1:7" s="87" customFormat="1" ht="11.25" x14ac:dyDescent="0.2">
      <c r="A168" s="737"/>
      <c r="B168" s="737"/>
      <c r="C168" s="592" t="s">
        <v>995</v>
      </c>
      <c r="D168" s="351"/>
      <c r="E168" s="351">
        <v>30000</v>
      </c>
      <c r="F168" s="327">
        <v>42360</v>
      </c>
      <c r="G168" s="327">
        <v>42360</v>
      </c>
    </row>
    <row r="169" spans="1:7" s="87" customFormat="1" ht="11.25" x14ac:dyDescent="0.2">
      <c r="A169" s="737"/>
      <c r="B169" s="737"/>
      <c r="C169" s="592" t="s">
        <v>996</v>
      </c>
      <c r="D169" s="351"/>
      <c r="E169" s="351">
        <v>7550</v>
      </c>
      <c r="F169" s="327">
        <v>42360</v>
      </c>
      <c r="G169" s="327">
        <v>42360</v>
      </c>
    </row>
    <row r="170" spans="1:7" s="87" customFormat="1" ht="11.25" x14ac:dyDescent="0.2">
      <c r="A170" s="737"/>
      <c r="B170" s="737"/>
      <c r="C170" s="592" t="s">
        <v>997</v>
      </c>
      <c r="D170" s="351"/>
      <c r="E170" s="351">
        <v>-500</v>
      </c>
      <c r="F170" s="327">
        <v>42360</v>
      </c>
      <c r="G170" s="327">
        <v>42360</v>
      </c>
    </row>
    <row r="171" spans="1:7" s="87" customFormat="1" ht="11.25" x14ac:dyDescent="0.2">
      <c r="A171" s="737"/>
      <c r="B171" s="737"/>
      <c r="C171" s="592" t="s">
        <v>998</v>
      </c>
      <c r="D171" s="351"/>
      <c r="E171" s="351">
        <v>3160</v>
      </c>
      <c r="F171" s="327">
        <v>42360</v>
      </c>
      <c r="G171" s="327">
        <v>42360</v>
      </c>
    </row>
    <row r="172" spans="1:7" s="87" customFormat="1" ht="11.25" x14ac:dyDescent="0.2">
      <c r="A172" s="737"/>
      <c r="B172" s="737"/>
      <c r="C172" s="592" t="s">
        <v>999</v>
      </c>
      <c r="D172" s="351"/>
      <c r="E172" s="351">
        <v>5810</v>
      </c>
      <c r="F172" s="327">
        <v>42360</v>
      </c>
      <c r="G172" s="327">
        <v>42360</v>
      </c>
    </row>
    <row r="173" spans="1:7" s="87" customFormat="1" ht="11.25" x14ac:dyDescent="0.2">
      <c r="A173" s="737"/>
      <c r="B173" s="737"/>
      <c r="C173" s="592" t="s">
        <v>1000</v>
      </c>
      <c r="D173" s="351"/>
      <c r="E173" s="351">
        <v>9800</v>
      </c>
      <c r="F173" s="327">
        <v>42360</v>
      </c>
      <c r="G173" s="327">
        <v>42360</v>
      </c>
    </row>
    <row r="174" spans="1:7" s="87" customFormat="1" ht="11.25" x14ac:dyDescent="0.2">
      <c r="A174" s="737"/>
      <c r="B174" s="737"/>
      <c r="C174" s="592" t="s">
        <v>1001</v>
      </c>
      <c r="D174" s="351"/>
      <c r="E174" s="351">
        <v>4920</v>
      </c>
      <c r="F174" s="327">
        <v>42360</v>
      </c>
      <c r="G174" s="327">
        <v>42360</v>
      </c>
    </row>
    <row r="175" spans="1:7" s="87" customFormat="1" ht="11.25" x14ac:dyDescent="0.2">
      <c r="A175" s="737"/>
      <c r="B175" s="737"/>
      <c r="C175" s="592" t="s">
        <v>1002</v>
      </c>
      <c r="D175" s="351"/>
      <c r="E175" s="351">
        <v>-11000</v>
      </c>
      <c r="F175" s="327">
        <v>42360</v>
      </c>
      <c r="G175" s="327">
        <v>42360</v>
      </c>
    </row>
    <row r="176" spans="1:7" s="87" customFormat="1" ht="11.25" x14ac:dyDescent="0.2">
      <c r="A176" s="737"/>
      <c r="B176" s="737"/>
      <c r="C176" s="592" t="s">
        <v>1003</v>
      </c>
      <c r="D176" s="351"/>
      <c r="E176" s="351">
        <v>-2140</v>
      </c>
      <c r="F176" s="327">
        <v>42360</v>
      </c>
      <c r="G176" s="327">
        <v>42360</v>
      </c>
    </row>
    <row r="177" spans="1:9" s="87" customFormat="1" ht="11.25" x14ac:dyDescent="0.2">
      <c r="A177" s="737"/>
      <c r="B177" s="737"/>
      <c r="C177" s="592" t="s">
        <v>1004</v>
      </c>
      <c r="D177" s="351"/>
      <c r="E177" s="351">
        <v>330</v>
      </c>
      <c r="F177" s="327">
        <v>42360</v>
      </c>
      <c r="G177" s="327">
        <v>42360</v>
      </c>
    </row>
    <row r="178" spans="1:9" s="87" customFormat="1" ht="11.25" x14ac:dyDescent="0.2">
      <c r="A178" s="737"/>
      <c r="B178" s="737"/>
      <c r="C178" s="592" t="s">
        <v>1005</v>
      </c>
      <c r="D178" s="351"/>
      <c r="E178" s="351">
        <v>1500</v>
      </c>
      <c r="F178" s="327">
        <v>42360</v>
      </c>
      <c r="G178" s="327">
        <v>42360</v>
      </c>
    </row>
    <row r="179" spans="1:9" s="87" customFormat="1" ht="11.25" x14ac:dyDescent="0.2">
      <c r="A179" s="737"/>
      <c r="B179" s="737"/>
      <c r="C179" s="592" t="s">
        <v>1006</v>
      </c>
      <c r="D179" s="351"/>
      <c r="E179" s="351">
        <v>50000</v>
      </c>
      <c r="F179" s="327">
        <v>42360</v>
      </c>
      <c r="G179" s="327">
        <v>42360</v>
      </c>
    </row>
    <row r="180" spans="1:9" s="87" customFormat="1" ht="11.25" x14ac:dyDescent="0.2">
      <c r="A180" s="737"/>
      <c r="B180" s="737"/>
      <c r="C180" s="592" t="s">
        <v>1007</v>
      </c>
      <c r="D180" s="351"/>
      <c r="E180" s="351">
        <v>310</v>
      </c>
      <c r="F180" s="327">
        <v>42360</v>
      </c>
      <c r="G180" s="327">
        <v>42360</v>
      </c>
    </row>
    <row r="181" spans="1:9" s="87" customFormat="1" ht="11.25" x14ac:dyDescent="0.2">
      <c r="A181" s="737"/>
      <c r="B181" s="737"/>
      <c r="C181" s="592" t="s">
        <v>1008</v>
      </c>
      <c r="D181" s="351"/>
      <c r="E181" s="351">
        <v>15700</v>
      </c>
      <c r="F181" s="327">
        <v>42360</v>
      </c>
      <c r="G181" s="327">
        <v>42360</v>
      </c>
    </row>
    <row r="182" spans="1:9" s="87" customFormat="1" ht="11.25" x14ac:dyDescent="0.2">
      <c r="A182" s="737"/>
      <c r="B182" s="737"/>
      <c r="C182" s="592" t="s">
        <v>1009</v>
      </c>
      <c r="D182" s="351"/>
      <c r="E182" s="351">
        <v>310</v>
      </c>
      <c r="F182" s="327">
        <v>42360</v>
      </c>
      <c r="G182" s="327">
        <v>42360</v>
      </c>
    </row>
    <row r="183" spans="1:9" s="87" customFormat="1" ht="11.25" x14ac:dyDescent="0.2">
      <c r="A183" s="737"/>
      <c r="B183" s="737"/>
      <c r="C183" s="592" t="s">
        <v>1010</v>
      </c>
      <c r="D183" s="351"/>
      <c r="E183" s="351">
        <v>-1700</v>
      </c>
      <c r="F183" s="327">
        <v>42360</v>
      </c>
      <c r="G183" s="327">
        <v>42360</v>
      </c>
    </row>
    <row r="184" spans="1:9" s="87" customFormat="1" ht="11.25" x14ac:dyDescent="0.2">
      <c r="A184" s="737"/>
      <c r="B184" s="737"/>
      <c r="C184" s="592" t="s">
        <v>1011</v>
      </c>
      <c r="D184" s="351"/>
      <c r="E184" s="351">
        <v>2260</v>
      </c>
      <c r="F184" s="327">
        <v>42360</v>
      </c>
      <c r="G184" s="327">
        <v>42360</v>
      </c>
    </row>
    <row r="185" spans="1:9" s="87" customFormat="1" ht="11.25" x14ac:dyDescent="0.2">
      <c r="A185" s="737"/>
      <c r="B185" s="737"/>
      <c r="C185" s="592" t="s">
        <v>1012</v>
      </c>
      <c r="D185" s="351"/>
      <c r="E185" s="351">
        <v>190400</v>
      </c>
      <c r="F185" s="327">
        <v>42360</v>
      </c>
      <c r="G185" s="327">
        <v>42360</v>
      </c>
    </row>
    <row r="186" spans="1:9" s="87" customFormat="1" ht="11.25" x14ac:dyDescent="0.2">
      <c r="A186" s="756"/>
      <c r="B186" s="756"/>
      <c r="C186" s="593" t="s">
        <v>1013</v>
      </c>
      <c r="D186" s="340"/>
      <c r="E186" s="340">
        <v>176000</v>
      </c>
      <c r="F186" s="330">
        <v>42360</v>
      </c>
      <c r="G186" s="330">
        <v>42360</v>
      </c>
    </row>
    <row r="187" spans="1:9" s="87" customFormat="1" ht="11.25" x14ac:dyDescent="0.2">
      <c r="A187" s="870" t="s">
        <v>111</v>
      </c>
      <c r="B187" s="871"/>
      <c r="C187" s="355"/>
      <c r="D187" s="129">
        <f>SUM(D148:D186)</f>
        <v>93300</v>
      </c>
      <c r="E187" s="129">
        <f>SUM(E148:E186)</f>
        <v>81850</v>
      </c>
      <c r="F187" s="1042"/>
      <c r="G187" s="1043"/>
    </row>
    <row r="188" spans="1:9" s="87" customFormat="1" ht="11.25" x14ac:dyDescent="0.2">
      <c r="C188" s="89"/>
    </row>
    <row r="189" spans="1:9" s="87" customFormat="1" ht="11.25" x14ac:dyDescent="0.2">
      <c r="A189" s="738" t="s">
        <v>212</v>
      </c>
      <c r="B189" s="738"/>
      <c r="C189" s="738"/>
      <c r="D189" s="738"/>
      <c r="E189" s="738"/>
      <c r="F189" s="738"/>
      <c r="G189" s="738"/>
      <c r="H189" s="738"/>
      <c r="I189" s="738"/>
    </row>
    <row r="190" spans="1:9" s="87" customFormat="1" ht="11.25" x14ac:dyDescent="0.2"/>
    <row r="191" spans="1:9" s="87" customFormat="1" ht="34.5" customHeight="1" x14ac:dyDescent="0.2">
      <c r="A191" s="739" t="s">
        <v>1244</v>
      </c>
      <c r="B191" s="740"/>
      <c r="C191" s="740"/>
      <c r="D191" s="740"/>
      <c r="E191" s="740"/>
      <c r="F191" s="740"/>
      <c r="G191" s="740"/>
      <c r="H191" s="740"/>
      <c r="I191" s="741"/>
    </row>
    <row r="192" spans="1:9" s="87" customFormat="1" ht="12.75" customHeight="1" x14ac:dyDescent="0.2">
      <c r="A192" s="739" t="s">
        <v>1023</v>
      </c>
      <c r="B192" s="740"/>
      <c r="C192" s="740"/>
      <c r="D192" s="740"/>
      <c r="E192" s="740"/>
      <c r="F192" s="740"/>
      <c r="G192" s="740"/>
      <c r="H192" s="740"/>
      <c r="I192" s="741"/>
    </row>
    <row r="193" spans="1:9" s="87" customFormat="1" ht="11.25" x14ac:dyDescent="0.2"/>
    <row r="194" spans="1:9" s="88" customFormat="1" ht="10.5" x14ac:dyDescent="0.15">
      <c r="A194" s="742" t="s">
        <v>213</v>
      </c>
      <c r="B194" s="742"/>
      <c r="C194" s="742"/>
      <c r="D194" s="742"/>
      <c r="E194" s="742"/>
      <c r="F194" s="742"/>
      <c r="G194" s="742"/>
      <c r="H194" s="742"/>
      <c r="I194" s="742"/>
    </row>
    <row r="195" spans="1:9" s="87" customFormat="1" ht="11.25" x14ac:dyDescent="0.2"/>
    <row r="196" spans="1:9" ht="36" customHeight="1" x14ac:dyDescent="0.15">
      <c r="A196" s="732" t="s">
        <v>1024</v>
      </c>
      <c r="B196" s="733"/>
      <c r="C196" s="733"/>
      <c r="D196" s="733"/>
      <c r="E196" s="733"/>
      <c r="F196" s="733"/>
      <c r="G196" s="733"/>
      <c r="H196" s="733"/>
      <c r="I196" s="734"/>
    </row>
    <row r="197" spans="1:9" ht="11.25" x14ac:dyDescent="0.15">
      <c r="A197" s="732" t="s">
        <v>216</v>
      </c>
      <c r="B197" s="733"/>
      <c r="C197" s="733"/>
      <c r="D197" s="733"/>
      <c r="E197" s="733"/>
      <c r="F197" s="733"/>
      <c r="G197" s="733"/>
      <c r="H197" s="733"/>
      <c r="I197" s="734"/>
    </row>
    <row r="198" spans="1:9" s="87" customFormat="1" ht="13.5" customHeight="1" x14ac:dyDescent="0.2">
      <c r="A198" s="739" t="s">
        <v>1025</v>
      </c>
      <c r="B198" s="740"/>
      <c r="C198" s="740"/>
      <c r="D198" s="740"/>
      <c r="E198" s="740"/>
      <c r="F198" s="740"/>
      <c r="G198" s="740"/>
      <c r="H198" s="740"/>
      <c r="I198" s="741"/>
    </row>
    <row r="199" spans="1:9" s="87" customFormat="1" ht="23.25" customHeight="1" x14ac:dyDescent="0.2">
      <c r="A199" s="739" t="s">
        <v>1026</v>
      </c>
      <c r="B199" s="740"/>
      <c r="C199" s="740"/>
      <c r="D199" s="740"/>
      <c r="E199" s="740"/>
      <c r="F199" s="740"/>
      <c r="G199" s="740"/>
      <c r="H199" s="740"/>
      <c r="I199" s="741"/>
    </row>
    <row r="200" spans="1:9" s="28" customFormat="1" ht="35.25" customHeight="1" x14ac:dyDescent="0.2">
      <c r="A200" s="739" t="s">
        <v>1027</v>
      </c>
      <c r="B200" s="740"/>
      <c r="C200" s="740"/>
      <c r="D200" s="740"/>
      <c r="E200" s="740"/>
      <c r="F200" s="740"/>
      <c r="G200" s="740"/>
      <c r="H200" s="740"/>
      <c r="I200" s="741"/>
    </row>
    <row r="201" spans="1:9" s="28" customFormat="1" x14ac:dyDescent="0.2"/>
    <row r="202" spans="1:9" s="28" customFormat="1" x14ac:dyDescent="0.2"/>
    <row r="203" spans="1:9" s="28" customFormat="1" x14ac:dyDescent="0.2"/>
    <row r="204" spans="1:9" s="28" customFormat="1" x14ac:dyDescent="0.2"/>
    <row r="205" spans="1:9" s="28" customFormat="1" x14ac:dyDescent="0.2"/>
    <row r="206" spans="1:9" s="28" customFormat="1" x14ac:dyDescent="0.2"/>
    <row r="207" spans="1:9" s="28" customFormat="1" x14ac:dyDescent="0.2"/>
    <row r="208" spans="1:9" s="28" customFormat="1" x14ac:dyDescent="0.2"/>
    <row r="209" s="28" customFormat="1" x14ac:dyDescent="0.2"/>
    <row r="210" s="28" customFormat="1" x14ac:dyDescent="0.2"/>
    <row r="211" s="28" customFormat="1" x14ac:dyDescent="0.2"/>
    <row r="212" s="28" customFormat="1" x14ac:dyDescent="0.2"/>
    <row r="213" s="28" customFormat="1" x14ac:dyDescent="0.2"/>
    <row r="214" s="28" customFormat="1" x14ac:dyDescent="0.2"/>
    <row r="215" s="28" customFormat="1" x14ac:dyDescent="0.2"/>
    <row r="216" s="28" customFormat="1" x14ac:dyDescent="0.2"/>
    <row r="217" s="28" customFormat="1" x14ac:dyDescent="0.2"/>
    <row r="218" s="28" customFormat="1" x14ac:dyDescent="0.2"/>
    <row r="219" s="28" customFormat="1" x14ac:dyDescent="0.2"/>
    <row r="220" s="28" customFormat="1" x14ac:dyDescent="0.2"/>
    <row r="221" s="28" customFormat="1" x14ac:dyDescent="0.2"/>
    <row r="222" s="28" customFormat="1" x14ac:dyDescent="0.2"/>
    <row r="223" s="28" customFormat="1" x14ac:dyDescent="0.2"/>
    <row r="224" s="28" customFormat="1" x14ac:dyDescent="0.2"/>
    <row r="225" s="28" customFormat="1" x14ac:dyDescent="0.2"/>
    <row r="226" s="28" customFormat="1" x14ac:dyDescent="0.2"/>
    <row r="227" s="28" customFormat="1" x14ac:dyDescent="0.2"/>
    <row r="228" s="28" customFormat="1" x14ac:dyDescent="0.2"/>
    <row r="229" s="28" customFormat="1" x14ac:dyDescent="0.2"/>
    <row r="230" s="28" customFormat="1" x14ac:dyDescent="0.2"/>
    <row r="231" s="28" customFormat="1" x14ac:dyDescent="0.2"/>
    <row r="232" s="28" customFormat="1" x14ac:dyDescent="0.2"/>
    <row r="233" s="28" customFormat="1" x14ac:dyDescent="0.2"/>
    <row r="234" s="28" customFormat="1" x14ac:dyDescent="0.2"/>
    <row r="235" s="28" customFormat="1" x14ac:dyDescent="0.2"/>
    <row r="236" s="28" customFormat="1" x14ac:dyDescent="0.2"/>
    <row r="237" s="28" customFormat="1" x14ac:dyDescent="0.2"/>
    <row r="238" s="28" customFormat="1" x14ac:dyDescent="0.2"/>
    <row r="239" s="28" customFormat="1" x14ac:dyDescent="0.2"/>
    <row r="240" s="28" customFormat="1" x14ac:dyDescent="0.2"/>
    <row r="241" s="28" customFormat="1" x14ac:dyDescent="0.2"/>
    <row r="242" s="28" customFormat="1" x14ac:dyDescent="0.2"/>
    <row r="243" s="28" customFormat="1" x14ac:dyDescent="0.2"/>
    <row r="244" s="28" customFormat="1" x14ac:dyDescent="0.2"/>
    <row r="245" s="28" customFormat="1" x14ac:dyDescent="0.2"/>
    <row r="246" s="28" customFormat="1" x14ac:dyDescent="0.2"/>
    <row r="247" s="28" customFormat="1" x14ac:dyDescent="0.2"/>
    <row r="248" s="28" customFormat="1" x14ac:dyDescent="0.2"/>
    <row r="249" s="28" customFormat="1" x14ac:dyDescent="0.2"/>
    <row r="250" s="28" customFormat="1" x14ac:dyDescent="0.2"/>
    <row r="251" s="28" customFormat="1" x14ac:dyDescent="0.2"/>
    <row r="252" s="28" customFormat="1" x14ac:dyDescent="0.2"/>
    <row r="253" s="28" customFormat="1" x14ac:dyDescent="0.2"/>
    <row r="254" s="28" customFormat="1" x14ac:dyDescent="0.2"/>
    <row r="255" s="28" customFormat="1" x14ac:dyDescent="0.2"/>
    <row r="256" s="28" customFormat="1" x14ac:dyDescent="0.2"/>
    <row r="257" s="28" customFormat="1" x14ac:dyDescent="0.2"/>
    <row r="258" s="28" customFormat="1" x14ac:dyDescent="0.2"/>
    <row r="259" s="28" customFormat="1" x14ac:dyDescent="0.2"/>
    <row r="260" s="28" customFormat="1" x14ac:dyDescent="0.2"/>
    <row r="261" s="28" customFormat="1" x14ac:dyDescent="0.2"/>
    <row r="262" s="28" customFormat="1" x14ac:dyDescent="0.2"/>
    <row r="263" s="28" customFormat="1" x14ac:dyDescent="0.2"/>
    <row r="264" s="28" customFormat="1" x14ac:dyDescent="0.2"/>
    <row r="265" s="28" customFormat="1" x14ac:dyDescent="0.2"/>
    <row r="266" s="28" customFormat="1" x14ac:dyDescent="0.2"/>
    <row r="267" s="28" customFormat="1" x14ac:dyDescent="0.2"/>
    <row r="268" s="28" customFormat="1" x14ac:dyDescent="0.2"/>
    <row r="269" s="28" customFormat="1" x14ac:dyDescent="0.2"/>
    <row r="270" s="28" customFormat="1" x14ac:dyDescent="0.2"/>
    <row r="271" s="28" customFormat="1" x14ac:dyDescent="0.2"/>
    <row r="272" s="28" customFormat="1" x14ac:dyDescent="0.2"/>
    <row r="273" s="28" customFormat="1" x14ac:dyDescent="0.2"/>
    <row r="274" s="28" customFormat="1" x14ac:dyDescent="0.2"/>
    <row r="275" s="28" customFormat="1" x14ac:dyDescent="0.2"/>
    <row r="276" s="28" customFormat="1" x14ac:dyDescent="0.2"/>
    <row r="277" s="28" customFormat="1" x14ac:dyDescent="0.2"/>
    <row r="278" s="28" customFormat="1" x14ac:dyDescent="0.2"/>
    <row r="279" s="28" customFormat="1" x14ac:dyDescent="0.2"/>
    <row r="280" s="28" customFormat="1" x14ac:dyDescent="0.2"/>
    <row r="281" s="28" customFormat="1" x14ac:dyDescent="0.2"/>
    <row r="282" s="28" customFormat="1" x14ac:dyDescent="0.2"/>
    <row r="283" s="28" customFormat="1" x14ac:dyDescent="0.2"/>
    <row r="284" s="28" customFormat="1" x14ac:dyDescent="0.2"/>
    <row r="285" s="28" customFormat="1" x14ac:dyDescent="0.2"/>
    <row r="286" s="28" customFormat="1" x14ac:dyDescent="0.2"/>
    <row r="287" s="28" customFormat="1" x14ac:dyDescent="0.2"/>
    <row r="288" s="28" customFormat="1" x14ac:dyDescent="0.2"/>
    <row r="289" s="28" customFormat="1" x14ac:dyDescent="0.2"/>
    <row r="290" s="28" customFormat="1" x14ac:dyDescent="0.2"/>
    <row r="291" s="28" customFormat="1" x14ac:dyDescent="0.2"/>
    <row r="292" s="28" customFormat="1" x14ac:dyDescent="0.2"/>
    <row r="293" s="28" customFormat="1" x14ac:dyDescent="0.2"/>
    <row r="294" s="28" customFormat="1" x14ac:dyDescent="0.2"/>
    <row r="295" s="28" customFormat="1" x14ac:dyDescent="0.2"/>
    <row r="296" s="28" customFormat="1" x14ac:dyDescent="0.2"/>
    <row r="297" s="28" customFormat="1" x14ac:dyDescent="0.2"/>
    <row r="298" s="28" customFormat="1" x14ac:dyDescent="0.2"/>
    <row r="299" s="28" customFormat="1" x14ac:dyDescent="0.2"/>
    <row r="300" s="28" customFormat="1" x14ac:dyDescent="0.2"/>
    <row r="301" s="28" customFormat="1" x14ac:dyDescent="0.2"/>
    <row r="302" s="28" customFormat="1" x14ac:dyDescent="0.2"/>
    <row r="303" s="28" customFormat="1" x14ac:dyDescent="0.2"/>
    <row r="304" s="28" customFormat="1" x14ac:dyDescent="0.2"/>
    <row r="305" s="28" customFormat="1" x14ac:dyDescent="0.2"/>
    <row r="306" s="28" customFormat="1" x14ac:dyDescent="0.2"/>
    <row r="307" s="28" customFormat="1" x14ac:dyDescent="0.2"/>
    <row r="308" s="28" customFormat="1" x14ac:dyDescent="0.2"/>
    <row r="309" s="28" customFormat="1" x14ac:dyDescent="0.2"/>
    <row r="310" s="28" customFormat="1" x14ac:dyDescent="0.2"/>
    <row r="311" s="28" customFormat="1" x14ac:dyDescent="0.2"/>
    <row r="312" s="28" customFormat="1" x14ac:dyDescent="0.2"/>
    <row r="313" s="28" customFormat="1" x14ac:dyDescent="0.2"/>
    <row r="314" s="28" customFormat="1" x14ac:dyDescent="0.2"/>
    <row r="315" s="28" customFormat="1" x14ac:dyDescent="0.2"/>
    <row r="316" s="28" customFormat="1" x14ac:dyDescent="0.2"/>
    <row r="317" s="28" customFormat="1" x14ac:dyDescent="0.2"/>
    <row r="318" s="28" customFormat="1" x14ac:dyDescent="0.2"/>
    <row r="319" s="28" customFormat="1" x14ac:dyDescent="0.2"/>
    <row r="320" s="28" customFormat="1" x14ac:dyDescent="0.2"/>
    <row r="321" s="28" customFormat="1" x14ac:dyDescent="0.2"/>
    <row r="322" s="28" customFormat="1" x14ac:dyDescent="0.2"/>
    <row r="323" s="28" customFormat="1" x14ac:dyDescent="0.2"/>
    <row r="324" s="28" customFormat="1" x14ac:dyDescent="0.2"/>
    <row r="325" s="28" customFormat="1" x14ac:dyDescent="0.2"/>
    <row r="326" s="28" customFormat="1" x14ac:dyDescent="0.2"/>
    <row r="327" s="28" customFormat="1" x14ac:dyDescent="0.2"/>
    <row r="328" s="28" customFormat="1" x14ac:dyDescent="0.2"/>
    <row r="329" s="28" customFormat="1" x14ac:dyDescent="0.2"/>
    <row r="330" s="28" customFormat="1" x14ac:dyDescent="0.2"/>
    <row r="331" s="28" customFormat="1" x14ac:dyDescent="0.2"/>
    <row r="332" s="28" customFormat="1" x14ac:dyDescent="0.2"/>
    <row r="333" s="28" customFormat="1" x14ac:dyDescent="0.2"/>
    <row r="334" s="28" customFormat="1" x14ac:dyDescent="0.2"/>
    <row r="335" s="28" customFormat="1" x14ac:dyDescent="0.2"/>
    <row r="336" s="28" customFormat="1" x14ac:dyDescent="0.2"/>
    <row r="337" s="28" customFormat="1" x14ac:dyDescent="0.2"/>
    <row r="338" s="28" customFormat="1" x14ac:dyDescent="0.2"/>
    <row r="339" s="28" customFormat="1" x14ac:dyDescent="0.2"/>
    <row r="340" s="28" customFormat="1" x14ac:dyDescent="0.2"/>
    <row r="341" s="28" customFormat="1" x14ac:dyDescent="0.2"/>
    <row r="342" s="28" customFormat="1" x14ac:dyDescent="0.2"/>
    <row r="343" s="28" customFormat="1" x14ac:dyDescent="0.2"/>
    <row r="344" s="28" customFormat="1" x14ac:dyDescent="0.2"/>
    <row r="345" s="28" customFormat="1" x14ac:dyDescent="0.2"/>
    <row r="346" s="28" customFormat="1" x14ac:dyDescent="0.2"/>
    <row r="347" s="28" customFormat="1" x14ac:dyDescent="0.2"/>
    <row r="348" s="28" customFormat="1" x14ac:dyDescent="0.2"/>
    <row r="349" s="28" customFormat="1" x14ac:dyDescent="0.2"/>
    <row r="350" s="28" customFormat="1" x14ac:dyDescent="0.2"/>
    <row r="351" s="28" customFormat="1" x14ac:dyDescent="0.2"/>
    <row r="352" s="28" customFormat="1" x14ac:dyDescent="0.2"/>
    <row r="353" s="28" customFormat="1" x14ac:dyDescent="0.2"/>
    <row r="354" s="28" customFormat="1" x14ac:dyDescent="0.2"/>
    <row r="355" s="28" customFormat="1" x14ac:dyDescent="0.2"/>
    <row r="356" s="28" customFormat="1" x14ac:dyDescent="0.2"/>
    <row r="357" s="28" customFormat="1" x14ac:dyDescent="0.2"/>
    <row r="358" s="28" customFormat="1" x14ac:dyDescent="0.2"/>
    <row r="359" s="28" customFormat="1" x14ac:dyDescent="0.2"/>
    <row r="360" s="28" customFormat="1" x14ac:dyDescent="0.2"/>
    <row r="361" s="28" customFormat="1" x14ac:dyDescent="0.2"/>
    <row r="362" s="28" customFormat="1" x14ac:dyDescent="0.2"/>
    <row r="363" s="28" customFormat="1" x14ac:dyDescent="0.2"/>
    <row r="364" s="28" customFormat="1" x14ac:dyDescent="0.2"/>
    <row r="365" s="28" customFormat="1" x14ac:dyDescent="0.2"/>
    <row r="366" s="28" customFormat="1" x14ac:dyDescent="0.2"/>
    <row r="367" s="28" customFormat="1" x14ac:dyDescent="0.2"/>
    <row r="368" s="28" customFormat="1" x14ac:dyDescent="0.2"/>
    <row r="369" s="28" customFormat="1" x14ac:dyDescent="0.2"/>
    <row r="370" s="28" customFormat="1" x14ac:dyDescent="0.2"/>
    <row r="371" s="28" customFormat="1" x14ac:dyDescent="0.2"/>
    <row r="372" s="28" customFormat="1" x14ac:dyDescent="0.2"/>
    <row r="373" s="28" customFormat="1" x14ac:dyDescent="0.2"/>
    <row r="374" s="28" customFormat="1" x14ac:dyDescent="0.2"/>
    <row r="375" s="28" customFormat="1" x14ac:dyDescent="0.2"/>
    <row r="376" s="28" customFormat="1" x14ac:dyDescent="0.2"/>
    <row r="377" s="28" customFormat="1" x14ac:dyDescent="0.2"/>
    <row r="378" s="28" customFormat="1" x14ac:dyDescent="0.2"/>
    <row r="379" s="28" customFormat="1" x14ac:dyDescent="0.2"/>
    <row r="380" s="28" customFormat="1" x14ac:dyDescent="0.2"/>
    <row r="381" s="28" customFormat="1" x14ac:dyDescent="0.2"/>
    <row r="382" s="28" customFormat="1" x14ac:dyDescent="0.2"/>
    <row r="383" s="28" customFormat="1" x14ac:dyDescent="0.2"/>
    <row r="384" s="28" customFormat="1" x14ac:dyDescent="0.2"/>
    <row r="385" s="28" customFormat="1" x14ac:dyDescent="0.2"/>
    <row r="386" s="28" customFormat="1" x14ac:dyDescent="0.2"/>
    <row r="387" s="28" customFormat="1" x14ac:dyDescent="0.2"/>
    <row r="388" s="28" customFormat="1" x14ac:dyDescent="0.2"/>
    <row r="389" s="28" customFormat="1" x14ac:dyDescent="0.2"/>
    <row r="390" s="28" customFormat="1" x14ac:dyDescent="0.2"/>
    <row r="391" s="28" customFormat="1" x14ac:dyDescent="0.2"/>
    <row r="392" s="28" customFormat="1" x14ac:dyDescent="0.2"/>
    <row r="393" s="28" customFormat="1" x14ac:dyDescent="0.2"/>
    <row r="394" s="28" customFormat="1" x14ac:dyDescent="0.2"/>
    <row r="395" s="28" customFormat="1" x14ac:dyDescent="0.2"/>
    <row r="396" s="28" customFormat="1" x14ac:dyDescent="0.2"/>
    <row r="397" s="28" customFormat="1" x14ac:dyDescent="0.2"/>
    <row r="398" s="28" customFormat="1" x14ac:dyDescent="0.2"/>
    <row r="399" s="28" customFormat="1" x14ac:dyDescent="0.2"/>
    <row r="400" s="28" customFormat="1" x14ac:dyDescent="0.2"/>
    <row r="401" s="28" customFormat="1" x14ac:dyDescent="0.2"/>
    <row r="402" s="28" customFormat="1" x14ac:dyDescent="0.2"/>
    <row r="403" s="28" customFormat="1" x14ac:dyDescent="0.2"/>
    <row r="404" s="28" customFormat="1" x14ac:dyDescent="0.2"/>
    <row r="405" s="28" customFormat="1" x14ac:dyDescent="0.2"/>
    <row r="406" s="28" customFormat="1" x14ac:dyDescent="0.2"/>
    <row r="407" s="28" customFormat="1" x14ac:dyDescent="0.2"/>
  </sheetData>
  <mergeCells count="56">
    <mergeCell ref="F22:I22"/>
    <mergeCell ref="F23:I23"/>
    <mergeCell ref="F24:I24"/>
    <mergeCell ref="F25:I25"/>
    <mergeCell ref="A7:B7"/>
    <mergeCell ref="D7:I7"/>
    <mergeCell ref="A8:B8"/>
    <mergeCell ref="D8:I8"/>
    <mergeCell ref="A19:I19"/>
    <mergeCell ref="A9:B9"/>
    <mergeCell ref="D9:I9"/>
    <mergeCell ref="A11:I11"/>
    <mergeCell ref="A15:A16"/>
    <mergeCell ref="F21:I21"/>
    <mergeCell ref="A3:I3"/>
    <mergeCell ref="A5:B5"/>
    <mergeCell ref="D5:I5"/>
    <mergeCell ref="A6:B6"/>
    <mergeCell ref="D6:I6"/>
    <mergeCell ref="F26:I26"/>
    <mergeCell ref="A28:I28"/>
    <mergeCell ref="D30:I30"/>
    <mergeCell ref="D31:I35"/>
    <mergeCell ref="C36:I36"/>
    <mergeCell ref="A38:I38"/>
    <mergeCell ref="D40:I40"/>
    <mergeCell ref="D41:I41"/>
    <mergeCell ref="C42:I42"/>
    <mergeCell ref="A44:I44"/>
    <mergeCell ref="C46:I46"/>
    <mergeCell ref="C47:I47"/>
    <mergeCell ref="C48:I48"/>
    <mergeCell ref="A50:I50"/>
    <mergeCell ref="A52:B52"/>
    <mergeCell ref="A194:I194"/>
    <mergeCell ref="A198:I198"/>
    <mergeCell ref="A199:I199"/>
    <mergeCell ref="A200:I200"/>
    <mergeCell ref="A192:I192"/>
    <mergeCell ref="A196:I196"/>
    <mergeCell ref="A197:I197"/>
    <mergeCell ref="A59:B61"/>
    <mergeCell ref="A55:B58"/>
    <mergeCell ref="A53:B54"/>
    <mergeCell ref="A62:B65"/>
    <mergeCell ref="A191:I191"/>
    <mergeCell ref="A147:B147"/>
    <mergeCell ref="A150:B186"/>
    <mergeCell ref="A187:B187"/>
    <mergeCell ref="F187:G187"/>
    <mergeCell ref="A189:I189"/>
    <mergeCell ref="A148:B149"/>
    <mergeCell ref="A66:B142"/>
    <mergeCell ref="A143:B143"/>
    <mergeCell ref="F143:G143"/>
    <mergeCell ref="A145:I145"/>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87</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15834990</v>
      </c>
      <c r="F6" s="29">
        <f>SUM(F7:F9)</f>
        <v>19550738</v>
      </c>
      <c r="G6" s="29">
        <f>SUM(G7:G9)</f>
        <v>20710273.25</v>
      </c>
      <c r="H6" s="24">
        <f t="shared" ref="H6:H33" si="0">G6/F6*100</f>
        <v>105.93090271068029</v>
      </c>
      <c r="I6" s="29">
        <f>SUM(I7:I9)</f>
        <v>9660427</v>
      </c>
      <c r="J6" s="29">
        <f>SUM(J7:J9)</f>
        <v>8966490</v>
      </c>
      <c r="K6" s="29">
        <f t="shared" ref="K6:X6" si="1">SUM(K7:K9)</f>
        <v>12031680</v>
      </c>
      <c r="L6" s="29">
        <f t="shared" si="1"/>
        <v>11793849.25</v>
      </c>
      <c r="M6" s="24">
        <f t="shared" ref="M6:M33" si="2">L6/K6*100</f>
        <v>98.023295582994223</v>
      </c>
      <c r="N6" s="30">
        <f t="shared" si="1"/>
        <v>9202930</v>
      </c>
      <c r="O6" s="29">
        <f t="shared" si="1"/>
        <v>6868500</v>
      </c>
      <c r="P6" s="29">
        <f t="shared" si="1"/>
        <v>7519058</v>
      </c>
      <c r="Q6" s="29">
        <f t="shared" si="1"/>
        <v>8916424</v>
      </c>
      <c r="R6" s="24">
        <f t="shared" ref="R6:R33" si="3">Q6/P6*100</f>
        <v>118.58432266382304</v>
      </c>
      <c r="S6" s="29">
        <f t="shared" si="1"/>
        <v>8205520</v>
      </c>
      <c r="T6" s="29">
        <f t="shared" si="1"/>
        <v>1620000</v>
      </c>
      <c r="U6" s="29">
        <f t="shared" si="1"/>
        <v>1713300</v>
      </c>
      <c r="V6" s="29">
        <f t="shared" si="1"/>
        <v>1714663</v>
      </c>
      <c r="W6" s="24">
        <f t="shared" ref="W6:W33" si="4">V6/U6*100</f>
        <v>100.07955407692756</v>
      </c>
      <c r="X6" s="29">
        <f t="shared" si="1"/>
        <v>1783324</v>
      </c>
    </row>
    <row r="7" spans="1:24" s="6" customFormat="1" ht="9.9499999999999993" customHeight="1" x14ac:dyDescent="0.2">
      <c r="A7" s="169" t="s">
        <v>2</v>
      </c>
      <c r="B7" s="823" t="s">
        <v>44</v>
      </c>
      <c r="C7" s="824"/>
      <c r="D7" s="238" t="s">
        <v>25</v>
      </c>
      <c r="E7" s="32">
        <f t="shared" ref="E7:G10" si="5">SUM(J7,O7)</f>
        <v>3100000</v>
      </c>
      <c r="F7" s="33">
        <f t="shared" si="5"/>
        <v>4301540</v>
      </c>
      <c r="G7" s="33">
        <f>L7+Q7</f>
        <v>4063803.14</v>
      </c>
      <c r="H7" s="9">
        <f t="shared" si="0"/>
        <v>94.473215174100446</v>
      </c>
      <c r="I7" s="34">
        <v>2388616</v>
      </c>
      <c r="J7" s="107">
        <v>3100000</v>
      </c>
      <c r="K7" s="35">
        <v>4301540</v>
      </c>
      <c r="L7" s="35">
        <v>4063803.14</v>
      </c>
      <c r="M7" s="9">
        <f t="shared" si="2"/>
        <v>94.473215174100446</v>
      </c>
      <c r="N7" s="36">
        <v>4132085</v>
      </c>
      <c r="O7" s="37"/>
      <c r="P7" s="35"/>
      <c r="Q7" s="35"/>
      <c r="R7" s="9" t="e">
        <f t="shared" si="3"/>
        <v>#DIV/0!</v>
      </c>
      <c r="S7" s="36"/>
      <c r="T7" s="37">
        <v>1620000</v>
      </c>
      <c r="U7" s="35">
        <v>1713300</v>
      </c>
      <c r="V7" s="35">
        <v>1714663</v>
      </c>
      <c r="W7" s="9">
        <f t="shared" si="4"/>
        <v>100.07955407692756</v>
      </c>
      <c r="X7" s="59">
        <v>1783324</v>
      </c>
    </row>
    <row r="8" spans="1:24" s="6" customFormat="1" ht="9.9499999999999993" customHeight="1" x14ac:dyDescent="0.2">
      <c r="A8" s="171" t="s">
        <v>3</v>
      </c>
      <c r="B8" s="825" t="s">
        <v>45</v>
      </c>
      <c r="C8" s="826"/>
      <c r="D8" s="172" t="s">
        <v>25</v>
      </c>
      <c r="E8" s="38">
        <f t="shared" si="5"/>
        <v>5000</v>
      </c>
      <c r="F8" s="39">
        <f t="shared" si="5"/>
        <v>4000</v>
      </c>
      <c r="G8" s="33">
        <f>L8+Q8</f>
        <v>3906.11</v>
      </c>
      <c r="H8" s="10">
        <f t="shared" si="0"/>
        <v>97.652749999999997</v>
      </c>
      <c r="I8" s="40">
        <v>2534</v>
      </c>
      <c r="J8" s="196">
        <v>5000</v>
      </c>
      <c r="K8" s="157">
        <v>4000</v>
      </c>
      <c r="L8" s="157">
        <v>3906.11</v>
      </c>
      <c r="M8" s="158">
        <f t="shared" si="2"/>
        <v>97.652749999999997</v>
      </c>
      <c r="N8" s="198">
        <v>3845</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12729990</v>
      </c>
      <c r="F9" s="43">
        <f t="shared" si="5"/>
        <v>15245198</v>
      </c>
      <c r="G9" s="43">
        <f t="shared" si="5"/>
        <v>16642564</v>
      </c>
      <c r="H9" s="26">
        <f t="shared" si="0"/>
        <v>109.16594195759215</v>
      </c>
      <c r="I9" s="44">
        <v>7269277</v>
      </c>
      <c r="J9" s="199">
        <v>5861490</v>
      </c>
      <c r="K9" s="203">
        <v>7726140</v>
      </c>
      <c r="L9" s="203">
        <v>7726140</v>
      </c>
      <c r="M9" s="201">
        <f t="shared" si="2"/>
        <v>100</v>
      </c>
      <c r="N9" s="202">
        <v>5067000</v>
      </c>
      <c r="O9" s="160">
        <v>6868500</v>
      </c>
      <c r="P9" s="203">
        <f>7118800+16860+231000+119454+32944</f>
        <v>7519058</v>
      </c>
      <c r="Q9" s="203">
        <v>8916424</v>
      </c>
      <c r="R9" s="201">
        <f t="shared" si="3"/>
        <v>118.58432266382304</v>
      </c>
      <c r="S9" s="202">
        <v>8205520</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15834990</v>
      </c>
      <c r="F11" s="29">
        <f>SUM(F12:F31)</f>
        <v>19550738</v>
      </c>
      <c r="G11" s="29">
        <f>SUM(G12:G31)</f>
        <v>20611101.210000001</v>
      </c>
      <c r="H11" s="24">
        <f t="shared" si="0"/>
        <v>105.4236479973288</v>
      </c>
      <c r="I11" s="30">
        <f>SUM(I12:I31)</f>
        <v>7744652</v>
      </c>
      <c r="J11" s="29">
        <f>SUM(J12:J31)</f>
        <v>8966490</v>
      </c>
      <c r="K11" s="29">
        <f>SUM(K12:K31)</f>
        <v>12031680</v>
      </c>
      <c r="L11" s="29">
        <f>SUM(L12:L31)</f>
        <v>11694677.209999999</v>
      </c>
      <c r="M11" s="24">
        <f t="shared" si="2"/>
        <v>97.199037956461595</v>
      </c>
      <c r="N11" s="30">
        <f>SUM(N12:N31)</f>
        <v>8876791</v>
      </c>
      <c r="O11" s="29">
        <f>SUM(O12:O31)</f>
        <v>6868500</v>
      </c>
      <c r="P11" s="29">
        <f>SUM(P12:P31)</f>
        <v>7519058</v>
      </c>
      <c r="Q11" s="29">
        <f>SUM(Q12:Q31)</f>
        <v>8916424</v>
      </c>
      <c r="R11" s="24">
        <f t="shared" si="3"/>
        <v>118.58432266382304</v>
      </c>
      <c r="S11" s="30">
        <f>SUM(S12:S31)</f>
        <v>8205520</v>
      </c>
      <c r="T11" s="29">
        <f>SUM(T12:T31)</f>
        <v>1458000</v>
      </c>
      <c r="U11" s="29">
        <f>SUM(U12:U31)</f>
        <v>1539850</v>
      </c>
      <c r="V11" s="29">
        <f>SUM(V12:V31)</f>
        <v>1536615.0099999998</v>
      </c>
      <c r="W11" s="24">
        <f t="shared" si="4"/>
        <v>99.78991525148551</v>
      </c>
      <c r="X11" s="29">
        <f>SUM(X12:X31)</f>
        <v>1521836</v>
      </c>
    </row>
    <row r="12" spans="1:24" s="6" customFormat="1" ht="9.9499999999999993" customHeight="1" x14ac:dyDescent="0.2">
      <c r="A12" s="178" t="s">
        <v>8</v>
      </c>
      <c r="B12" s="827" t="s">
        <v>28</v>
      </c>
      <c r="C12" s="828"/>
      <c r="D12" s="238" t="s">
        <v>25</v>
      </c>
      <c r="E12" s="32">
        <f t="shared" ref="E12:I29" si="6">SUM(J12,O12)</f>
        <v>1103890</v>
      </c>
      <c r="F12" s="33">
        <f t="shared" si="6"/>
        <v>1664890</v>
      </c>
      <c r="G12" s="33">
        <f t="shared" si="6"/>
        <v>1656419</v>
      </c>
      <c r="H12" s="9">
        <f t="shared" si="0"/>
        <v>99.491197616659349</v>
      </c>
      <c r="I12" s="34">
        <v>483441</v>
      </c>
      <c r="J12" s="108">
        <v>1023390</v>
      </c>
      <c r="K12" s="47">
        <v>1440130</v>
      </c>
      <c r="L12" s="47">
        <v>1440049.83</v>
      </c>
      <c r="M12" s="9">
        <f t="shared" si="2"/>
        <v>99.994433141452504</v>
      </c>
      <c r="N12" s="48">
        <v>1439829</v>
      </c>
      <c r="O12" s="49">
        <v>80500</v>
      </c>
      <c r="P12" s="47">
        <f>81900+16860+126000</f>
        <v>224760</v>
      </c>
      <c r="Q12" s="47">
        <v>216369.17</v>
      </c>
      <c r="R12" s="9">
        <f t="shared" si="3"/>
        <v>96.266760099661866</v>
      </c>
      <c r="S12" s="50">
        <v>169099</v>
      </c>
      <c r="T12" s="49">
        <v>28800</v>
      </c>
      <c r="U12" s="47">
        <v>113640</v>
      </c>
      <c r="V12" s="47">
        <v>113546.56</v>
      </c>
      <c r="W12" s="9">
        <f t="shared" si="4"/>
        <v>99.9177754311862</v>
      </c>
      <c r="X12" s="51">
        <v>82918</v>
      </c>
    </row>
    <row r="13" spans="1:24" s="6" customFormat="1" ht="9.9499999999999993" customHeight="1" x14ac:dyDescent="0.2">
      <c r="A13" s="180" t="s">
        <v>10</v>
      </c>
      <c r="B13" s="820" t="s">
        <v>29</v>
      </c>
      <c r="C13" s="821"/>
      <c r="D13" s="172" t="s">
        <v>25</v>
      </c>
      <c r="E13" s="38">
        <f t="shared" si="6"/>
        <v>2385000</v>
      </c>
      <c r="F13" s="39">
        <f t="shared" si="6"/>
        <v>2209250</v>
      </c>
      <c r="G13" s="39">
        <f t="shared" si="6"/>
        <v>2209128.66</v>
      </c>
      <c r="H13" s="10">
        <f t="shared" si="0"/>
        <v>99.994507638338817</v>
      </c>
      <c r="I13" s="40">
        <v>813258</v>
      </c>
      <c r="J13" s="208">
        <v>2385000</v>
      </c>
      <c r="K13" s="157">
        <v>2209250</v>
      </c>
      <c r="L13" s="157">
        <v>2209128.66</v>
      </c>
      <c r="M13" s="158">
        <f t="shared" si="2"/>
        <v>99.994507638338817</v>
      </c>
      <c r="N13" s="198">
        <v>1549663</v>
      </c>
      <c r="O13" s="156"/>
      <c r="P13" s="157"/>
      <c r="Q13" s="157"/>
      <c r="R13" s="158" t="e">
        <f t="shared" si="3"/>
        <v>#DIV/0!</v>
      </c>
      <c r="S13" s="198"/>
      <c r="T13" s="156">
        <v>1015000</v>
      </c>
      <c r="U13" s="157">
        <v>429300</v>
      </c>
      <c r="V13" s="157">
        <v>428164.35</v>
      </c>
      <c r="W13" s="158">
        <f t="shared" si="4"/>
        <v>99.735464709993011</v>
      </c>
      <c r="X13" s="159">
        <v>1134631</v>
      </c>
    </row>
    <row r="14" spans="1:24" s="6" customFormat="1" ht="9.9499999999999993" customHeight="1" x14ac:dyDescent="0.2">
      <c r="A14" s="180" t="s">
        <v>11</v>
      </c>
      <c r="B14" s="234" t="s">
        <v>60</v>
      </c>
      <c r="C14" s="235"/>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455000</v>
      </c>
      <c r="F15" s="39">
        <f t="shared" si="6"/>
        <v>431730</v>
      </c>
      <c r="G15" s="39">
        <f t="shared" si="6"/>
        <v>431614.68</v>
      </c>
      <c r="H15" s="10">
        <f t="shared" si="0"/>
        <v>99.973288861093735</v>
      </c>
      <c r="I15" s="40">
        <v>150248</v>
      </c>
      <c r="J15" s="208">
        <v>455000</v>
      </c>
      <c r="K15" s="157">
        <v>431730</v>
      </c>
      <c r="L15" s="157">
        <v>431614.68</v>
      </c>
      <c r="M15" s="158">
        <f t="shared" si="2"/>
        <v>99.973288861093735</v>
      </c>
      <c r="N15" s="198">
        <v>431007</v>
      </c>
      <c r="O15" s="156"/>
      <c r="P15" s="157"/>
      <c r="Q15" s="157"/>
      <c r="R15" s="158" t="e">
        <f t="shared" si="3"/>
        <v>#DIV/0!</v>
      </c>
      <c r="S15" s="198"/>
      <c r="T15" s="156">
        <v>25000</v>
      </c>
      <c r="U15" s="157">
        <v>62550</v>
      </c>
      <c r="V15" s="157">
        <v>62135</v>
      </c>
      <c r="W15" s="158">
        <f t="shared" si="4"/>
        <v>99.3365307753797</v>
      </c>
      <c r="X15" s="159"/>
    </row>
    <row r="16" spans="1:24" s="6" customFormat="1" ht="9.9499999999999993" customHeight="1" x14ac:dyDescent="0.2">
      <c r="A16" s="180" t="s">
        <v>13</v>
      </c>
      <c r="B16" s="820" t="s">
        <v>30</v>
      </c>
      <c r="C16" s="821"/>
      <c r="D16" s="172" t="s">
        <v>25</v>
      </c>
      <c r="E16" s="38">
        <f t="shared" si="6"/>
        <v>25000</v>
      </c>
      <c r="F16" s="39">
        <f t="shared" si="6"/>
        <v>26690</v>
      </c>
      <c r="G16" s="39">
        <f t="shared" si="6"/>
        <v>27834</v>
      </c>
      <c r="H16" s="10">
        <f t="shared" si="0"/>
        <v>104.28624953165979</v>
      </c>
      <c r="I16" s="40">
        <v>7589</v>
      </c>
      <c r="J16" s="208">
        <v>25000</v>
      </c>
      <c r="K16" s="157">
        <v>26690</v>
      </c>
      <c r="L16" s="157">
        <v>26643</v>
      </c>
      <c r="M16" s="158">
        <f t="shared" si="2"/>
        <v>99.823904083926564</v>
      </c>
      <c r="N16" s="198">
        <v>24299</v>
      </c>
      <c r="O16" s="156"/>
      <c r="P16" s="157"/>
      <c r="Q16" s="157">
        <v>1191</v>
      </c>
      <c r="R16" s="158" t="e">
        <f t="shared" si="3"/>
        <v>#DIV/0!</v>
      </c>
      <c r="S16" s="198">
        <v>5886</v>
      </c>
      <c r="T16" s="156"/>
      <c r="U16" s="157"/>
      <c r="V16" s="157"/>
      <c r="W16" s="158" t="e">
        <f t="shared" si="4"/>
        <v>#DIV/0!</v>
      </c>
      <c r="X16" s="159"/>
    </row>
    <row r="17" spans="1:24" s="6" customFormat="1" ht="9.9499999999999993" customHeight="1" x14ac:dyDescent="0.2">
      <c r="A17" s="180" t="s">
        <v>14</v>
      </c>
      <c r="B17" s="234" t="s">
        <v>46</v>
      </c>
      <c r="C17" s="235"/>
      <c r="D17" s="172" t="s">
        <v>25</v>
      </c>
      <c r="E17" s="38">
        <f t="shared" si="6"/>
        <v>2000</v>
      </c>
      <c r="F17" s="39">
        <f t="shared" si="6"/>
        <v>850</v>
      </c>
      <c r="G17" s="39">
        <f t="shared" si="6"/>
        <v>845</v>
      </c>
      <c r="H17" s="10">
        <f t="shared" si="0"/>
        <v>99.411764705882348</v>
      </c>
      <c r="I17" s="40">
        <v>1312</v>
      </c>
      <c r="J17" s="208">
        <v>2000</v>
      </c>
      <c r="K17" s="157">
        <v>850</v>
      </c>
      <c r="L17" s="157">
        <v>845</v>
      </c>
      <c r="M17" s="158">
        <f t="shared" si="2"/>
        <v>99.411764705882348</v>
      </c>
      <c r="N17" s="198">
        <v>2488</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2460600</v>
      </c>
      <c r="F18" s="39">
        <f t="shared" si="6"/>
        <v>2802280</v>
      </c>
      <c r="G18" s="39">
        <f t="shared" si="6"/>
        <v>2881211.4</v>
      </c>
      <c r="H18" s="10">
        <f t="shared" si="0"/>
        <v>102.81668498508355</v>
      </c>
      <c r="I18" s="40">
        <v>945536</v>
      </c>
      <c r="J18" s="208">
        <v>2460600</v>
      </c>
      <c r="K18" s="157">
        <v>2802280</v>
      </c>
      <c r="L18" s="157">
        <v>2802059.4</v>
      </c>
      <c r="M18" s="158">
        <f t="shared" si="2"/>
        <v>99.992127838759856</v>
      </c>
      <c r="N18" s="198">
        <v>2597571</v>
      </c>
      <c r="O18" s="156"/>
      <c r="P18" s="157"/>
      <c r="Q18" s="157">
        <v>79152</v>
      </c>
      <c r="R18" s="158" t="e">
        <f t="shared" si="3"/>
        <v>#DIV/0!</v>
      </c>
      <c r="S18" s="198">
        <v>58668</v>
      </c>
      <c r="T18" s="156">
        <v>30500</v>
      </c>
      <c r="U18" s="157">
        <v>42380</v>
      </c>
      <c r="V18" s="157">
        <v>42179.98</v>
      </c>
      <c r="W18" s="158">
        <f t="shared" si="4"/>
        <v>99.528032090608789</v>
      </c>
      <c r="X18" s="159">
        <v>90277</v>
      </c>
    </row>
    <row r="19" spans="1:24" s="11" customFormat="1" ht="9.9499999999999993" customHeight="1" x14ac:dyDescent="0.2">
      <c r="A19" s="180" t="s">
        <v>16</v>
      </c>
      <c r="B19" s="820" t="s">
        <v>32</v>
      </c>
      <c r="C19" s="821"/>
      <c r="D19" s="172" t="s">
        <v>25</v>
      </c>
      <c r="E19" s="38">
        <f t="shared" si="6"/>
        <v>6982000</v>
      </c>
      <c r="F19" s="39">
        <f t="shared" si="6"/>
        <v>7555201</v>
      </c>
      <c r="G19" s="39">
        <f t="shared" si="6"/>
        <v>8427047.2599999998</v>
      </c>
      <c r="H19" s="10">
        <f t="shared" si="0"/>
        <v>111.53968319307455</v>
      </c>
      <c r="I19" s="40">
        <v>3723877</v>
      </c>
      <c r="J19" s="209">
        <v>1950000</v>
      </c>
      <c r="K19" s="157">
        <v>2121014</v>
      </c>
      <c r="L19" s="157">
        <v>1945880.26</v>
      </c>
      <c r="M19" s="158">
        <f t="shared" si="2"/>
        <v>91.742923903378298</v>
      </c>
      <c r="N19" s="198">
        <v>1923440</v>
      </c>
      <c r="O19" s="156">
        <v>5032000</v>
      </c>
      <c r="P19" s="157">
        <f>5216300+24403+88484+105000</f>
        <v>5434187</v>
      </c>
      <c r="Q19" s="157">
        <v>6481167</v>
      </c>
      <c r="R19" s="158">
        <f t="shared" si="3"/>
        <v>119.26654345903076</v>
      </c>
      <c r="S19" s="198">
        <v>6002879</v>
      </c>
      <c r="T19" s="210">
        <v>250000</v>
      </c>
      <c r="U19" s="211">
        <v>300310</v>
      </c>
      <c r="V19" s="211">
        <v>299519.74</v>
      </c>
      <c r="W19" s="158">
        <f t="shared" si="4"/>
        <v>99.736851919682991</v>
      </c>
      <c r="X19" s="212">
        <v>127821</v>
      </c>
    </row>
    <row r="20" spans="1:24" s="6" customFormat="1" ht="9.9499999999999993" customHeight="1" x14ac:dyDescent="0.2">
      <c r="A20" s="180" t="s">
        <v>17</v>
      </c>
      <c r="B20" s="820" t="s">
        <v>47</v>
      </c>
      <c r="C20" s="821"/>
      <c r="D20" s="172" t="s">
        <v>25</v>
      </c>
      <c r="E20" s="38">
        <f t="shared" si="6"/>
        <v>2182300</v>
      </c>
      <c r="F20" s="39">
        <f t="shared" si="6"/>
        <v>2359517</v>
      </c>
      <c r="G20" s="39">
        <f t="shared" si="6"/>
        <v>2518053.7999999998</v>
      </c>
      <c r="H20" s="10">
        <f t="shared" si="0"/>
        <v>106.71903614171883</v>
      </c>
      <c r="I20" s="40">
        <v>1096022</v>
      </c>
      <c r="J20" s="208">
        <v>426300</v>
      </c>
      <c r="K20" s="157">
        <v>499406</v>
      </c>
      <c r="L20" s="157">
        <v>485374.73</v>
      </c>
      <c r="M20" s="158">
        <f t="shared" si="2"/>
        <v>97.190408204947474</v>
      </c>
      <c r="N20" s="198">
        <v>430730</v>
      </c>
      <c r="O20" s="156">
        <v>1756000</v>
      </c>
      <c r="P20" s="157">
        <f>1820600+30085+885+8297+244</f>
        <v>1860111</v>
      </c>
      <c r="Q20" s="157">
        <v>2032679.07</v>
      </c>
      <c r="R20" s="158">
        <f t="shared" si="3"/>
        <v>109.27729958050891</v>
      </c>
      <c r="S20" s="198">
        <v>1883336</v>
      </c>
      <c r="T20" s="156">
        <v>87500</v>
      </c>
      <c r="U20" s="157">
        <v>103510</v>
      </c>
      <c r="V20" s="157">
        <v>103214.15</v>
      </c>
      <c r="W20" s="158">
        <f t="shared" si="4"/>
        <v>99.714182204617913</v>
      </c>
      <c r="X20" s="159">
        <v>62000</v>
      </c>
    </row>
    <row r="21" spans="1:24" s="6" customFormat="1" ht="9.9499999999999993" customHeight="1" x14ac:dyDescent="0.2">
      <c r="A21" s="180" t="s">
        <v>18</v>
      </c>
      <c r="B21" s="820" t="s">
        <v>48</v>
      </c>
      <c r="C21" s="821"/>
      <c r="D21" s="172" t="s">
        <v>25</v>
      </c>
      <c r="E21" s="38">
        <f t="shared" si="6"/>
        <v>110000</v>
      </c>
      <c r="F21" s="39">
        <f t="shared" si="6"/>
        <v>110000</v>
      </c>
      <c r="G21" s="39">
        <f t="shared" si="6"/>
        <v>158160.45000000001</v>
      </c>
      <c r="H21" s="10">
        <f t="shared" si="0"/>
        <v>143.78222727272728</v>
      </c>
      <c r="I21" s="40">
        <v>72093</v>
      </c>
      <c r="J21" s="208">
        <v>110000</v>
      </c>
      <c r="K21" s="157">
        <v>110000</v>
      </c>
      <c r="L21" s="157">
        <v>109918.19</v>
      </c>
      <c r="M21" s="158">
        <f t="shared" si="2"/>
        <v>99.925627272727283</v>
      </c>
      <c r="N21" s="198">
        <v>101737</v>
      </c>
      <c r="O21" s="156"/>
      <c r="P21" s="157"/>
      <c r="Q21" s="157">
        <v>48242.26</v>
      </c>
      <c r="R21" s="158" t="e">
        <f t="shared" si="3"/>
        <v>#DIV/0!</v>
      </c>
      <c r="S21" s="198">
        <v>53488</v>
      </c>
      <c r="T21" s="156">
        <v>2500</v>
      </c>
      <c r="U21" s="157">
        <v>800</v>
      </c>
      <c r="V21" s="157">
        <v>735.1</v>
      </c>
      <c r="W21" s="158">
        <f t="shared" si="4"/>
        <v>91.887500000000003</v>
      </c>
      <c r="X21" s="159"/>
    </row>
    <row r="22" spans="1:24" s="6" customFormat="1" ht="9.9499999999999993" customHeight="1" x14ac:dyDescent="0.2">
      <c r="A22" s="671" t="s">
        <v>19</v>
      </c>
      <c r="B22" s="839" t="s">
        <v>61</v>
      </c>
      <c r="C22" s="840"/>
      <c r="D22" s="672" t="s">
        <v>25</v>
      </c>
      <c r="E22" s="673">
        <f t="shared" si="6"/>
        <v>5000</v>
      </c>
      <c r="F22" s="674">
        <f t="shared" si="6"/>
        <v>8450</v>
      </c>
      <c r="G22" s="674">
        <f t="shared" si="6"/>
        <v>8450</v>
      </c>
      <c r="H22" s="675">
        <f t="shared" si="0"/>
        <v>100</v>
      </c>
      <c r="I22" s="676">
        <v>975</v>
      </c>
      <c r="J22" s="208">
        <v>5000</v>
      </c>
      <c r="K22" s="157">
        <v>8450</v>
      </c>
      <c r="L22" s="157">
        <v>8450</v>
      </c>
      <c r="M22" s="158">
        <f t="shared" si="2"/>
        <v>100</v>
      </c>
      <c r="N22" s="198">
        <v>4775</v>
      </c>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7000</v>
      </c>
      <c r="G23" s="674">
        <f t="shared" si="6"/>
        <v>7000</v>
      </c>
      <c r="H23" s="675">
        <f t="shared" si="0"/>
        <v>100</v>
      </c>
      <c r="I23" s="676">
        <v>1600</v>
      </c>
      <c r="J23" s="208"/>
      <c r="K23" s="157">
        <v>7000</v>
      </c>
      <c r="L23" s="157">
        <v>7000</v>
      </c>
      <c r="M23" s="158">
        <f t="shared" si="2"/>
        <v>100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v>73555</v>
      </c>
      <c r="J25" s="208"/>
      <c r="K25" s="213"/>
      <c r="L25" s="213"/>
      <c r="M25" s="158" t="e">
        <f t="shared" si="2"/>
        <v>#DIV/0!</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48100</v>
      </c>
      <c r="F26" s="674">
        <f t="shared" si="6"/>
        <v>1768750</v>
      </c>
      <c r="G26" s="674">
        <f t="shared" si="6"/>
        <v>1622672.56</v>
      </c>
      <c r="H26" s="675">
        <f t="shared" si="0"/>
        <v>91.741204805653709</v>
      </c>
      <c r="I26" s="676">
        <v>0</v>
      </c>
      <c r="J26" s="208">
        <v>48100</v>
      </c>
      <c r="K26" s="197">
        <v>1768750</v>
      </c>
      <c r="L26" s="197">
        <v>1622672.56</v>
      </c>
      <c r="M26" s="158">
        <f t="shared" si="2"/>
        <v>91.741204805653709</v>
      </c>
      <c r="N26" s="198">
        <v>55371</v>
      </c>
      <c r="O26" s="218"/>
      <c r="P26" s="197"/>
      <c r="Q26" s="197"/>
      <c r="R26" s="158" t="e">
        <f t="shared" si="3"/>
        <v>#DIV/0!</v>
      </c>
      <c r="S26" s="214"/>
      <c r="T26" s="218">
        <v>18700</v>
      </c>
      <c r="U26" s="197">
        <v>309100</v>
      </c>
      <c r="V26" s="197">
        <v>309080.44</v>
      </c>
      <c r="W26" s="158">
        <f t="shared" si="4"/>
        <v>99.993671950824975</v>
      </c>
      <c r="X26" s="219">
        <v>24189</v>
      </c>
    </row>
    <row r="27" spans="1:24" s="13" customFormat="1" ht="9.9499999999999993" customHeight="1" x14ac:dyDescent="0.2">
      <c r="A27" s="180" t="s">
        <v>43</v>
      </c>
      <c r="B27" s="234" t="s">
        <v>64</v>
      </c>
      <c r="C27" s="235"/>
      <c r="D27" s="172" t="s">
        <v>25</v>
      </c>
      <c r="E27" s="38">
        <f t="shared" si="6"/>
        <v>0</v>
      </c>
      <c r="F27" s="39">
        <f t="shared" si="6"/>
        <v>26850</v>
      </c>
      <c r="G27" s="39">
        <f t="shared" si="6"/>
        <v>26846</v>
      </c>
      <c r="H27" s="14">
        <f t="shared" si="0"/>
        <v>99.985102420856606</v>
      </c>
      <c r="I27" s="40">
        <v>27101</v>
      </c>
      <c r="J27" s="208"/>
      <c r="K27" s="197">
        <v>26850</v>
      </c>
      <c r="L27" s="197">
        <v>25772</v>
      </c>
      <c r="M27" s="158">
        <f t="shared" si="2"/>
        <v>95.98510242085662</v>
      </c>
      <c r="N27" s="214"/>
      <c r="O27" s="218"/>
      <c r="P27" s="197"/>
      <c r="Q27" s="197">
        <v>1074</v>
      </c>
      <c r="R27" s="158" t="e">
        <f t="shared" si="3"/>
        <v>#DIV/0!</v>
      </c>
      <c r="S27" s="214"/>
      <c r="T27" s="236"/>
      <c r="U27" s="197"/>
      <c r="V27" s="220"/>
      <c r="W27" s="158" t="e">
        <f t="shared" si="4"/>
        <v>#DIV/0!</v>
      </c>
      <c r="X27" s="237"/>
    </row>
    <row r="28" spans="1:24" s="13" customFormat="1" ht="9.9499999999999993" customHeight="1" x14ac:dyDescent="0.2">
      <c r="A28" s="180" t="s">
        <v>49</v>
      </c>
      <c r="B28" s="234" t="s">
        <v>92</v>
      </c>
      <c r="C28" s="235"/>
      <c r="D28" s="172" t="s">
        <v>25</v>
      </c>
      <c r="E28" s="38">
        <f>SUM(J28,O28)</f>
        <v>60000</v>
      </c>
      <c r="F28" s="39">
        <f>SUM(K28,P28)</f>
        <v>562280</v>
      </c>
      <c r="G28" s="39">
        <f>SUM(L28,Q28)</f>
        <v>618828.03</v>
      </c>
      <c r="H28" s="14">
        <f>G28/F28*100</f>
        <v>110.05691648289108</v>
      </c>
      <c r="I28" s="40">
        <f>SUM(N28,S28)</f>
        <v>233432</v>
      </c>
      <c r="J28" s="208">
        <v>60000</v>
      </c>
      <c r="K28" s="197">
        <v>562280</v>
      </c>
      <c r="L28" s="197">
        <v>562278.53</v>
      </c>
      <c r="M28" s="158">
        <f t="shared" si="2"/>
        <v>99.999738564416305</v>
      </c>
      <c r="N28" s="214">
        <v>201268</v>
      </c>
      <c r="O28" s="218"/>
      <c r="P28" s="197"/>
      <c r="Q28" s="197">
        <v>56549.5</v>
      </c>
      <c r="R28" s="158" t="e">
        <f t="shared" si="3"/>
        <v>#DIV/0!</v>
      </c>
      <c r="S28" s="214">
        <v>32164</v>
      </c>
      <c r="T28" s="236"/>
      <c r="U28" s="197">
        <v>176000</v>
      </c>
      <c r="V28" s="197">
        <v>175782.06</v>
      </c>
      <c r="W28" s="158">
        <f t="shared" si="4"/>
        <v>99.876170454545459</v>
      </c>
      <c r="X28" s="237"/>
    </row>
    <row r="29" spans="1:24" s="15" customFormat="1" ht="9.9499999999999993" customHeight="1" x14ac:dyDescent="0.2">
      <c r="A29" s="180" t="s">
        <v>50</v>
      </c>
      <c r="B29" s="820" t="s">
        <v>65</v>
      </c>
      <c r="C29" s="821"/>
      <c r="D29" s="172" t="s">
        <v>25</v>
      </c>
      <c r="E29" s="38">
        <f t="shared" si="6"/>
        <v>16100</v>
      </c>
      <c r="F29" s="39">
        <f t="shared" si="6"/>
        <v>17000</v>
      </c>
      <c r="G29" s="39">
        <f t="shared" si="6"/>
        <v>16990.37</v>
      </c>
      <c r="H29" s="14">
        <f t="shared" si="0"/>
        <v>99.943352941176471</v>
      </c>
      <c r="I29" s="40">
        <f t="shared" si="6"/>
        <v>114613</v>
      </c>
      <c r="J29" s="208">
        <v>16100</v>
      </c>
      <c r="K29" s="197">
        <v>17000</v>
      </c>
      <c r="L29" s="197">
        <v>16990.37</v>
      </c>
      <c r="M29" s="158">
        <f t="shared" si="2"/>
        <v>99.943352941176471</v>
      </c>
      <c r="N29" s="214">
        <v>114613</v>
      </c>
      <c r="O29" s="218"/>
      <c r="P29" s="197"/>
      <c r="Q29" s="197"/>
      <c r="R29" s="158" t="e">
        <f t="shared" si="3"/>
        <v>#DIV/0!</v>
      </c>
      <c r="S29" s="214"/>
      <c r="T29" s="236"/>
      <c r="U29" s="197">
        <v>2260</v>
      </c>
      <c r="V29" s="197">
        <v>2257.63</v>
      </c>
      <c r="W29" s="158">
        <f t="shared" si="4"/>
        <v>99.895132743362836</v>
      </c>
      <c r="X29" s="237"/>
    </row>
    <row r="30" spans="1:24" s="6" customFormat="1" ht="9.75" x14ac:dyDescent="0.2">
      <c r="A30" s="180" t="s">
        <v>52</v>
      </c>
      <c r="B30" s="234" t="s">
        <v>51</v>
      </c>
      <c r="C30" s="235"/>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255" t="s">
        <v>66</v>
      </c>
      <c r="C31" s="256"/>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190</v>
      </c>
      <c r="J32" s="230"/>
      <c r="K32" s="222"/>
      <c r="L32" s="222"/>
      <c r="M32" s="201" t="e">
        <f t="shared" si="2"/>
        <v>#DIV/0!</v>
      </c>
      <c r="N32" s="231">
        <v>190</v>
      </c>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99172.039999999106</v>
      </c>
      <c r="H33" s="25" t="e">
        <f t="shared" si="0"/>
        <v>#DIV/0!</v>
      </c>
      <c r="I33" s="29">
        <f>I6-I11</f>
        <v>1915775</v>
      </c>
      <c r="J33" s="29">
        <f t="shared" ref="J33:L33" si="8">J6-J11</f>
        <v>0</v>
      </c>
      <c r="K33" s="29">
        <f t="shared" si="8"/>
        <v>0</v>
      </c>
      <c r="L33" s="29">
        <f t="shared" si="8"/>
        <v>99172.040000000969</v>
      </c>
      <c r="M33" s="19" t="e">
        <f t="shared" si="2"/>
        <v>#DIV/0!</v>
      </c>
      <c r="N33" s="29">
        <f>N6-N11-N32</f>
        <v>325949</v>
      </c>
      <c r="O33" s="29">
        <f t="shared" ref="O33:Q33" si="9">O6-O11</f>
        <v>0</v>
      </c>
      <c r="P33" s="29">
        <f t="shared" si="9"/>
        <v>0</v>
      </c>
      <c r="Q33" s="29">
        <f t="shared" si="9"/>
        <v>0</v>
      </c>
      <c r="R33" s="19" t="e">
        <f t="shared" si="3"/>
        <v>#DIV/0!</v>
      </c>
      <c r="S33" s="29">
        <f t="shared" ref="S33:V33" si="10">S6-S11</f>
        <v>0</v>
      </c>
      <c r="T33" s="29">
        <f t="shared" si="10"/>
        <v>162000</v>
      </c>
      <c r="U33" s="29">
        <f t="shared" si="10"/>
        <v>173450</v>
      </c>
      <c r="V33" s="29">
        <f t="shared" si="10"/>
        <v>178047.99000000022</v>
      </c>
      <c r="W33" s="19">
        <f t="shared" si="4"/>
        <v>102.65090227731348</v>
      </c>
      <c r="X33" s="29">
        <f>X6-X11</f>
        <v>261488</v>
      </c>
    </row>
    <row r="34" spans="1:24" s="4" customFormat="1" ht="9" x14ac:dyDescent="0.2">
      <c r="A34" s="187" t="s">
        <v>56</v>
      </c>
      <c r="B34" s="841" t="s">
        <v>24</v>
      </c>
      <c r="C34" s="842"/>
      <c r="D34" s="188" t="s">
        <v>25</v>
      </c>
      <c r="E34" s="142">
        <v>17660</v>
      </c>
      <c r="F34" s="143">
        <v>17660</v>
      </c>
      <c r="G34" s="143">
        <v>17364</v>
      </c>
      <c r="H34" s="12">
        <v>98.32</v>
      </c>
      <c r="I34" s="247">
        <v>17956</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30</v>
      </c>
      <c r="F35" s="145">
        <v>30</v>
      </c>
      <c r="G35" s="145">
        <v>31</v>
      </c>
      <c r="H35" s="232">
        <v>101.67</v>
      </c>
      <c r="I35" s="248">
        <v>28</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33</v>
      </c>
      <c r="F36" s="249">
        <v>33</v>
      </c>
      <c r="G36" s="249">
        <v>34</v>
      </c>
      <c r="H36" s="233">
        <v>103.03</v>
      </c>
      <c r="I36" s="250">
        <v>31</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1"/>
  <sheetViews>
    <sheetView tabSelected="1" zoomScaleNormal="100" workbookViewId="0"/>
  </sheetViews>
  <sheetFormatPr defaultRowHeight="12.75" x14ac:dyDescent="0.2"/>
  <cols>
    <col min="1" max="1" width="74.75" style="61" customWidth="1"/>
    <col min="2" max="9" width="23.75" style="61" customWidth="1"/>
    <col min="15" max="15" width="11.75" bestFit="1" customWidth="1"/>
    <col min="17" max="17" width="17.75" bestFit="1" customWidth="1"/>
  </cols>
  <sheetData>
    <row r="1" spans="1:9" ht="18.75" x14ac:dyDescent="0.3">
      <c r="A1" s="60" t="s">
        <v>88</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582" t="s">
        <v>25</v>
      </c>
      <c r="D5" s="790" t="s">
        <v>176</v>
      </c>
      <c r="E5" s="1160"/>
      <c r="F5" s="1160"/>
      <c r="G5" s="1160"/>
      <c r="H5" s="1160"/>
      <c r="I5" s="791"/>
    </row>
    <row r="6" spans="1:9" s="87" customFormat="1" ht="11.25" x14ac:dyDescent="0.2">
      <c r="A6" s="1164" t="s">
        <v>177</v>
      </c>
      <c r="B6" s="1165"/>
      <c r="C6" s="283">
        <f>SUM(C7:C9)</f>
        <v>216277.82</v>
      </c>
      <c r="D6" s="1166"/>
      <c r="E6" s="1167"/>
      <c r="F6" s="1167"/>
      <c r="G6" s="1167"/>
      <c r="H6" s="1167"/>
      <c r="I6" s="1168"/>
    </row>
    <row r="7" spans="1:9" s="87" customFormat="1" ht="46.5" customHeight="1" x14ac:dyDescent="0.2">
      <c r="A7" s="1169" t="s">
        <v>69</v>
      </c>
      <c r="B7" s="1170"/>
      <c r="C7" s="284">
        <v>152003.82</v>
      </c>
      <c r="D7" s="778" t="s">
        <v>1030</v>
      </c>
      <c r="E7" s="779"/>
      <c r="F7" s="779"/>
      <c r="G7" s="779"/>
      <c r="H7" s="779"/>
      <c r="I7" s="780"/>
    </row>
    <row r="8" spans="1:9" s="88" customFormat="1" ht="45" customHeight="1" x14ac:dyDescent="0.15">
      <c r="A8" s="757" t="s">
        <v>178</v>
      </c>
      <c r="B8" s="758"/>
      <c r="C8" s="285">
        <v>64274</v>
      </c>
      <c r="D8" s="781" t="s">
        <v>1245</v>
      </c>
      <c r="E8" s="782"/>
      <c r="F8" s="782"/>
      <c r="G8" s="782"/>
      <c r="H8" s="782"/>
      <c r="I8" s="783"/>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582" t="s">
        <v>68</v>
      </c>
      <c r="B13" s="582" t="s">
        <v>181</v>
      </c>
      <c r="C13" s="582" t="s">
        <v>25</v>
      </c>
      <c r="D13" s="286"/>
      <c r="E13" s="287"/>
      <c r="F13" s="287"/>
      <c r="G13" s="287"/>
      <c r="H13" s="287"/>
      <c r="I13" s="287"/>
    </row>
    <row r="14" spans="1:9" s="87" customFormat="1" ht="11.25" x14ac:dyDescent="0.2">
      <c r="A14" s="288" t="s">
        <v>182</v>
      </c>
      <c r="B14" s="289"/>
      <c r="C14" s="290">
        <v>110835</v>
      </c>
      <c r="D14" s="291"/>
      <c r="E14" s="292"/>
      <c r="F14" s="292"/>
      <c r="G14" s="292"/>
      <c r="H14" s="292"/>
      <c r="I14" s="292"/>
    </row>
    <row r="15" spans="1:9" s="87" customFormat="1" ht="11.25" x14ac:dyDescent="0.2">
      <c r="A15" s="762" t="s">
        <v>183</v>
      </c>
      <c r="B15" s="293" t="s">
        <v>70</v>
      </c>
      <c r="C15" s="294">
        <v>90442.82</v>
      </c>
      <c r="D15" s="295"/>
      <c r="E15" s="296"/>
      <c r="F15" s="296"/>
      <c r="G15" s="296"/>
      <c r="H15" s="296"/>
      <c r="I15" s="296"/>
    </row>
    <row r="16" spans="1:9" s="87" customFormat="1" ht="11.25" x14ac:dyDescent="0.2">
      <c r="A16" s="1156"/>
      <c r="B16" s="297" t="s">
        <v>71</v>
      </c>
      <c r="C16" s="298">
        <v>15000</v>
      </c>
      <c r="D16" s="299"/>
      <c r="E16" s="300"/>
      <c r="F16" s="300"/>
      <c r="G16" s="300"/>
      <c r="H16" s="300"/>
      <c r="I16" s="300"/>
    </row>
    <row r="17" spans="1:9" s="87" customFormat="1" ht="11.25" x14ac:dyDescent="0.2">
      <c r="A17" s="583" t="s">
        <v>177</v>
      </c>
      <c r="B17" s="302"/>
      <c r="C17" s="283">
        <f>SUM(C14:C16)</f>
        <v>216277.82</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customHeight="1" x14ac:dyDescent="0.15">
      <c r="A21" s="585" t="s">
        <v>181</v>
      </c>
      <c r="B21" s="585" t="s">
        <v>185</v>
      </c>
      <c r="C21" s="307" t="s">
        <v>186</v>
      </c>
      <c r="D21" s="585" t="s">
        <v>187</v>
      </c>
      <c r="E21" s="585" t="s">
        <v>188</v>
      </c>
      <c r="F21" s="743" t="s">
        <v>189</v>
      </c>
      <c r="G21" s="744"/>
      <c r="H21" s="744"/>
      <c r="I21" s="880"/>
    </row>
    <row r="22" spans="1:9" s="87" customFormat="1" ht="11.25" customHeight="1" x14ac:dyDescent="0.2">
      <c r="A22" s="310" t="s">
        <v>190</v>
      </c>
      <c r="B22" s="124">
        <v>215957.09</v>
      </c>
      <c r="C22" s="124">
        <v>150049.75</v>
      </c>
      <c r="D22" s="124">
        <v>238080.74</v>
      </c>
      <c r="E22" s="124">
        <f>B22+C22-D22</f>
        <v>127926.09999999998</v>
      </c>
      <c r="F22" s="778" t="s">
        <v>1031</v>
      </c>
      <c r="G22" s="779"/>
      <c r="H22" s="779"/>
      <c r="I22" s="780"/>
    </row>
    <row r="23" spans="1:9" s="87" customFormat="1" ht="11.25" customHeight="1" x14ac:dyDescent="0.2">
      <c r="A23" s="293" t="s">
        <v>191</v>
      </c>
      <c r="B23" s="125">
        <v>174100.16</v>
      </c>
      <c r="C23" s="125">
        <v>1146552.24</v>
      </c>
      <c r="D23" s="125">
        <v>802369.94</v>
      </c>
      <c r="E23" s="125">
        <f t="shared" ref="E23:E25" si="0">B23+C23-D23</f>
        <v>518282.45999999996</v>
      </c>
      <c r="F23" s="781" t="s">
        <v>1032</v>
      </c>
      <c r="G23" s="782"/>
      <c r="H23" s="782"/>
      <c r="I23" s="783"/>
    </row>
    <row r="24" spans="1:9" s="87" customFormat="1" ht="11.25" customHeight="1" x14ac:dyDescent="0.2">
      <c r="A24" s="293" t="s">
        <v>71</v>
      </c>
      <c r="B24" s="125">
        <v>61480.77</v>
      </c>
      <c r="C24" s="125">
        <v>0</v>
      </c>
      <c r="D24" s="125">
        <v>24540</v>
      </c>
      <c r="E24" s="125">
        <f t="shared" si="0"/>
        <v>36940.769999999997</v>
      </c>
      <c r="F24" s="781" t="s">
        <v>1033</v>
      </c>
      <c r="G24" s="782"/>
      <c r="H24" s="782"/>
      <c r="I24" s="783"/>
    </row>
    <row r="25" spans="1:9" s="87" customFormat="1" ht="11.25" customHeight="1" x14ac:dyDescent="0.2">
      <c r="A25" s="311" t="s">
        <v>193</v>
      </c>
      <c r="B25" s="126">
        <v>211584.79</v>
      </c>
      <c r="C25" s="126">
        <v>175909</v>
      </c>
      <c r="D25" s="126">
        <v>218700.72</v>
      </c>
      <c r="E25" s="126">
        <f t="shared" si="0"/>
        <v>168793.07000000004</v>
      </c>
      <c r="F25" s="784" t="s">
        <v>1029</v>
      </c>
      <c r="G25" s="785"/>
      <c r="H25" s="785"/>
      <c r="I25" s="786"/>
    </row>
    <row r="26" spans="1:9" s="88" customFormat="1" ht="10.5" x14ac:dyDescent="0.15">
      <c r="A26" s="670" t="s">
        <v>34</v>
      </c>
      <c r="B26" s="283">
        <f>SUM(B22:B25)</f>
        <v>663122.81000000006</v>
      </c>
      <c r="C26" s="283">
        <f t="shared" ref="C26:E26" si="1">SUM(C22:C25)</f>
        <v>1472510.99</v>
      </c>
      <c r="D26" s="283">
        <f t="shared" si="1"/>
        <v>1283691.3999999999</v>
      </c>
      <c r="E26" s="283">
        <f t="shared" si="1"/>
        <v>851942.40000000002</v>
      </c>
      <c r="F26" s="1157"/>
      <c r="G26" s="1158"/>
      <c r="H26" s="1158"/>
      <c r="I26" s="1159"/>
    </row>
    <row r="27" spans="1:9" s="88" customFormat="1" ht="10.5" x14ac:dyDescent="0.15">
      <c r="A27" s="595"/>
      <c r="B27" s="596"/>
      <c r="C27" s="596"/>
      <c r="D27" s="596"/>
      <c r="E27" s="596"/>
      <c r="F27" s="597"/>
      <c r="G27" s="597"/>
      <c r="H27" s="597"/>
      <c r="I27" s="597"/>
    </row>
    <row r="28" spans="1:9" s="87" customFormat="1" ht="11.25" x14ac:dyDescent="0.2">
      <c r="C28" s="89"/>
    </row>
    <row r="29" spans="1:9" s="87" customFormat="1" ht="11.25" x14ac:dyDescent="0.2">
      <c r="A29" s="742" t="s">
        <v>195</v>
      </c>
      <c r="B29" s="742"/>
      <c r="C29" s="742"/>
      <c r="D29" s="742"/>
      <c r="E29" s="742"/>
      <c r="F29" s="742"/>
      <c r="G29" s="742"/>
      <c r="H29" s="742"/>
      <c r="I29" s="742"/>
    </row>
    <row r="30" spans="1:9" s="87" customFormat="1" ht="11.25" x14ac:dyDescent="0.2">
      <c r="C30" s="89"/>
    </row>
    <row r="31" spans="1:9" s="87" customFormat="1" ht="11.25" x14ac:dyDescent="0.2">
      <c r="A31" s="582" t="s">
        <v>72</v>
      </c>
      <c r="B31" s="582" t="s">
        <v>25</v>
      </c>
      <c r="C31" s="584" t="s">
        <v>73</v>
      </c>
      <c r="D31" s="790" t="s">
        <v>196</v>
      </c>
      <c r="E31" s="1160"/>
      <c r="F31" s="1160"/>
      <c r="G31" s="1160"/>
      <c r="H31" s="1160"/>
      <c r="I31" s="791"/>
    </row>
    <row r="32" spans="1:9" s="87" customFormat="1" ht="11.25" x14ac:dyDescent="0.2">
      <c r="A32" s="313"/>
      <c r="B32" s="131">
        <v>0</v>
      </c>
      <c r="C32" s="314"/>
      <c r="D32" s="774"/>
      <c r="E32" s="746"/>
      <c r="F32" s="746"/>
      <c r="G32" s="746"/>
      <c r="H32" s="746"/>
      <c r="I32" s="775"/>
    </row>
    <row r="33" spans="1:9" s="88" customFormat="1" ht="11.25" x14ac:dyDescent="0.2">
      <c r="A33" s="315" t="s">
        <v>34</v>
      </c>
      <c r="B33" s="316">
        <f>SUM(B32:B32)</f>
        <v>0</v>
      </c>
      <c r="C33" s="1161"/>
      <c r="D33" s="1162"/>
      <c r="E33" s="1162"/>
      <c r="F33" s="1162"/>
      <c r="G33" s="1162"/>
      <c r="H33" s="1162"/>
      <c r="I33" s="1163"/>
    </row>
    <row r="34" spans="1:9" s="87" customFormat="1" ht="15" customHeight="1" x14ac:dyDescent="0.2">
      <c r="C34" s="89"/>
    </row>
    <row r="35" spans="1:9" s="87" customFormat="1" ht="11.25" x14ac:dyDescent="0.2">
      <c r="A35" s="742" t="s">
        <v>197</v>
      </c>
      <c r="B35" s="742"/>
      <c r="C35" s="742"/>
      <c r="D35" s="742"/>
      <c r="E35" s="742"/>
      <c r="F35" s="742"/>
      <c r="G35" s="742"/>
      <c r="H35" s="742"/>
      <c r="I35" s="742"/>
    </row>
    <row r="36" spans="1:9" s="87" customFormat="1" ht="11.25" x14ac:dyDescent="0.2">
      <c r="C36" s="89"/>
    </row>
    <row r="37" spans="1:9" s="87" customFormat="1" ht="11.25" x14ac:dyDescent="0.2">
      <c r="A37" s="582" t="s">
        <v>72</v>
      </c>
      <c r="B37" s="582" t="s">
        <v>25</v>
      </c>
      <c r="C37" s="584" t="s">
        <v>73</v>
      </c>
      <c r="D37" s="790" t="s">
        <v>196</v>
      </c>
      <c r="E37" s="1160"/>
      <c r="F37" s="1160"/>
      <c r="G37" s="1160"/>
      <c r="H37" s="1160"/>
      <c r="I37" s="791"/>
    </row>
    <row r="38" spans="1:9" s="87" customFormat="1" ht="11.25" x14ac:dyDescent="0.2">
      <c r="A38" s="313"/>
      <c r="B38" s="131">
        <v>0</v>
      </c>
      <c r="C38" s="314"/>
      <c r="D38" s="774"/>
      <c r="E38" s="746"/>
      <c r="F38" s="746"/>
      <c r="G38" s="746"/>
      <c r="H38" s="746"/>
      <c r="I38" s="775"/>
    </row>
    <row r="39" spans="1:9" s="88" customFormat="1" ht="10.5" x14ac:dyDescent="0.15">
      <c r="A39" s="315" t="s">
        <v>34</v>
      </c>
      <c r="B39" s="316">
        <f>SUM(B38:B38)</f>
        <v>0</v>
      </c>
      <c r="C39" s="1171"/>
      <c r="D39" s="1172"/>
      <c r="E39" s="1172"/>
      <c r="F39" s="1172"/>
      <c r="G39" s="1172"/>
      <c r="H39" s="1172"/>
      <c r="I39" s="1173"/>
    </row>
    <row r="40" spans="1:9" s="87" customFormat="1" ht="11.25" x14ac:dyDescent="0.2">
      <c r="C40" s="89"/>
    </row>
    <row r="41" spans="1:9" s="87" customFormat="1" ht="11.25" x14ac:dyDescent="0.2">
      <c r="A41" s="742" t="s">
        <v>198</v>
      </c>
      <c r="B41" s="742"/>
      <c r="C41" s="742"/>
      <c r="D41" s="742"/>
      <c r="E41" s="742"/>
      <c r="F41" s="742"/>
      <c r="G41" s="742"/>
      <c r="H41" s="742"/>
      <c r="I41" s="742"/>
    </row>
    <row r="42" spans="1:9" s="87" customFormat="1" ht="11.25" x14ac:dyDescent="0.2">
      <c r="C42" s="89"/>
    </row>
    <row r="43" spans="1:9" s="87" customFormat="1" ht="21" x14ac:dyDescent="0.2">
      <c r="A43" s="582" t="s">
        <v>25</v>
      </c>
      <c r="B43" s="307" t="s">
        <v>100</v>
      </c>
      <c r="C43" s="1174" t="s">
        <v>74</v>
      </c>
      <c r="D43" s="1175"/>
      <c r="E43" s="1175"/>
      <c r="F43" s="1175"/>
      <c r="G43" s="1175"/>
      <c r="H43" s="1175"/>
      <c r="I43" s="1176"/>
    </row>
    <row r="44" spans="1:9" s="87" customFormat="1" ht="11.25" x14ac:dyDescent="0.2">
      <c r="A44" s="124"/>
      <c r="B44" s="124">
        <v>0</v>
      </c>
      <c r="C44" s="1153"/>
      <c r="D44" s="1154"/>
      <c r="E44" s="1154"/>
      <c r="F44" s="1154"/>
      <c r="G44" s="1154"/>
      <c r="H44" s="1154"/>
      <c r="I44" s="1155"/>
    </row>
    <row r="45" spans="1:9" s="88" customFormat="1" ht="10.5" x14ac:dyDescent="0.15">
      <c r="A45" s="283">
        <f>SUM(A44:A44)</f>
        <v>0</v>
      </c>
      <c r="B45" s="283">
        <f>SUM(B44:B44)</f>
        <v>0</v>
      </c>
      <c r="C45" s="1177" t="s">
        <v>34</v>
      </c>
      <c r="D45" s="1178"/>
      <c r="E45" s="1178"/>
      <c r="F45" s="1178"/>
      <c r="G45" s="1178"/>
      <c r="H45" s="1178"/>
      <c r="I45" s="1179"/>
    </row>
    <row r="46" spans="1:9" s="87" customFormat="1" ht="11.25" x14ac:dyDescent="0.2">
      <c r="C46" s="89"/>
    </row>
    <row r="47" spans="1:9" s="87" customFormat="1" ht="11.25" x14ac:dyDescent="0.2">
      <c r="A47" s="742" t="s">
        <v>199</v>
      </c>
      <c r="B47" s="742"/>
      <c r="C47" s="742"/>
      <c r="D47" s="742"/>
      <c r="E47" s="742"/>
      <c r="F47" s="742"/>
      <c r="G47" s="742"/>
      <c r="H47" s="742"/>
      <c r="I47" s="742"/>
    </row>
    <row r="48" spans="1:9" s="87" customFormat="1" ht="11.25" customHeight="1" x14ac:dyDescent="0.2">
      <c r="A48" s="586"/>
      <c r="B48" s="587"/>
      <c r="C48" s="587"/>
      <c r="D48" s="587"/>
      <c r="E48" s="587"/>
      <c r="F48" s="587"/>
      <c r="G48" s="587"/>
      <c r="H48" s="587"/>
      <c r="I48" s="588"/>
    </row>
    <row r="49" spans="1:10" s="87" customFormat="1" ht="20.100000000000001" customHeight="1" x14ac:dyDescent="0.2">
      <c r="A49" s="747" t="s">
        <v>101</v>
      </c>
      <c r="B49" s="883"/>
      <c r="C49" s="150" t="s">
        <v>102</v>
      </c>
      <c r="D49" s="150" t="s">
        <v>103</v>
      </c>
      <c r="E49" s="150" t="s">
        <v>104</v>
      </c>
      <c r="F49" s="150" t="s">
        <v>105</v>
      </c>
      <c r="G49" s="150" t="s">
        <v>94</v>
      </c>
      <c r="H49" s="598"/>
      <c r="I49" s="598"/>
      <c r="J49" s="598"/>
    </row>
    <row r="50" spans="1:10" s="28" customFormat="1" x14ac:dyDescent="0.2">
      <c r="A50" s="1180" t="s">
        <v>1048</v>
      </c>
      <c r="B50" s="1181"/>
      <c r="C50" s="165">
        <v>551</v>
      </c>
      <c r="D50" s="93"/>
      <c r="E50" s="93">
        <v>594302</v>
      </c>
      <c r="F50" s="349">
        <v>42107</v>
      </c>
      <c r="G50" s="349">
        <v>42143</v>
      </c>
      <c r="H50" s="598"/>
      <c r="I50" s="598"/>
      <c r="J50" s="598"/>
    </row>
    <row r="51" spans="1:10" s="28" customFormat="1" ht="21" customHeight="1" x14ac:dyDescent="0.2">
      <c r="A51" s="1182"/>
      <c r="B51" s="995"/>
      <c r="C51" s="166">
        <v>672</v>
      </c>
      <c r="D51" s="148">
        <v>594302</v>
      </c>
      <c r="E51" s="148"/>
      <c r="F51" s="352">
        <v>42107</v>
      </c>
      <c r="G51" s="352">
        <v>42143</v>
      </c>
      <c r="H51" s="598"/>
      <c r="I51" s="598"/>
      <c r="J51" s="598"/>
    </row>
    <row r="52" spans="1:10" s="28" customFormat="1" x14ac:dyDescent="0.2">
      <c r="A52" s="1183" t="s">
        <v>1047</v>
      </c>
      <c r="B52" s="1151"/>
      <c r="C52" s="166">
        <v>684</v>
      </c>
      <c r="D52" s="148">
        <v>75860</v>
      </c>
      <c r="E52" s="148"/>
      <c r="F52" s="352">
        <v>42171</v>
      </c>
      <c r="G52" s="352">
        <v>42187</v>
      </c>
      <c r="H52" s="598"/>
      <c r="I52" s="598"/>
      <c r="J52" s="598"/>
    </row>
    <row r="53" spans="1:10" s="28" customFormat="1" ht="21.75" customHeight="1" x14ac:dyDescent="0.2">
      <c r="A53" s="1182"/>
      <c r="B53" s="995"/>
      <c r="C53" s="166">
        <v>511</v>
      </c>
      <c r="D53" s="148"/>
      <c r="E53" s="148">
        <v>75860</v>
      </c>
      <c r="F53" s="352">
        <v>42171</v>
      </c>
      <c r="G53" s="352">
        <v>42187</v>
      </c>
      <c r="H53" s="598"/>
      <c r="I53" s="598"/>
      <c r="J53" s="598"/>
    </row>
    <row r="54" spans="1:10" s="28" customFormat="1" x14ac:dyDescent="0.2">
      <c r="A54" s="1036" t="s">
        <v>1034</v>
      </c>
      <c r="B54" s="867"/>
      <c r="C54" s="166">
        <v>511</v>
      </c>
      <c r="D54" s="148">
        <v>-50000</v>
      </c>
      <c r="E54" s="148"/>
      <c r="F54" s="352">
        <v>42187</v>
      </c>
      <c r="G54" s="352">
        <v>42187</v>
      </c>
      <c r="H54" s="598"/>
      <c r="I54" s="598"/>
      <c r="J54" s="598"/>
    </row>
    <row r="55" spans="1:10" s="28" customFormat="1" x14ac:dyDescent="0.2">
      <c r="A55" s="1036" t="s">
        <v>1034</v>
      </c>
      <c r="B55" s="867"/>
      <c r="C55" s="166">
        <v>501</v>
      </c>
      <c r="D55" s="148"/>
      <c r="E55" s="148">
        <v>-50000</v>
      </c>
      <c r="F55" s="352">
        <v>42187</v>
      </c>
      <c r="G55" s="352">
        <v>42187</v>
      </c>
      <c r="H55" s="598"/>
      <c r="I55" s="598"/>
      <c r="J55" s="598"/>
    </row>
    <row r="56" spans="1:10" s="28" customFormat="1" x14ac:dyDescent="0.2">
      <c r="A56" s="1036" t="s">
        <v>1035</v>
      </c>
      <c r="B56" s="867"/>
      <c r="C56" s="166">
        <v>662</v>
      </c>
      <c r="D56" s="148">
        <v>-12000</v>
      </c>
      <c r="E56" s="148"/>
      <c r="F56" s="352">
        <v>42257</v>
      </c>
      <c r="G56" s="352">
        <v>42257</v>
      </c>
      <c r="H56" s="598"/>
      <c r="I56" s="598"/>
      <c r="J56" s="598"/>
    </row>
    <row r="57" spans="1:10" s="28" customFormat="1" x14ac:dyDescent="0.2">
      <c r="A57" s="1073" t="s">
        <v>1036</v>
      </c>
      <c r="B57" s="866"/>
      <c r="C57" s="166">
        <v>501</v>
      </c>
      <c r="D57" s="148"/>
      <c r="E57" s="148">
        <v>-12000</v>
      </c>
      <c r="F57" s="352">
        <v>42257</v>
      </c>
      <c r="G57" s="352">
        <v>42257</v>
      </c>
      <c r="H57" s="598"/>
      <c r="I57" s="598"/>
      <c r="J57" s="598"/>
    </row>
    <row r="58" spans="1:10" s="28" customFormat="1" x14ac:dyDescent="0.2">
      <c r="A58" s="1036" t="s">
        <v>1037</v>
      </c>
      <c r="B58" s="867"/>
      <c r="C58" s="166">
        <v>602</v>
      </c>
      <c r="D58" s="148">
        <v>103000</v>
      </c>
      <c r="E58" s="148"/>
      <c r="F58" s="352">
        <v>42318</v>
      </c>
      <c r="G58" s="352">
        <v>42318</v>
      </c>
      <c r="H58" s="598"/>
      <c r="I58" s="598"/>
      <c r="J58" s="598"/>
    </row>
    <row r="59" spans="1:10" s="28" customFormat="1" x14ac:dyDescent="0.2">
      <c r="A59" s="1036" t="s">
        <v>1036</v>
      </c>
      <c r="B59" s="867"/>
      <c r="C59" s="166">
        <v>501</v>
      </c>
      <c r="D59" s="148"/>
      <c r="E59" s="148">
        <v>-40000</v>
      </c>
      <c r="F59" s="352">
        <v>42318</v>
      </c>
      <c r="G59" s="352">
        <v>42318</v>
      </c>
      <c r="H59" s="598"/>
      <c r="I59" s="598"/>
      <c r="J59" s="598"/>
    </row>
    <row r="60" spans="1:10" s="28" customFormat="1" x14ac:dyDescent="0.2">
      <c r="A60" s="1073" t="s">
        <v>1038</v>
      </c>
      <c r="B60" s="866"/>
      <c r="C60" s="166">
        <v>558</v>
      </c>
      <c r="D60" s="148"/>
      <c r="E60" s="148">
        <v>143000</v>
      </c>
      <c r="F60" s="352">
        <v>42318</v>
      </c>
      <c r="G60" s="352">
        <v>42318</v>
      </c>
      <c r="H60" s="598"/>
      <c r="I60" s="598"/>
      <c r="J60" s="598"/>
    </row>
    <row r="61" spans="1:10" s="28" customFormat="1" x14ac:dyDescent="0.2">
      <c r="A61" s="1073" t="s">
        <v>1039</v>
      </c>
      <c r="B61" s="866"/>
      <c r="C61" s="166">
        <v>513</v>
      </c>
      <c r="D61" s="148"/>
      <c r="E61" s="148">
        <v>-2000</v>
      </c>
      <c r="F61" s="352">
        <v>42318</v>
      </c>
      <c r="G61" s="352">
        <v>42318</v>
      </c>
      <c r="H61" s="598"/>
      <c r="I61" s="598"/>
      <c r="J61" s="598"/>
    </row>
    <row r="62" spans="1:10" s="28" customFormat="1" x14ac:dyDescent="0.2">
      <c r="A62" s="1073" t="s">
        <v>1038</v>
      </c>
      <c r="B62" s="866"/>
      <c r="C62" s="166">
        <v>558</v>
      </c>
      <c r="D62" s="148"/>
      <c r="E62" s="148">
        <v>1000</v>
      </c>
      <c r="F62" s="352">
        <v>42318</v>
      </c>
      <c r="G62" s="352">
        <v>42318</v>
      </c>
      <c r="H62" s="598"/>
      <c r="I62" s="598"/>
      <c r="J62" s="598"/>
    </row>
    <row r="63" spans="1:10" s="28" customFormat="1" x14ac:dyDescent="0.2">
      <c r="A63" s="1073" t="s">
        <v>1040</v>
      </c>
      <c r="B63" s="866"/>
      <c r="C63" s="166">
        <v>518</v>
      </c>
      <c r="D63" s="148"/>
      <c r="E63" s="148">
        <v>1000</v>
      </c>
      <c r="F63" s="352">
        <v>42318</v>
      </c>
      <c r="G63" s="352">
        <v>42318</v>
      </c>
      <c r="H63" s="598"/>
      <c r="I63" s="598"/>
      <c r="J63" s="598"/>
    </row>
    <row r="64" spans="1:10" s="28" customFormat="1" x14ac:dyDescent="0.2">
      <c r="A64" s="1073" t="s">
        <v>1036</v>
      </c>
      <c r="B64" s="866"/>
      <c r="C64" s="166">
        <v>501</v>
      </c>
      <c r="D64" s="148"/>
      <c r="E64" s="148">
        <v>-17000</v>
      </c>
      <c r="F64" s="352">
        <v>42318</v>
      </c>
      <c r="G64" s="352">
        <v>42318</v>
      </c>
      <c r="H64" s="598"/>
      <c r="I64" s="598"/>
      <c r="J64" s="598"/>
    </row>
    <row r="65" spans="1:10" s="28" customFormat="1" x14ac:dyDescent="0.2">
      <c r="A65" s="1073" t="s">
        <v>1040</v>
      </c>
      <c r="B65" s="866"/>
      <c r="C65" s="166">
        <v>518</v>
      </c>
      <c r="D65" s="148"/>
      <c r="E65" s="148">
        <v>17000</v>
      </c>
      <c r="F65" s="352">
        <v>42318</v>
      </c>
      <c r="G65" s="352">
        <v>42318</v>
      </c>
      <c r="H65" s="598"/>
      <c r="I65" s="598"/>
      <c r="J65" s="598"/>
    </row>
    <row r="66" spans="1:10" s="28" customFormat="1" x14ac:dyDescent="0.2">
      <c r="A66" s="1073" t="s">
        <v>1042</v>
      </c>
      <c r="B66" s="866"/>
      <c r="C66" s="166">
        <v>649</v>
      </c>
      <c r="D66" s="148">
        <v>10000</v>
      </c>
      <c r="E66" s="148"/>
      <c r="F66" s="352"/>
      <c r="G66" s="352"/>
      <c r="H66" s="598"/>
      <c r="I66" s="598"/>
      <c r="J66" s="598"/>
    </row>
    <row r="67" spans="1:10" s="28" customFormat="1" x14ac:dyDescent="0.2">
      <c r="A67" s="1073" t="s">
        <v>1041</v>
      </c>
      <c r="B67" s="866"/>
      <c r="C67" s="166">
        <v>549</v>
      </c>
      <c r="D67" s="148"/>
      <c r="E67" s="148">
        <v>6000</v>
      </c>
      <c r="F67" s="352">
        <v>42318</v>
      </c>
      <c r="G67" s="352">
        <v>42318</v>
      </c>
      <c r="H67" s="598"/>
      <c r="I67" s="598"/>
      <c r="J67" s="598"/>
    </row>
    <row r="68" spans="1:10" s="28" customFormat="1" x14ac:dyDescent="0.2">
      <c r="A68" s="1073" t="s">
        <v>1040</v>
      </c>
      <c r="B68" s="866"/>
      <c r="C68" s="166">
        <v>518</v>
      </c>
      <c r="D68" s="148"/>
      <c r="E68" s="148">
        <v>4000</v>
      </c>
      <c r="F68" s="352">
        <v>42318</v>
      </c>
      <c r="G68" s="352">
        <v>42318</v>
      </c>
      <c r="H68" s="598"/>
      <c r="I68" s="598"/>
      <c r="J68" s="598"/>
    </row>
    <row r="69" spans="1:10" s="28" customFormat="1" x14ac:dyDescent="0.2">
      <c r="A69" s="1150" t="s">
        <v>1049</v>
      </c>
      <c r="B69" s="1151"/>
      <c r="C69" s="166">
        <v>672</v>
      </c>
      <c r="D69" s="148">
        <v>-200000</v>
      </c>
      <c r="E69" s="148"/>
      <c r="F69" s="352">
        <v>42318</v>
      </c>
      <c r="G69" s="352">
        <v>42327</v>
      </c>
      <c r="H69" s="598"/>
      <c r="I69" s="598"/>
      <c r="J69" s="598"/>
    </row>
    <row r="70" spans="1:10" s="28" customFormat="1" ht="10.5" customHeight="1" x14ac:dyDescent="0.2">
      <c r="A70" s="994"/>
      <c r="B70" s="995"/>
      <c r="C70" s="166">
        <v>502</v>
      </c>
      <c r="D70" s="148"/>
      <c r="E70" s="148">
        <v>-200000</v>
      </c>
      <c r="F70" s="352">
        <v>42318</v>
      </c>
      <c r="G70" s="352">
        <v>42327</v>
      </c>
      <c r="H70" s="598"/>
      <c r="I70" s="598"/>
      <c r="J70" s="598"/>
    </row>
    <row r="71" spans="1:10" s="28" customFormat="1" x14ac:dyDescent="0.2">
      <c r="A71" s="1073" t="s">
        <v>604</v>
      </c>
      <c r="B71" s="866"/>
      <c r="C71" s="166">
        <v>684</v>
      </c>
      <c r="D71" s="148">
        <v>24540</v>
      </c>
      <c r="E71" s="148"/>
      <c r="F71" s="352">
        <v>42338</v>
      </c>
      <c r="G71" s="352">
        <v>42338</v>
      </c>
      <c r="H71" s="598"/>
      <c r="I71" s="598"/>
      <c r="J71" s="598"/>
    </row>
    <row r="72" spans="1:10" s="28" customFormat="1" x14ac:dyDescent="0.2">
      <c r="A72" s="1073" t="s">
        <v>1042</v>
      </c>
      <c r="B72" s="866"/>
      <c r="C72" s="166">
        <v>649</v>
      </c>
      <c r="D72" s="148">
        <v>8644</v>
      </c>
      <c r="E72" s="148"/>
      <c r="F72" s="352">
        <v>42338</v>
      </c>
      <c r="G72" s="352">
        <v>42338</v>
      </c>
      <c r="H72" s="598"/>
      <c r="I72" s="598"/>
      <c r="J72" s="598"/>
    </row>
    <row r="73" spans="1:10" s="28" customFormat="1" x14ac:dyDescent="0.2">
      <c r="A73" s="1073" t="s">
        <v>604</v>
      </c>
      <c r="B73" s="866"/>
      <c r="C73" s="166">
        <v>521</v>
      </c>
      <c r="D73" s="148"/>
      <c r="E73" s="148">
        <v>24540</v>
      </c>
      <c r="F73" s="352">
        <v>42338</v>
      </c>
      <c r="G73" s="352">
        <v>42338</v>
      </c>
      <c r="H73" s="598"/>
      <c r="I73" s="598"/>
      <c r="J73" s="598"/>
    </row>
    <row r="74" spans="1:10" s="28" customFormat="1" x14ac:dyDescent="0.2">
      <c r="A74" s="1073" t="s">
        <v>1246</v>
      </c>
      <c r="B74" s="866"/>
      <c r="C74" s="166">
        <v>527</v>
      </c>
      <c r="D74" s="148"/>
      <c r="E74" s="148">
        <v>300</v>
      </c>
      <c r="F74" s="352">
        <v>42338</v>
      </c>
      <c r="G74" s="352">
        <v>42338</v>
      </c>
      <c r="H74" s="598"/>
      <c r="I74" s="598"/>
      <c r="J74" s="598"/>
    </row>
    <row r="75" spans="1:10" s="28" customFormat="1" x14ac:dyDescent="0.2">
      <c r="A75" s="1073" t="s">
        <v>1043</v>
      </c>
      <c r="B75" s="866"/>
      <c r="C75" s="166">
        <v>524</v>
      </c>
      <c r="D75" s="148"/>
      <c r="E75" s="148">
        <v>8344</v>
      </c>
      <c r="F75" s="352">
        <v>42338</v>
      </c>
      <c r="G75" s="352">
        <v>42338</v>
      </c>
      <c r="H75" s="598"/>
      <c r="I75" s="598"/>
      <c r="J75" s="598"/>
    </row>
    <row r="76" spans="1:10" s="28" customFormat="1" x14ac:dyDescent="0.2">
      <c r="A76" s="1150" t="s">
        <v>1050</v>
      </c>
      <c r="B76" s="1151"/>
      <c r="C76" s="166">
        <v>512</v>
      </c>
      <c r="D76" s="148"/>
      <c r="E76" s="148">
        <v>-7000</v>
      </c>
      <c r="F76" s="352">
        <v>42346</v>
      </c>
      <c r="G76" s="352">
        <v>42356</v>
      </c>
      <c r="H76" s="598"/>
      <c r="I76" s="598"/>
      <c r="J76" s="598"/>
    </row>
    <row r="77" spans="1:10" s="28" customFormat="1" ht="22.5" customHeight="1" x14ac:dyDescent="0.2">
      <c r="A77" s="994"/>
      <c r="B77" s="995"/>
      <c r="C77" s="166">
        <v>551</v>
      </c>
      <c r="D77" s="148"/>
      <c r="E77" s="148">
        <v>7000</v>
      </c>
      <c r="F77" s="352">
        <v>42346</v>
      </c>
      <c r="G77" s="352">
        <v>42356</v>
      </c>
      <c r="H77" s="598"/>
      <c r="I77" s="598"/>
      <c r="J77" s="598"/>
    </row>
    <row r="78" spans="1:10" s="28" customFormat="1" x14ac:dyDescent="0.2">
      <c r="A78" s="1073" t="s">
        <v>607</v>
      </c>
      <c r="B78" s="866"/>
      <c r="C78" s="166">
        <v>512</v>
      </c>
      <c r="D78" s="148"/>
      <c r="E78" s="148">
        <v>-4000</v>
      </c>
      <c r="F78" s="352">
        <v>42346</v>
      </c>
      <c r="G78" s="352">
        <v>42346</v>
      </c>
      <c r="H78" s="598"/>
      <c r="I78" s="598"/>
      <c r="J78" s="598"/>
    </row>
    <row r="79" spans="1:10" s="28" customFormat="1" x14ac:dyDescent="0.2">
      <c r="A79" s="1184" t="s">
        <v>1040</v>
      </c>
      <c r="B79" s="869"/>
      <c r="C79" s="167">
        <v>518</v>
      </c>
      <c r="D79" s="164"/>
      <c r="E79" s="164">
        <v>4000</v>
      </c>
      <c r="F79" s="354">
        <v>42346</v>
      </c>
      <c r="G79" s="354">
        <v>42346</v>
      </c>
      <c r="H79" s="598"/>
      <c r="I79" s="598"/>
      <c r="J79" s="598"/>
    </row>
    <row r="80" spans="1:10" s="28" customFormat="1" x14ac:dyDescent="0.2">
      <c r="A80" s="870" t="s">
        <v>111</v>
      </c>
      <c r="B80" s="1152"/>
      <c r="C80" s="605"/>
      <c r="D80" s="129">
        <f>SUM(D50:D79)</f>
        <v>554346</v>
      </c>
      <c r="E80" s="129">
        <f>SUM(E50:E79)</f>
        <v>554346</v>
      </c>
      <c r="F80" s="1148"/>
      <c r="G80" s="1149"/>
      <c r="H80" s="598"/>
      <c r="I80" s="598"/>
      <c r="J80" s="598"/>
    </row>
    <row r="81" spans="1:10" s="28" customFormat="1" x14ac:dyDescent="0.2">
      <c r="A81" s="598"/>
      <c r="B81" s="598"/>
      <c r="C81" s="598"/>
      <c r="D81" s="598"/>
      <c r="E81" s="598"/>
      <c r="F81" s="598"/>
      <c r="G81" s="598"/>
      <c r="H81" s="598"/>
      <c r="I81" s="598"/>
      <c r="J81" s="598"/>
    </row>
    <row r="82" spans="1:10" s="87" customFormat="1" ht="11.25" x14ac:dyDescent="0.2">
      <c r="A82" s="742" t="s">
        <v>211</v>
      </c>
      <c r="B82" s="742"/>
      <c r="C82" s="742"/>
      <c r="D82" s="742"/>
      <c r="E82" s="742"/>
      <c r="F82" s="742"/>
      <c r="G82" s="742"/>
      <c r="H82" s="742"/>
      <c r="I82" s="742"/>
    </row>
    <row r="83" spans="1:10" s="28" customFormat="1" x14ac:dyDescent="0.2">
      <c r="A83" s="598"/>
      <c r="B83" s="598"/>
      <c r="C83" s="598"/>
      <c r="D83" s="598"/>
      <c r="E83" s="598"/>
      <c r="F83" s="598"/>
      <c r="G83" s="598"/>
      <c r="H83" s="598"/>
      <c r="I83" s="598"/>
      <c r="J83" s="598"/>
    </row>
    <row r="84" spans="1:10" s="28" customFormat="1" ht="31.5" x14ac:dyDescent="0.2">
      <c r="A84" s="747" t="s">
        <v>101</v>
      </c>
      <c r="B84" s="748"/>
      <c r="C84" s="150" t="s">
        <v>102</v>
      </c>
      <c r="D84" s="150" t="s">
        <v>103</v>
      </c>
      <c r="E84" s="150" t="s">
        <v>104</v>
      </c>
      <c r="F84" s="150" t="s">
        <v>105</v>
      </c>
      <c r="G84" s="150" t="s">
        <v>94</v>
      </c>
      <c r="H84" s="598"/>
      <c r="I84" s="598"/>
      <c r="J84" s="598"/>
    </row>
    <row r="85" spans="1:10" s="28" customFormat="1" x14ac:dyDescent="0.2">
      <c r="A85" s="1033" t="s">
        <v>1044</v>
      </c>
      <c r="B85" s="868"/>
      <c r="C85" s="165">
        <v>501</v>
      </c>
      <c r="D85" s="609"/>
      <c r="E85" s="609">
        <v>100</v>
      </c>
      <c r="F85" s="349">
        <v>42186</v>
      </c>
      <c r="G85" s="349">
        <v>42186</v>
      </c>
      <c r="H85" s="598"/>
      <c r="I85" s="598"/>
      <c r="J85" s="598"/>
    </row>
    <row r="86" spans="1:10" s="28" customFormat="1" x14ac:dyDescent="0.2">
      <c r="A86" s="1036" t="s">
        <v>849</v>
      </c>
      <c r="B86" s="867"/>
      <c r="C86" s="166">
        <v>511</v>
      </c>
      <c r="D86" s="606"/>
      <c r="E86" s="606">
        <v>-100</v>
      </c>
      <c r="F86" s="352">
        <v>42186</v>
      </c>
      <c r="G86" s="352">
        <v>42186</v>
      </c>
      <c r="H86" s="598"/>
      <c r="I86" s="598"/>
      <c r="J86" s="598"/>
    </row>
    <row r="87" spans="1:10" s="28" customFormat="1" x14ac:dyDescent="0.2">
      <c r="A87" s="1036" t="s">
        <v>1037</v>
      </c>
      <c r="B87" s="867"/>
      <c r="C87" s="166">
        <v>649</v>
      </c>
      <c r="D87" s="606">
        <v>10600</v>
      </c>
      <c r="E87" s="606"/>
      <c r="F87" s="352">
        <v>42359</v>
      </c>
      <c r="G87" s="352">
        <v>42359</v>
      </c>
      <c r="H87" s="598"/>
      <c r="I87" s="598"/>
      <c r="J87" s="598"/>
    </row>
    <row r="88" spans="1:10" s="28" customFormat="1" x14ac:dyDescent="0.2">
      <c r="A88" s="1036" t="s">
        <v>1045</v>
      </c>
      <c r="B88" s="867"/>
      <c r="C88" s="166">
        <v>502</v>
      </c>
      <c r="D88" s="606"/>
      <c r="E88" s="606">
        <v>10600</v>
      </c>
      <c r="F88" s="352">
        <v>42359</v>
      </c>
      <c r="G88" s="352">
        <v>42359</v>
      </c>
      <c r="H88" s="598"/>
      <c r="I88" s="598"/>
      <c r="J88" s="598"/>
    </row>
    <row r="89" spans="1:10" s="28" customFormat="1" x14ac:dyDescent="0.2">
      <c r="A89" s="881" t="s">
        <v>849</v>
      </c>
      <c r="B89" s="882"/>
      <c r="C89" s="167">
        <v>511</v>
      </c>
      <c r="D89" s="607"/>
      <c r="E89" s="607">
        <v>-49900</v>
      </c>
      <c r="F89" s="354">
        <v>42186</v>
      </c>
      <c r="G89" s="608">
        <v>42186</v>
      </c>
      <c r="H89" s="598"/>
      <c r="I89" s="598"/>
      <c r="J89" s="598"/>
    </row>
    <row r="90" spans="1:10" s="28" customFormat="1" x14ac:dyDescent="0.2">
      <c r="A90" s="870" t="s">
        <v>111</v>
      </c>
      <c r="B90" s="871"/>
      <c r="C90" s="605"/>
      <c r="D90" s="129">
        <f>SUM(D85:D88)</f>
        <v>10600</v>
      </c>
      <c r="E90" s="129">
        <f>SUM(E85:E89)</f>
        <v>-39300</v>
      </c>
      <c r="F90" s="1148"/>
      <c r="G90" s="1149"/>
      <c r="H90" s="598"/>
      <c r="I90" s="598"/>
      <c r="J90" s="598"/>
    </row>
    <row r="91" spans="1:10" s="87" customFormat="1" ht="11.25" x14ac:dyDescent="0.2">
      <c r="C91" s="89"/>
    </row>
    <row r="92" spans="1:10" s="87" customFormat="1" ht="11.25" x14ac:dyDescent="0.2">
      <c r="A92" s="738" t="s">
        <v>212</v>
      </c>
      <c r="B92" s="738"/>
      <c r="C92" s="738"/>
      <c r="D92" s="738"/>
      <c r="E92" s="738"/>
      <c r="F92" s="738"/>
      <c r="G92" s="738"/>
      <c r="H92" s="738"/>
      <c r="I92" s="738"/>
    </row>
    <row r="93" spans="1:10" s="87" customFormat="1" ht="11.25" x14ac:dyDescent="0.2"/>
    <row r="94" spans="1:10" s="87" customFormat="1" ht="11.25" x14ac:dyDescent="0.2">
      <c r="A94" s="1185" t="s">
        <v>1046</v>
      </c>
      <c r="B94" s="1186"/>
      <c r="C94" s="1186"/>
      <c r="D94" s="1186"/>
      <c r="E94" s="1186"/>
      <c r="F94" s="1186"/>
      <c r="G94" s="1186"/>
      <c r="H94" s="1186"/>
      <c r="I94" s="1187"/>
    </row>
    <row r="95" spans="1:10" s="87" customFormat="1" ht="11.25" x14ac:dyDescent="0.2"/>
    <row r="96" spans="1:10" s="88" customFormat="1" ht="10.5" x14ac:dyDescent="0.15">
      <c r="A96" s="742" t="s">
        <v>213</v>
      </c>
      <c r="B96" s="742"/>
      <c r="C96" s="742"/>
      <c r="D96" s="742"/>
      <c r="E96" s="742"/>
      <c r="F96" s="742"/>
      <c r="G96" s="742"/>
      <c r="H96" s="742"/>
      <c r="I96" s="742"/>
    </row>
    <row r="97" spans="1:9" s="611" customFormat="1" ht="10.5" x14ac:dyDescent="0.15">
      <c r="A97" s="610"/>
      <c r="B97" s="610"/>
      <c r="C97" s="610"/>
      <c r="D97" s="610"/>
      <c r="E97" s="610"/>
      <c r="F97" s="610"/>
      <c r="G97" s="610"/>
      <c r="H97" s="610"/>
      <c r="I97" s="610"/>
    </row>
    <row r="98" spans="1:9" s="87" customFormat="1" ht="24" customHeight="1" x14ac:dyDescent="0.2">
      <c r="A98" s="739" t="s">
        <v>1247</v>
      </c>
      <c r="B98" s="740"/>
      <c r="C98" s="740"/>
      <c r="D98" s="740"/>
      <c r="E98" s="740"/>
      <c r="F98" s="740"/>
      <c r="G98" s="740"/>
      <c r="H98" s="740"/>
      <c r="I98" s="741"/>
    </row>
    <row r="99" spans="1:9" s="87" customFormat="1" ht="11.25" customHeight="1" x14ac:dyDescent="0.2">
      <c r="A99" s="739" t="s">
        <v>1248</v>
      </c>
      <c r="B99" s="740"/>
      <c r="C99" s="740"/>
      <c r="D99" s="740"/>
      <c r="E99" s="740"/>
      <c r="F99" s="740"/>
      <c r="G99" s="740"/>
      <c r="H99" s="740"/>
      <c r="I99" s="741"/>
    </row>
    <row r="100" spans="1:9" s="87" customFormat="1" ht="11.25" customHeight="1" x14ac:dyDescent="0.2">
      <c r="A100" s="739" t="s">
        <v>1249</v>
      </c>
      <c r="B100" s="740"/>
      <c r="C100" s="740"/>
      <c r="D100" s="740"/>
      <c r="E100" s="740"/>
      <c r="F100" s="740"/>
      <c r="G100" s="740"/>
      <c r="H100" s="740"/>
      <c r="I100" s="741"/>
    </row>
    <row r="101" spans="1:9" s="28" customFormat="1" x14ac:dyDescent="0.2"/>
  </sheetData>
  <mergeCells count="77">
    <mergeCell ref="A60:B60"/>
    <mergeCell ref="A99:I99"/>
    <mergeCell ref="A100:I100"/>
    <mergeCell ref="A55:B55"/>
    <mergeCell ref="A58:B58"/>
    <mergeCell ref="A59:B59"/>
    <mergeCell ref="A62:B62"/>
    <mergeCell ref="A66:B66"/>
    <mergeCell ref="A64:B64"/>
    <mergeCell ref="A79:B79"/>
    <mergeCell ref="A78:B78"/>
    <mergeCell ref="A75:B75"/>
    <mergeCell ref="A92:I92"/>
    <mergeCell ref="A96:I96"/>
    <mergeCell ref="A98:I98"/>
    <mergeCell ref="A94:I94"/>
    <mergeCell ref="F25:I25"/>
    <mergeCell ref="A84:B84"/>
    <mergeCell ref="A85:B85"/>
    <mergeCell ref="A82:I82"/>
    <mergeCell ref="D37:I37"/>
    <mergeCell ref="C39:I39"/>
    <mergeCell ref="A41:I41"/>
    <mergeCell ref="C43:I43"/>
    <mergeCell ref="A47:I47"/>
    <mergeCell ref="C45:I45"/>
    <mergeCell ref="A49:B49"/>
    <mergeCell ref="A50:B51"/>
    <mergeCell ref="A52:B53"/>
    <mergeCell ref="A54:B54"/>
    <mergeCell ref="A56:B56"/>
    <mergeCell ref="A57:B57"/>
    <mergeCell ref="A7:B7"/>
    <mergeCell ref="D7:I7"/>
    <mergeCell ref="D8:I8"/>
    <mergeCell ref="A9:B9"/>
    <mergeCell ref="A8:B8"/>
    <mergeCell ref="A5:B5"/>
    <mergeCell ref="D5:I5"/>
    <mergeCell ref="A6:B6"/>
    <mergeCell ref="D6:I6"/>
    <mergeCell ref="A3:I3"/>
    <mergeCell ref="A35:I35"/>
    <mergeCell ref="D38:I38"/>
    <mergeCell ref="C44:I44"/>
    <mergeCell ref="D9:I9"/>
    <mergeCell ref="A11:I11"/>
    <mergeCell ref="A15:A16"/>
    <mergeCell ref="F26:I26"/>
    <mergeCell ref="D32:I32"/>
    <mergeCell ref="A19:I19"/>
    <mergeCell ref="F21:I21"/>
    <mergeCell ref="A29:I29"/>
    <mergeCell ref="D31:I31"/>
    <mergeCell ref="C33:I33"/>
    <mergeCell ref="F22:I22"/>
    <mergeCell ref="F23:I23"/>
    <mergeCell ref="F24:I24"/>
    <mergeCell ref="A61:B61"/>
    <mergeCell ref="A63:B63"/>
    <mergeCell ref="A65:B65"/>
    <mergeCell ref="A67:B67"/>
    <mergeCell ref="A68:B68"/>
    <mergeCell ref="A90:B90"/>
    <mergeCell ref="F90:G90"/>
    <mergeCell ref="A89:B89"/>
    <mergeCell ref="A69:B70"/>
    <mergeCell ref="A76:B77"/>
    <mergeCell ref="A86:B86"/>
    <mergeCell ref="A87:B87"/>
    <mergeCell ref="A88:B88"/>
    <mergeCell ref="A71:B71"/>
    <mergeCell ref="A72:B72"/>
    <mergeCell ref="A74:B74"/>
    <mergeCell ref="A80:B80"/>
    <mergeCell ref="A73:B73"/>
    <mergeCell ref="F80:G80"/>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4"/>
  <sheetViews>
    <sheetView tabSelected="1" zoomScaleNormal="100" workbookViewId="0"/>
  </sheetViews>
  <sheetFormatPr defaultRowHeight="12.75" x14ac:dyDescent="0.2"/>
  <cols>
    <col min="1" max="1" width="74.75" style="61" customWidth="1"/>
    <col min="2" max="9" width="23.75" style="61" customWidth="1"/>
    <col min="12" max="12" width="15.5" bestFit="1" customWidth="1"/>
    <col min="18" max="18" width="15.5" bestFit="1" customWidth="1"/>
  </cols>
  <sheetData>
    <row r="1" spans="1:9" ht="18.75" x14ac:dyDescent="0.3">
      <c r="A1" s="62" t="s">
        <v>75</v>
      </c>
      <c r="B1" s="62"/>
      <c r="C1" s="62"/>
      <c r="D1" s="62"/>
      <c r="E1" s="62"/>
      <c r="F1" s="62"/>
      <c r="G1" s="62"/>
      <c r="H1" s="62"/>
      <c r="I1" s="62"/>
    </row>
    <row r="3" spans="1:9" s="86" customFormat="1" ht="10.5" x14ac:dyDescent="0.15">
      <c r="A3" s="279" t="s">
        <v>175</v>
      </c>
      <c r="B3" s="279"/>
      <c r="C3" s="279"/>
      <c r="D3" s="279"/>
      <c r="E3" s="279"/>
      <c r="F3" s="279"/>
      <c r="G3" s="279"/>
      <c r="H3" s="279"/>
      <c r="I3" s="279"/>
    </row>
    <row r="4" spans="1:9" s="87" customFormat="1" ht="11.25" x14ac:dyDescent="0.2"/>
    <row r="5" spans="1:9" s="282" customFormat="1" ht="10.5" x14ac:dyDescent="0.15">
      <c r="A5" s="790" t="s">
        <v>68</v>
      </c>
      <c r="B5" s="791"/>
      <c r="C5" s="281" t="s">
        <v>25</v>
      </c>
      <c r="D5" s="788" t="s">
        <v>176</v>
      </c>
      <c r="E5" s="788"/>
      <c r="F5" s="788"/>
      <c r="G5" s="788"/>
      <c r="H5" s="788"/>
      <c r="I5" s="788"/>
    </row>
    <row r="6" spans="1:9" s="87" customFormat="1" ht="11.25" x14ac:dyDescent="0.2">
      <c r="A6" s="792" t="s">
        <v>177</v>
      </c>
      <c r="B6" s="792"/>
      <c r="C6" s="283">
        <f>SUM(C7:C9)</f>
        <v>159158.10999999999</v>
      </c>
      <c r="D6" s="793"/>
      <c r="E6" s="794"/>
      <c r="F6" s="794"/>
      <c r="G6" s="794"/>
      <c r="H6" s="794"/>
      <c r="I6" s="795"/>
    </row>
    <row r="7" spans="1:9" s="87" customFormat="1" ht="35.25" customHeight="1" x14ac:dyDescent="0.2">
      <c r="A7" s="796" t="s">
        <v>69</v>
      </c>
      <c r="B7" s="797"/>
      <c r="C7" s="284">
        <v>159158.10999999999</v>
      </c>
      <c r="D7" s="798" t="s">
        <v>226</v>
      </c>
      <c r="E7" s="798"/>
      <c r="F7" s="798"/>
      <c r="G7" s="798"/>
      <c r="H7" s="798"/>
      <c r="I7" s="798"/>
    </row>
    <row r="8" spans="1:9" s="88" customFormat="1" ht="11.25" x14ac:dyDescent="0.15">
      <c r="A8" s="757" t="s">
        <v>178</v>
      </c>
      <c r="B8" s="758"/>
      <c r="C8" s="285">
        <v>0</v>
      </c>
      <c r="D8" s="737"/>
      <c r="E8" s="789"/>
      <c r="F8" s="789"/>
      <c r="G8" s="789"/>
      <c r="H8" s="789"/>
      <c r="I8" s="789"/>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281" t="s">
        <v>68</v>
      </c>
      <c r="B13" s="281" t="s">
        <v>181</v>
      </c>
      <c r="C13" s="281" t="s">
        <v>25</v>
      </c>
      <c r="D13" s="286"/>
      <c r="E13" s="287"/>
      <c r="F13" s="287"/>
      <c r="G13" s="287"/>
      <c r="H13" s="287"/>
      <c r="I13" s="287"/>
    </row>
    <row r="14" spans="1:9" s="87" customFormat="1" ht="11.25" x14ac:dyDescent="0.2">
      <c r="A14" s="288" t="s">
        <v>182</v>
      </c>
      <c r="B14" s="289"/>
      <c r="C14" s="290">
        <v>20160</v>
      </c>
      <c r="D14" s="291"/>
      <c r="E14" s="292"/>
      <c r="F14" s="292"/>
      <c r="G14" s="292"/>
      <c r="H14" s="292"/>
      <c r="I14" s="292"/>
    </row>
    <row r="15" spans="1:9" s="87" customFormat="1" ht="11.25" x14ac:dyDescent="0.2">
      <c r="A15" s="762" t="s">
        <v>183</v>
      </c>
      <c r="B15" s="293" t="s">
        <v>70</v>
      </c>
      <c r="C15" s="294">
        <v>138998.10999999999</v>
      </c>
      <c r="D15" s="295"/>
      <c r="E15" s="296"/>
      <c r="F15" s="296"/>
      <c r="G15" s="296"/>
      <c r="H15" s="296"/>
      <c r="I15" s="296"/>
    </row>
    <row r="16" spans="1:9" s="87" customFormat="1" ht="11.25" x14ac:dyDescent="0.2">
      <c r="A16" s="763"/>
      <c r="B16" s="297" t="s">
        <v>71</v>
      </c>
      <c r="C16" s="298">
        <v>0</v>
      </c>
      <c r="D16" s="299"/>
      <c r="E16" s="300"/>
      <c r="F16" s="300"/>
      <c r="G16" s="300"/>
      <c r="H16" s="300"/>
      <c r="I16" s="300"/>
    </row>
    <row r="17" spans="1:9" s="87" customFormat="1" ht="11.25" x14ac:dyDescent="0.2">
      <c r="A17" s="301" t="s">
        <v>177</v>
      </c>
      <c r="B17" s="302"/>
      <c r="C17" s="283">
        <f>SUM(C14:C16)</f>
        <v>159158.10999999999</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08" t="s">
        <v>181</v>
      </c>
      <c r="B21" s="308" t="s">
        <v>185</v>
      </c>
      <c r="C21" s="307" t="s">
        <v>186</v>
      </c>
      <c r="D21" s="308" t="s">
        <v>187</v>
      </c>
      <c r="E21" s="308" t="s">
        <v>188</v>
      </c>
      <c r="F21" s="764" t="s">
        <v>189</v>
      </c>
      <c r="G21" s="764"/>
      <c r="H21" s="764"/>
      <c r="I21" s="764"/>
    </row>
    <row r="22" spans="1:9" s="87" customFormat="1" ht="34.5" customHeight="1" x14ac:dyDescent="0.2">
      <c r="A22" s="310" t="s">
        <v>190</v>
      </c>
      <c r="B22" s="124">
        <v>55360.61</v>
      </c>
      <c r="C22" s="124">
        <v>120205.13</v>
      </c>
      <c r="D22" s="124">
        <v>120205.13</v>
      </c>
      <c r="E22" s="124">
        <f>B22+C22-D22</f>
        <v>55360.609999999986</v>
      </c>
      <c r="F22" s="778" t="s">
        <v>1188</v>
      </c>
      <c r="G22" s="779"/>
      <c r="H22" s="779"/>
      <c r="I22" s="780"/>
    </row>
    <row r="23" spans="1:9" s="87" customFormat="1" ht="12" customHeight="1" x14ac:dyDescent="0.2">
      <c r="A23" s="293" t="s">
        <v>191</v>
      </c>
      <c r="B23" s="125">
        <v>96228.25</v>
      </c>
      <c r="C23" s="125">
        <v>374659</v>
      </c>
      <c r="D23" s="125">
        <v>415445</v>
      </c>
      <c r="E23" s="125">
        <f t="shared" ref="E23:E25" si="0">B23+C23-D23</f>
        <v>55442.25</v>
      </c>
      <c r="F23" s="781" t="s">
        <v>217</v>
      </c>
      <c r="G23" s="782"/>
      <c r="H23" s="782"/>
      <c r="I23" s="783"/>
    </row>
    <row r="24" spans="1:9" s="87" customFormat="1" ht="11.25" x14ac:dyDescent="0.2">
      <c r="A24" s="293" t="s">
        <v>71</v>
      </c>
      <c r="B24" s="125">
        <v>42245.49</v>
      </c>
      <c r="C24" s="125">
        <v>0</v>
      </c>
      <c r="D24" s="125">
        <v>0</v>
      </c>
      <c r="E24" s="125">
        <f t="shared" si="0"/>
        <v>42245.49</v>
      </c>
      <c r="F24" s="781" t="s">
        <v>218</v>
      </c>
      <c r="G24" s="782"/>
      <c r="H24" s="782"/>
      <c r="I24" s="783"/>
    </row>
    <row r="25" spans="1:9" s="87" customFormat="1" ht="22.5" customHeight="1" x14ac:dyDescent="0.2">
      <c r="A25" s="311" t="s">
        <v>193</v>
      </c>
      <c r="B25" s="126">
        <v>37323.26</v>
      </c>
      <c r="C25" s="126">
        <v>64771.76</v>
      </c>
      <c r="D25" s="126">
        <v>41400</v>
      </c>
      <c r="E25" s="126">
        <f t="shared" si="0"/>
        <v>60695.020000000004</v>
      </c>
      <c r="F25" s="784" t="s">
        <v>219</v>
      </c>
      <c r="G25" s="785"/>
      <c r="H25" s="785"/>
      <c r="I25" s="786"/>
    </row>
    <row r="26" spans="1:9" s="88" customFormat="1" ht="10.5" x14ac:dyDescent="0.15">
      <c r="A26" s="670" t="s">
        <v>34</v>
      </c>
      <c r="B26" s="283">
        <f>SUM(B22:B25)</f>
        <v>231157.61</v>
      </c>
      <c r="C26" s="283">
        <f t="shared" ref="C26:E26" si="1">SUM(C22:C25)</f>
        <v>559635.89</v>
      </c>
      <c r="D26" s="283">
        <f t="shared" si="1"/>
        <v>577050.13</v>
      </c>
      <c r="E26" s="283">
        <f t="shared" si="1"/>
        <v>213743.37</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281" t="s">
        <v>72</v>
      </c>
      <c r="B30" s="281" t="s">
        <v>25</v>
      </c>
      <c r="C30" s="317" t="s">
        <v>73</v>
      </c>
      <c r="D30" s="788" t="s">
        <v>196</v>
      </c>
      <c r="E30" s="788"/>
      <c r="F30" s="788"/>
      <c r="G30" s="788"/>
      <c r="H30" s="788"/>
      <c r="I30" s="788"/>
    </row>
    <row r="31" spans="1:9" s="87" customFormat="1" ht="11.25" x14ac:dyDescent="0.2">
      <c r="A31" s="313"/>
      <c r="B31" s="131">
        <v>0</v>
      </c>
      <c r="C31" s="314"/>
      <c r="D31" s="778"/>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281" t="s">
        <v>72</v>
      </c>
      <c r="B36" s="281" t="s">
        <v>25</v>
      </c>
      <c r="C36" s="317" t="s">
        <v>73</v>
      </c>
      <c r="D36" s="788" t="s">
        <v>196</v>
      </c>
      <c r="E36" s="788"/>
      <c r="F36" s="788"/>
      <c r="G36" s="788"/>
      <c r="H36" s="788"/>
      <c r="I36" s="788"/>
    </row>
    <row r="37" spans="1:9" s="87" customFormat="1" ht="11.25" x14ac:dyDescent="0.2">
      <c r="A37" s="313"/>
      <c r="B37" s="131">
        <v>0</v>
      </c>
      <c r="C37" s="314"/>
      <c r="D37" s="778"/>
      <c r="E37" s="746"/>
      <c r="F37" s="746"/>
      <c r="G37" s="746"/>
      <c r="H37" s="746"/>
      <c r="I37" s="775"/>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281" t="s">
        <v>25</v>
      </c>
      <c r="B42" s="307" t="s">
        <v>100</v>
      </c>
      <c r="C42" s="765" t="s">
        <v>74</v>
      </c>
      <c r="D42" s="765"/>
      <c r="E42" s="765"/>
      <c r="F42" s="765"/>
      <c r="G42" s="765"/>
      <c r="H42" s="765"/>
      <c r="I42" s="765"/>
    </row>
    <row r="43" spans="1:9" s="87" customFormat="1" ht="11.25" x14ac:dyDescent="0.2">
      <c r="A43" s="124">
        <v>500</v>
      </c>
      <c r="B43" s="124">
        <v>500</v>
      </c>
      <c r="C43" s="847" t="s">
        <v>220</v>
      </c>
      <c r="D43" s="847"/>
      <c r="E43" s="847"/>
      <c r="F43" s="847"/>
      <c r="G43" s="847"/>
      <c r="H43" s="847"/>
      <c r="I43" s="847"/>
    </row>
    <row r="44" spans="1:9" s="87" customFormat="1" ht="11.25" x14ac:dyDescent="0.2">
      <c r="A44" s="125">
        <v>3000</v>
      </c>
      <c r="B44" s="125">
        <v>3000</v>
      </c>
      <c r="C44" s="845" t="s">
        <v>221</v>
      </c>
      <c r="D44" s="845"/>
      <c r="E44" s="845"/>
      <c r="F44" s="845"/>
      <c r="G44" s="845"/>
      <c r="H44" s="845"/>
      <c r="I44" s="845"/>
    </row>
    <row r="45" spans="1:9" s="87" customFormat="1" ht="11.25" x14ac:dyDescent="0.2">
      <c r="A45" s="125">
        <v>5000</v>
      </c>
      <c r="B45" s="125">
        <v>5000</v>
      </c>
      <c r="C45" s="845" t="s">
        <v>222</v>
      </c>
      <c r="D45" s="845"/>
      <c r="E45" s="845"/>
      <c r="F45" s="845"/>
      <c r="G45" s="845"/>
      <c r="H45" s="845"/>
      <c r="I45" s="845"/>
    </row>
    <row r="46" spans="1:9" s="87" customFormat="1" ht="11.25" customHeight="1" x14ac:dyDescent="0.2">
      <c r="A46" s="125">
        <v>2000</v>
      </c>
      <c r="B46" s="125">
        <v>2000</v>
      </c>
      <c r="C46" s="845" t="s">
        <v>222</v>
      </c>
      <c r="D46" s="845"/>
      <c r="E46" s="845"/>
      <c r="F46" s="845"/>
      <c r="G46" s="845"/>
      <c r="H46" s="845"/>
      <c r="I46" s="845"/>
    </row>
    <row r="47" spans="1:9" s="87" customFormat="1" ht="11.25" customHeight="1" x14ac:dyDescent="0.2">
      <c r="A47" s="126">
        <v>6000</v>
      </c>
      <c r="B47" s="126">
        <v>6000</v>
      </c>
      <c r="C47" s="846" t="s">
        <v>222</v>
      </c>
      <c r="D47" s="846"/>
      <c r="E47" s="846"/>
      <c r="F47" s="846"/>
      <c r="G47" s="846"/>
      <c r="H47" s="846"/>
      <c r="I47" s="846"/>
    </row>
    <row r="48" spans="1:9" s="88" customFormat="1" ht="10.5" x14ac:dyDescent="0.15">
      <c r="A48" s="283">
        <f>SUM(A43:A47)</f>
        <v>16500</v>
      </c>
      <c r="B48" s="283">
        <f>SUM(B43:B47)</f>
        <v>16500</v>
      </c>
      <c r="C48" s="767" t="s">
        <v>34</v>
      </c>
      <c r="D48" s="767"/>
      <c r="E48" s="767"/>
      <c r="F48" s="767"/>
      <c r="G48" s="767"/>
      <c r="H48" s="767"/>
      <c r="I48" s="767"/>
    </row>
    <row r="49" spans="1:9" s="87" customFormat="1" ht="11.25" x14ac:dyDescent="0.2">
      <c r="C49" s="89"/>
    </row>
    <row r="50" spans="1:9" s="87" customFormat="1" ht="11.25" x14ac:dyDescent="0.2">
      <c r="A50" s="742" t="s">
        <v>199</v>
      </c>
      <c r="B50" s="742"/>
      <c r="C50" s="742"/>
      <c r="D50" s="742"/>
      <c r="E50" s="742"/>
      <c r="F50" s="742"/>
      <c r="G50" s="742"/>
      <c r="H50" s="742"/>
      <c r="I50" s="742"/>
    </row>
    <row r="51" spans="1:9" s="87" customFormat="1" ht="11.25" x14ac:dyDescent="0.2">
      <c r="C51" s="89"/>
    </row>
    <row r="52" spans="1:9" s="151" customFormat="1" ht="31.5" x14ac:dyDescent="0.25">
      <c r="A52" s="743" t="s">
        <v>101</v>
      </c>
      <c r="B52" s="744"/>
      <c r="C52" s="308" t="s">
        <v>102</v>
      </c>
      <c r="D52" s="308" t="s">
        <v>103</v>
      </c>
      <c r="E52" s="308" t="s">
        <v>104</v>
      </c>
      <c r="F52" s="308" t="s">
        <v>105</v>
      </c>
      <c r="G52" s="308" t="s">
        <v>94</v>
      </c>
    </row>
    <row r="53" spans="1:9" s="87" customFormat="1" ht="11.25" x14ac:dyDescent="0.2">
      <c r="A53" s="844" t="s">
        <v>1189</v>
      </c>
      <c r="B53" s="779"/>
      <c r="C53" s="318" t="s">
        <v>223</v>
      </c>
      <c r="D53" s="591"/>
      <c r="E53" s="591">
        <v>6295</v>
      </c>
      <c r="F53" s="324">
        <v>42048</v>
      </c>
      <c r="G53" s="324">
        <v>42066</v>
      </c>
    </row>
    <row r="54" spans="1:9" s="87" customFormat="1" ht="11.25" x14ac:dyDescent="0.2">
      <c r="A54" s="843" t="s">
        <v>1040</v>
      </c>
      <c r="B54" s="783"/>
      <c r="C54" s="350" t="s">
        <v>224</v>
      </c>
      <c r="D54" s="351"/>
      <c r="E54" s="351">
        <v>-6295</v>
      </c>
      <c r="F54" s="327">
        <v>42048</v>
      </c>
      <c r="G54" s="327">
        <v>42066</v>
      </c>
    </row>
    <row r="55" spans="1:9" s="87" customFormat="1" ht="11.25" x14ac:dyDescent="0.2">
      <c r="A55" s="843" t="s">
        <v>1190</v>
      </c>
      <c r="B55" s="783"/>
      <c r="C55" s="350" t="s">
        <v>108</v>
      </c>
      <c r="D55" s="351"/>
      <c r="E55" s="351">
        <v>1200</v>
      </c>
      <c r="F55" s="327">
        <v>42080</v>
      </c>
      <c r="G55" s="327">
        <v>42130</v>
      </c>
    </row>
    <row r="56" spans="1:9" s="87" customFormat="1" ht="11.25" x14ac:dyDescent="0.2">
      <c r="A56" s="843" t="s">
        <v>1190</v>
      </c>
      <c r="B56" s="783"/>
      <c r="C56" s="350" t="s">
        <v>108</v>
      </c>
      <c r="D56" s="351"/>
      <c r="E56" s="351">
        <v>295800</v>
      </c>
      <c r="F56" s="327">
        <v>42107</v>
      </c>
      <c r="G56" s="327">
        <v>42130</v>
      </c>
    </row>
    <row r="57" spans="1:9" s="87" customFormat="1" ht="11.25" x14ac:dyDescent="0.2">
      <c r="A57" s="848" t="s">
        <v>1191</v>
      </c>
      <c r="B57" s="785"/>
      <c r="C57" s="339" t="s">
        <v>225</v>
      </c>
      <c r="D57" s="340">
        <v>297000</v>
      </c>
      <c r="E57" s="340">
        <v>0</v>
      </c>
      <c r="F57" s="330">
        <v>42122</v>
      </c>
      <c r="G57" s="330">
        <v>42130</v>
      </c>
    </row>
    <row r="58" spans="1:9" s="87" customFormat="1" ht="11.25" x14ac:dyDescent="0.2">
      <c r="A58" s="747" t="s">
        <v>111</v>
      </c>
      <c r="B58" s="748"/>
      <c r="C58" s="320"/>
      <c r="D58" s="90">
        <f>SUM(D53:D57)</f>
        <v>297000</v>
      </c>
      <c r="E58" s="90">
        <f>SUM(E53:E57)</f>
        <v>297000</v>
      </c>
      <c r="F58" s="753"/>
      <c r="G58" s="754"/>
    </row>
    <row r="59" spans="1:9" s="87" customFormat="1" ht="11.25" x14ac:dyDescent="0.2">
      <c r="C59" s="89"/>
    </row>
    <row r="60" spans="1:9" s="87" customFormat="1" ht="11.25" x14ac:dyDescent="0.2">
      <c r="A60" s="742" t="s">
        <v>211</v>
      </c>
      <c r="B60" s="742"/>
      <c r="C60" s="742"/>
      <c r="D60" s="742"/>
      <c r="E60" s="742"/>
      <c r="F60" s="742"/>
      <c r="G60" s="742"/>
      <c r="H60" s="742"/>
      <c r="I60" s="742"/>
    </row>
    <row r="61" spans="1:9" s="87" customFormat="1" ht="11.25" x14ac:dyDescent="0.2">
      <c r="C61" s="89"/>
    </row>
    <row r="62" spans="1:9" s="151" customFormat="1" ht="31.5" x14ac:dyDescent="0.25">
      <c r="A62" s="743" t="s">
        <v>101</v>
      </c>
      <c r="B62" s="744"/>
      <c r="C62" s="308" t="s">
        <v>102</v>
      </c>
      <c r="D62" s="308" t="s">
        <v>103</v>
      </c>
      <c r="E62" s="308" t="s">
        <v>104</v>
      </c>
      <c r="F62" s="308" t="s">
        <v>105</v>
      </c>
      <c r="G62" s="308" t="s">
        <v>94</v>
      </c>
    </row>
    <row r="63" spans="1:9" s="87" customFormat="1" ht="11.25" x14ac:dyDescent="0.2">
      <c r="A63" s="844"/>
      <c r="B63" s="746"/>
      <c r="C63" s="318"/>
      <c r="D63" s="319">
        <v>0</v>
      </c>
      <c r="E63" s="319">
        <v>0</v>
      </c>
      <c r="F63" s="321"/>
      <c r="G63" s="321"/>
    </row>
    <row r="64" spans="1:9" s="87" customFormat="1" ht="11.25" x14ac:dyDescent="0.2">
      <c r="A64" s="747" t="s">
        <v>111</v>
      </c>
      <c r="B64" s="748"/>
      <c r="C64" s="320"/>
      <c r="D64" s="90">
        <f>SUM(D63:D63)</f>
        <v>0</v>
      </c>
      <c r="E64" s="90">
        <f>SUM(E63:E63)</f>
        <v>0</v>
      </c>
      <c r="F64" s="749"/>
      <c r="G64" s="750"/>
    </row>
    <row r="65" spans="1:9" s="87" customFormat="1" ht="11.25" x14ac:dyDescent="0.2">
      <c r="C65" s="89"/>
    </row>
    <row r="66" spans="1:9" s="87" customFormat="1" ht="11.25" x14ac:dyDescent="0.2">
      <c r="A66" s="738" t="s">
        <v>212</v>
      </c>
      <c r="B66" s="738"/>
      <c r="C66" s="738"/>
      <c r="D66" s="738"/>
      <c r="E66" s="738"/>
      <c r="F66" s="738"/>
      <c r="G66" s="738"/>
      <c r="H66" s="738"/>
      <c r="I66" s="738"/>
    </row>
    <row r="67" spans="1:9" s="87" customFormat="1" ht="11.25" x14ac:dyDescent="0.2"/>
    <row r="68" spans="1:9" s="87" customFormat="1" ht="11.25" customHeight="1" x14ac:dyDescent="0.2">
      <c r="A68" s="739" t="s">
        <v>227</v>
      </c>
      <c r="B68" s="740"/>
      <c r="C68" s="740"/>
      <c r="D68" s="740"/>
      <c r="E68" s="740"/>
      <c r="F68" s="740"/>
      <c r="G68" s="740"/>
      <c r="H68" s="740"/>
      <c r="I68" s="741"/>
    </row>
    <row r="69" spans="1:9" s="87" customFormat="1" ht="11.25" x14ac:dyDescent="0.2"/>
    <row r="70" spans="1:9" s="88" customFormat="1" ht="10.5" x14ac:dyDescent="0.15">
      <c r="A70" s="742" t="s">
        <v>213</v>
      </c>
      <c r="B70" s="742"/>
      <c r="C70" s="742"/>
      <c r="D70" s="742"/>
      <c r="E70" s="742"/>
      <c r="F70" s="742"/>
      <c r="G70" s="742"/>
      <c r="H70" s="742"/>
      <c r="I70" s="742"/>
    </row>
    <row r="71" spans="1:9" s="87" customFormat="1" ht="11.25" x14ac:dyDescent="0.2"/>
    <row r="72" spans="1:9" s="87" customFormat="1" ht="57.75" customHeight="1" x14ac:dyDescent="0.2">
      <c r="A72" s="739" t="s">
        <v>228</v>
      </c>
      <c r="B72" s="740"/>
      <c r="C72" s="740"/>
      <c r="D72" s="740"/>
      <c r="E72" s="740"/>
      <c r="F72" s="740"/>
      <c r="G72" s="740"/>
      <c r="H72" s="740"/>
      <c r="I72" s="741"/>
    </row>
    <row r="73" spans="1:9" s="66" customFormat="1" ht="11.25" x14ac:dyDescent="0.2">
      <c r="A73" s="781" t="s">
        <v>229</v>
      </c>
      <c r="B73" s="782"/>
      <c r="C73" s="782"/>
      <c r="D73" s="782"/>
      <c r="E73" s="782"/>
      <c r="F73" s="782"/>
      <c r="G73" s="782"/>
      <c r="H73" s="782"/>
      <c r="I73" s="783"/>
    </row>
    <row r="74" spans="1:9" s="66" customFormat="1" ht="11.25" x14ac:dyDescent="0.2">
      <c r="A74" s="781" t="s">
        <v>244</v>
      </c>
      <c r="B74" s="782"/>
      <c r="C74" s="782"/>
      <c r="D74" s="782"/>
      <c r="E74" s="782"/>
      <c r="F74" s="782"/>
      <c r="G74" s="782"/>
      <c r="H74" s="782"/>
      <c r="I74" s="783"/>
    </row>
  </sheetData>
  <mergeCells count="55">
    <mergeCell ref="A73:I73"/>
    <mergeCell ref="A74:I74"/>
    <mergeCell ref="A68:I68"/>
    <mergeCell ref="A70:I70"/>
    <mergeCell ref="A72:I72"/>
    <mergeCell ref="A63:B63"/>
    <mergeCell ref="A64:B64"/>
    <mergeCell ref="F64:G64"/>
    <mergeCell ref="A66:I66"/>
    <mergeCell ref="A57:B57"/>
    <mergeCell ref="A58:B58"/>
    <mergeCell ref="F58:G58"/>
    <mergeCell ref="A60:I60"/>
    <mergeCell ref="A62:B62"/>
    <mergeCell ref="C38:I38"/>
    <mergeCell ref="A40:I40"/>
    <mergeCell ref="C42:I42"/>
    <mergeCell ref="C43:I43"/>
    <mergeCell ref="C44:I44"/>
    <mergeCell ref="A34:I34"/>
    <mergeCell ref="D36:I36"/>
    <mergeCell ref="D37:I37"/>
    <mergeCell ref="D5:I5"/>
    <mergeCell ref="D6:I6"/>
    <mergeCell ref="D7:I7"/>
    <mergeCell ref="A5:B5"/>
    <mergeCell ref="A6:B6"/>
    <mergeCell ref="A7:B7"/>
    <mergeCell ref="A8:B8"/>
    <mergeCell ref="D8:I8"/>
    <mergeCell ref="A9:B9"/>
    <mergeCell ref="D9:I9"/>
    <mergeCell ref="A11:I11"/>
    <mergeCell ref="A15:A16"/>
    <mergeCell ref="A19:I19"/>
    <mergeCell ref="F21:I21"/>
    <mergeCell ref="F22:I22"/>
    <mergeCell ref="F23:I23"/>
    <mergeCell ref="F24:I24"/>
    <mergeCell ref="F25:I25"/>
    <mergeCell ref="F26:I26"/>
    <mergeCell ref="A28:I28"/>
    <mergeCell ref="D30:I30"/>
    <mergeCell ref="D31:I31"/>
    <mergeCell ref="C32:I32"/>
    <mergeCell ref="C45:I45"/>
    <mergeCell ref="C46:I46"/>
    <mergeCell ref="C47:I47"/>
    <mergeCell ref="C48:I48"/>
    <mergeCell ref="A50:I50"/>
    <mergeCell ref="A54:B54"/>
    <mergeCell ref="A55:B55"/>
    <mergeCell ref="A56:B56"/>
    <mergeCell ref="A52:B52"/>
    <mergeCell ref="A53:B53"/>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88</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27448430</v>
      </c>
      <c r="F6" s="29">
        <f>SUM(F7:F9)</f>
        <v>29318037</v>
      </c>
      <c r="G6" s="29">
        <f>SUM(G7:G9)</f>
        <v>29338891</v>
      </c>
      <c r="H6" s="24">
        <f t="shared" ref="H6:H36" si="0">G6/F6*100</f>
        <v>100.0711302738311</v>
      </c>
      <c r="I6" s="29">
        <f>SUM(I7:I9)</f>
        <v>28931982</v>
      </c>
      <c r="J6" s="29">
        <f>SUM(J7:J9)</f>
        <v>4813930</v>
      </c>
      <c r="K6" s="29">
        <f t="shared" ref="K6:X6" si="1">SUM(K7:K9)</f>
        <v>5410276</v>
      </c>
      <c r="L6" s="29">
        <f t="shared" si="1"/>
        <v>5431130</v>
      </c>
      <c r="M6" s="24">
        <f t="shared" ref="M6:M33" si="2">L6/K6*100</f>
        <v>100.38545168490481</v>
      </c>
      <c r="N6" s="30">
        <f t="shared" si="1"/>
        <v>5491476</v>
      </c>
      <c r="O6" s="29">
        <f t="shared" si="1"/>
        <v>22634500</v>
      </c>
      <c r="P6" s="29">
        <f t="shared" si="1"/>
        <v>23907761</v>
      </c>
      <c r="Q6" s="29">
        <f t="shared" si="1"/>
        <v>23907761</v>
      </c>
      <c r="R6" s="24">
        <f t="shared" ref="R6:R33" si="3">Q6/P6*100</f>
        <v>100</v>
      </c>
      <c r="S6" s="29">
        <f t="shared" si="1"/>
        <v>23440506</v>
      </c>
      <c r="T6" s="29">
        <f t="shared" si="1"/>
        <v>63797</v>
      </c>
      <c r="U6" s="29">
        <f t="shared" si="1"/>
        <v>74797</v>
      </c>
      <c r="V6" s="29">
        <f t="shared" si="1"/>
        <v>79702</v>
      </c>
      <c r="W6" s="24">
        <f t="shared" ref="W6:W33" si="4">V6/U6*100</f>
        <v>106.55774964236532</v>
      </c>
      <c r="X6" s="29">
        <f t="shared" si="1"/>
        <v>74676</v>
      </c>
    </row>
    <row r="7" spans="1:24" s="6" customFormat="1" ht="9.9499999999999993" customHeight="1" x14ac:dyDescent="0.2">
      <c r="A7" s="169" t="s">
        <v>2</v>
      </c>
      <c r="B7" s="823" t="s">
        <v>44</v>
      </c>
      <c r="C7" s="824"/>
      <c r="D7" s="238" t="s">
        <v>25</v>
      </c>
      <c r="E7" s="32">
        <f t="shared" ref="E7:G10" si="5">SUM(J7,O7)</f>
        <v>3550000</v>
      </c>
      <c r="F7" s="33">
        <f t="shared" si="5"/>
        <v>3764044</v>
      </c>
      <c r="G7" s="33">
        <f t="shared" si="5"/>
        <v>3785317</v>
      </c>
      <c r="H7" s="9">
        <f t="shared" si="0"/>
        <v>100.56516342529471</v>
      </c>
      <c r="I7" s="34">
        <f>SUM(N7,S7)</f>
        <v>4240280</v>
      </c>
      <c r="J7" s="107">
        <v>3550000</v>
      </c>
      <c r="K7" s="35">
        <v>3764044</v>
      </c>
      <c r="L7" s="35">
        <v>3785317</v>
      </c>
      <c r="M7" s="9">
        <f t="shared" si="2"/>
        <v>100.56516342529471</v>
      </c>
      <c r="N7" s="36">
        <v>4240280</v>
      </c>
      <c r="O7" s="37"/>
      <c r="P7" s="35"/>
      <c r="Q7" s="35"/>
      <c r="R7" s="9" t="e">
        <f t="shared" si="3"/>
        <v>#DIV/0!</v>
      </c>
      <c r="S7" s="36"/>
      <c r="T7" s="37">
        <v>63797</v>
      </c>
      <c r="U7" s="35">
        <v>74797</v>
      </c>
      <c r="V7" s="35">
        <v>79702</v>
      </c>
      <c r="W7" s="9">
        <f t="shared" si="4"/>
        <v>106.55774964236532</v>
      </c>
      <c r="X7" s="59">
        <v>74676</v>
      </c>
    </row>
    <row r="8" spans="1:24" s="6" customFormat="1" ht="9.9499999999999993" customHeight="1" x14ac:dyDescent="0.2">
      <c r="A8" s="171" t="s">
        <v>3</v>
      </c>
      <c r="B8" s="825" t="s">
        <v>45</v>
      </c>
      <c r="C8" s="826"/>
      <c r="D8" s="172" t="s">
        <v>25</v>
      </c>
      <c r="E8" s="38">
        <f t="shared" si="5"/>
        <v>15000</v>
      </c>
      <c r="F8" s="39">
        <f t="shared" si="5"/>
        <v>3000</v>
      </c>
      <c r="G8" s="39">
        <f t="shared" si="5"/>
        <v>2581</v>
      </c>
      <c r="H8" s="10">
        <f t="shared" si="0"/>
        <v>86.033333333333331</v>
      </c>
      <c r="I8" s="40">
        <f>SUM(N8,S8)</f>
        <v>10266</v>
      </c>
      <c r="J8" s="196">
        <v>15000</v>
      </c>
      <c r="K8" s="157">
        <v>3000</v>
      </c>
      <c r="L8" s="157">
        <v>2581</v>
      </c>
      <c r="M8" s="158">
        <f t="shared" si="2"/>
        <v>86.033333333333331</v>
      </c>
      <c r="N8" s="198">
        <v>10266</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23883430</v>
      </c>
      <c r="F9" s="43">
        <f t="shared" si="5"/>
        <v>25550993</v>
      </c>
      <c r="G9" s="43">
        <f t="shared" si="5"/>
        <v>25550993</v>
      </c>
      <c r="H9" s="26">
        <f t="shared" si="0"/>
        <v>100</v>
      </c>
      <c r="I9" s="44">
        <f>SUM(N9,S9)</f>
        <v>24681436</v>
      </c>
      <c r="J9" s="199">
        <v>1248930</v>
      </c>
      <c r="K9" s="203">
        <v>1643232</v>
      </c>
      <c r="L9" s="203">
        <v>1643232</v>
      </c>
      <c r="M9" s="201">
        <f t="shared" si="2"/>
        <v>100</v>
      </c>
      <c r="N9" s="202">
        <v>1240930</v>
      </c>
      <c r="O9" s="160">
        <v>22634500</v>
      </c>
      <c r="P9" s="203">
        <v>23907761</v>
      </c>
      <c r="Q9" s="203">
        <v>23907761</v>
      </c>
      <c r="R9" s="201">
        <f t="shared" si="3"/>
        <v>100</v>
      </c>
      <c r="S9" s="202">
        <v>23440506</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SUM(E12:E32)</f>
        <v>27448430</v>
      </c>
      <c r="F11" s="29">
        <f t="shared" ref="F11:X11" si="6">SUM(F12:F32)</f>
        <v>29318037</v>
      </c>
      <c r="G11" s="29">
        <f t="shared" si="6"/>
        <v>29186886.670000002</v>
      </c>
      <c r="H11" s="29" t="e">
        <f t="shared" si="6"/>
        <v>#DIV/0!</v>
      </c>
      <c r="I11" s="29">
        <f t="shared" si="6"/>
        <v>28788684</v>
      </c>
      <c r="J11" s="29">
        <f t="shared" si="6"/>
        <v>4813930</v>
      </c>
      <c r="K11" s="29">
        <f t="shared" si="6"/>
        <v>5410276</v>
      </c>
      <c r="L11" s="29">
        <f t="shared" si="6"/>
        <v>5279125.67</v>
      </c>
      <c r="M11" s="29" t="e">
        <f t="shared" si="6"/>
        <v>#DIV/0!</v>
      </c>
      <c r="N11" s="29">
        <f t="shared" si="6"/>
        <v>5348178</v>
      </c>
      <c r="O11" s="29">
        <f t="shared" si="6"/>
        <v>22634500</v>
      </c>
      <c r="P11" s="29">
        <f t="shared" si="6"/>
        <v>23907761</v>
      </c>
      <c r="Q11" s="29">
        <f t="shared" si="6"/>
        <v>23907761</v>
      </c>
      <c r="R11" s="29" t="e">
        <f t="shared" si="6"/>
        <v>#DIV/0!</v>
      </c>
      <c r="S11" s="29">
        <f t="shared" si="6"/>
        <v>23440506</v>
      </c>
      <c r="T11" s="29">
        <f t="shared" si="6"/>
        <v>55440</v>
      </c>
      <c r="U11" s="29">
        <f t="shared" si="6"/>
        <v>16040</v>
      </c>
      <c r="V11" s="29">
        <f t="shared" si="6"/>
        <v>15428</v>
      </c>
      <c r="W11" s="29" t="e">
        <f t="shared" si="6"/>
        <v>#DIV/0!</v>
      </c>
      <c r="X11" s="29">
        <f t="shared" si="6"/>
        <v>67924</v>
      </c>
    </row>
    <row r="12" spans="1:24" s="6" customFormat="1" ht="9.9499999999999993" customHeight="1" x14ac:dyDescent="0.2">
      <c r="A12" s="178" t="s">
        <v>8</v>
      </c>
      <c r="B12" s="827" t="s">
        <v>28</v>
      </c>
      <c r="C12" s="828"/>
      <c r="D12" s="238" t="s">
        <v>25</v>
      </c>
      <c r="E12" s="32">
        <f t="shared" ref="E12:I29" si="7">SUM(J12,O12)</f>
        <v>1009000</v>
      </c>
      <c r="F12" s="33">
        <f t="shared" si="7"/>
        <v>992635</v>
      </c>
      <c r="G12" s="33">
        <f t="shared" si="7"/>
        <v>980355</v>
      </c>
      <c r="H12" s="9">
        <f t="shared" si="0"/>
        <v>98.762888675092057</v>
      </c>
      <c r="I12" s="34">
        <f t="shared" si="7"/>
        <v>935433</v>
      </c>
      <c r="J12" s="108">
        <v>1009000</v>
      </c>
      <c r="K12" s="47">
        <v>890000</v>
      </c>
      <c r="L12" s="47">
        <v>877720</v>
      </c>
      <c r="M12" s="9">
        <f t="shared" si="2"/>
        <v>98.620224719101117</v>
      </c>
      <c r="N12" s="48">
        <v>847805</v>
      </c>
      <c r="O12" s="49">
        <v>0</v>
      </c>
      <c r="P12" s="47">
        <v>102635</v>
      </c>
      <c r="Q12" s="47">
        <v>102635</v>
      </c>
      <c r="R12" s="9">
        <f t="shared" si="3"/>
        <v>100</v>
      </c>
      <c r="S12" s="50">
        <v>87628</v>
      </c>
      <c r="T12" s="49"/>
      <c r="U12" s="47"/>
      <c r="V12" s="47">
        <v>70</v>
      </c>
      <c r="W12" s="9" t="e">
        <f t="shared" si="4"/>
        <v>#DIV/0!</v>
      </c>
      <c r="X12" s="51">
        <v>3658</v>
      </c>
    </row>
    <row r="13" spans="1:24" s="6" customFormat="1" ht="9.9499999999999993" customHeight="1" x14ac:dyDescent="0.2">
      <c r="A13" s="180" t="s">
        <v>10</v>
      </c>
      <c r="B13" s="820" t="s">
        <v>29</v>
      </c>
      <c r="C13" s="821"/>
      <c r="D13" s="172" t="s">
        <v>25</v>
      </c>
      <c r="E13" s="38">
        <f t="shared" si="7"/>
        <v>1263400</v>
      </c>
      <c r="F13" s="39">
        <f t="shared" si="7"/>
        <v>1063400</v>
      </c>
      <c r="G13" s="39">
        <f t="shared" si="7"/>
        <v>954681.17</v>
      </c>
      <c r="H13" s="10">
        <f t="shared" si="0"/>
        <v>89.77629960504045</v>
      </c>
      <c r="I13" s="40">
        <f t="shared" si="7"/>
        <v>406441</v>
      </c>
      <c r="J13" s="208">
        <v>1263400</v>
      </c>
      <c r="K13" s="157">
        <v>1063400</v>
      </c>
      <c r="L13" s="157">
        <v>954681.17</v>
      </c>
      <c r="M13" s="158">
        <f t="shared" si="2"/>
        <v>89.77629960504045</v>
      </c>
      <c r="N13" s="198">
        <v>406441</v>
      </c>
      <c r="O13" s="156"/>
      <c r="P13" s="157"/>
      <c r="Q13" s="157"/>
      <c r="R13" s="158" t="e">
        <f t="shared" si="3"/>
        <v>#DIV/0!</v>
      </c>
      <c r="S13" s="198"/>
      <c r="T13" s="156">
        <v>4600</v>
      </c>
      <c r="U13" s="157">
        <v>15200</v>
      </c>
      <c r="V13" s="157">
        <v>14518</v>
      </c>
      <c r="W13" s="158">
        <f t="shared" si="4"/>
        <v>95.51315789473685</v>
      </c>
      <c r="X13" s="159">
        <v>10812</v>
      </c>
    </row>
    <row r="14" spans="1:24" s="6" customFormat="1" ht="9.9499999999999993" customHeight="1" x14ac:dyDescent="0.2">
      <c r="A14" s="180" t="s">
        <v>11</v>
      </c>
      <c r="B14" s="234" t="s">
        <v>60</v>
      </c>
      <c r="C14" s="235"/>
      <c r="D14" s="172" t="s">
        <v>25</v>
      </c>
      <c r="E14" s="38">
        <f t="shared" si="7"/>
        <v>0</v>
      </c>
      <c r="F14" s="39">
        <f t="shared" si="7"/>
        <v>0</v>
      </c>
      <c r="G14" s="39">
        <f t="shared" si="7"/>
        <v>0</v>
      </c>
      <c r="H14" s="10" t="e">
        <f t="shared" si="0"/>
        <v>#DIV/0!</v>
      </c>
      <c r="I14" s="40">
        <f t="shared" si="7"/>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7"/>
        <v>410000</v>
      </c>
      <c r="F15" s="39">
        <f t="shared" si="7"/>
        <v>525860</v>
      </c>
      <c r="G15" s="39">
        <f t="shared" si="7"/>
        <v>525427</v>
      </c>
      <c r="H15" s="10">
        <f t="shared" si="0"/>
        <v>99.917658692427651</v>
      </c>
      <c r="I15" s="40">
        <f t="shared" si="7"/>
        <v>786091</v>
      </c>
      <c r="J15" s="208">
        <v>410000</v>
      </c>
      <c r="K15" s="157">
        <v>525860</v>
      </c>
      <c r="L15" s="157">
        <v>525427</v>
      </c>
      <c r="M15" s="158">
        <f t="shared" si="2"/>
        <v>99.917658692427651</v>
      </c>
      <c r="N15" s="198">
        <v>786091</v>
      </c>
      <c r="O15" s="156"/>
      <c r="P15" s="157"/>
      <c r="Q15" s="157"/>
      <c r="R15" s="158" t="e">
        <f t="shared" si="3"/>
        <v>#DIV/0!</v>
      </c>
      <c r="S15" s="198"/>
      <c r="T15" s="156">
        <v>50000</v>
      </c>
      <c r="U15" s="157"/>
      <c r="V15" s="157"/>
      <c r="W15" s="158" t="e">
        <f t="shared" si="4"/>
        <v>#DIV/0!</v>
      </c>
      <c r="X15" s="159">
        <v>51102</v>
      </c>
    </row>
    <row r="16" spans="1:24" s="6" customFormat="1" ht="9.9499999999999993" customHeight="1" x14ac:dyDescent="0.2">
      <c r="A16" s="180" t="s">
        <v>13</v>
      </c>
      <c r="B16" s="820" t="s">
        <v>30</v>
      </c>
      <c r="C16" s="821"/>
      <c r="D16" s="172" t="s">
        <v>25</v>
      </c>
      <c r="E16" s="38">
        <f t="shared" si="7"/>
        <v>30000</v>
      </c>
      <c r="F16" s="39">
        <f t="shared" si="7"/>
        <v>19000</v>
      </c>
      <c r="G16" s="39">
        <f t="shared" si="7"/>
        <v>18309</v>
      </c>
      <c r="H16" s="10">
        <f t="shared" si="0"/>
        <v>96.363157894736844</v>
      </c>
      <c r="I16" s="40">
        <f t="shared" si="7"/>
        <v>38433</v>
      </c>
      <c r="J16" s="208">
        <v>30000</v>
      </c>
      <c r="K16" s="157">
        <v>19000</v>
      </c>
      <c r="L16" s="157">
        <v>18309</v>
      </c>
      <c r="M16" s="158">
        <f t="shared" si="2"/>
        <v>96.363157894736844</v>
      </c>
      <c r="N16" s="198">
        <v>38433</v>
      </c>
      <c r="O16" s="156"/>
      <c r="P16" s="157"/>
      <c r="Q16" s="157"/>
      <c r="R16" s="158" t="e">
        <f t="shared" si="3"/>
        <v>#DIV/0!</v>
      </c>
      <c r="S16" s="198"/>
      <c r="T16" s="156"/>
      <c r="U16" s="157"/>
      <c r="V16" s="157"/>
      <c r="W16" s="158" t="e">
        <f t="shared" si="4"/>
        <v>#DIV/0!</v>
      </c>
      <c r="X16" s="159"/>
    </row>
    <row r="17" spans="1:24" s="6" customFormat="1" ht="9.9499999999999993" customHeight="1" x14ac:dyDescent="0.2">
      <c r="A17" s="180" t="s">
        <v>14</v>
      </c>
      <c r="B17" s="234" t="s">
        <v>46</v>
      </c>
      <c r="C17" s="235"/>
      <c r="D17" s="172" t="s">
        <v>25</v>
      </c>
      <c r="E17" s="38">
        <f t="shared" si="7"/>
        <v>25484</v>
      </c>
      <c r="F17" s="39">
        <f t="shared" si="7"/>
        <v>23484</v>
      </c>
      <c r="G17" s="39">
        <f t="shared" si="7"/>
        <v>22626</v>
      </c>
      <c r="H17" s="10">
        <f t="shared" si="0"/>
        <v>96.346448645886568</v>
      </c>
      <c r="I17" s="40">
        <f t="shared" si="7"/>
        <v>25174</v>
      </c>
      <c r="J17" s="208">
        <v>25484</v>
      </c>
      <c r="K17" s="157">
        <v>23484</v>
      </c>
      <c r="L17" s="157">
        <v>22626</v>
      </c>
      <c r="M17" s="158">
        <f t="shared" si="2"/>
        <v>96.346448645886568</v>
      </c>
      <c r="N17" s="198">
        <v>25174</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7"/>
        <v>823760</v>
      </c>
      <c r="F18" s="39">
        <f t="shared" si="7"/>
        <v>817760</v>
      </c>
      <c r="G18" s="39">
        <f t="shared" si="7"/>
        <v>816019</v>
      </c>
      <c r="H18" s="10">
        <f t="shared" si="0"/>
        <v>99.787101350029346</v>
      </c>
      <c r="I18" s="40">
        <f t="shared" si="7"/>
        <v>1116833</v>
      </c>
      <c r="J18" s="208">
        <v>823760</v>
      </c>
      <c r="K18" s="157">
        <v>817760</v>
      </c>
      <c r="L18" s="157">
        <v>816019</v>
      </c>
      <c r="M18" s="158">
        <f t="shared" si="2"/>
        <v>99.787101350029346</v>
      </c>
      <c r="N18" s="198">
        <v>1116833</v>
      </c>
      <c r="O18" s="156"/>
      <c r="P18" s="157"/>
      <c r="Q18" s="157"/>
      <c r="R18" s="158" t="e">
        <f t="shared" si="3"/>
        <v>#DIV/0!</v>
      </c>
      <c r="S18" s="198"/>
      <c r="T18" s="156">
        <v>840</v>
      </c>
      <c r="U18" s="157">
        <v>840</v>
      </c>
      <c r="V18" s="157">
        <v>840</v>
      </c>
      <c r="W18" s="158">
        <f t="shared" si="4"/>
        <v>100</v>
      </c>
      <c r="X18" s="159">
        <v>2352</v>
      </c>
    </row>
    <row r="19" spans="1:24" s="11" customFormat="1" ht="9.9499999999999993" customHeight="1" x14ac:dyDescent="0.2">
      <c r="A19" s="180" t="s">
        <v>16</v>
      </c>
      <c r="B19" s="820" t="s">
        <v>32</v>
      </c>
      <c r="C19" s="821"/>
      <c r="D19" s="172" t="s">
        <v>25</v>
      </c>
      <c r="E19" s="38">
        <f t="shared" si="7"/>
        <v>16689000</v>
      </c>
      <c r="F19" s="39">
        <f t="shared" si="7"/>
        <v>17670875</v>
      </c>
      <c r="G19" s="39">
        <f t="shared" si="7"/>
        <v>17670875</v>
      </c>
      <c r="H19" s="10">
        <f t="shared" si="0"/>
        <v>100</v>
      </c>
      <c r="I19" s="40">
        <f t="shared" si="7"/>
        <v>17323567</v>
      </c>
      <c r="J19" s="209"/>
      <c r="K19" s="157">
        <v>24540</v>
      </c>
      <c r="L19" s="157">
        <v>24540</v>
      </c>
      <c r="M19" s="158">
        <f t="shared" si="2"/>
        <v>100</v>
      </c>
      <c r="N19" s="198">
        <v>40000</v>
      </c>
      <c r="O19" s="156">
        <v>16689000</v>
      </c>
      <c r="P19" s="157">
        <v>17646335</v>
      </c>
      <c r="Q19" s="157">
        <v>17646335</v>
      </c>
      <c r="R19" s="158">
        <f t="shared" si="3"/>
        <v>100</v>
      </c>
      <c r="S19" s="198">
        <v>17283567</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7"/>
        <v>5779710</v>
      </c>
      <c r="F20" s="39">
        <f t="shared" si="7"/>
        <v>5991471</v>
      </c>
      <c r="G20" s="39">
        <f t="shared" si="7"/>
        <v>5991471</v>
      </c>
      <c r="H20" s="10">
        <f t="shared" si="0"/>
        <v>100</v>
      </c>
      <c r="I20" s="40">
        <f t="shared" si="7"/>
        <v>5910684</v>
      </c>
      <c r="J20" s="208"/>
      <c r="K20" s="157">
        <v>8344</v>
      </c>
      <c r="L20" s="157">
        <v>8344</v>
      </c>
      <c r="M20" s="158">
        <f t="shared" si="2"/>
        <v>100</v>
      </c>
      <c r="N20" s="198">
        <v>13600</v>
      </c>
      <c r="O20" s="156">
        <v>5779710</v>
      </c>
      <c r="P20" s="157">
        <v>5983127</v>
      </c>
      <c r="Q20" s="157">
        <v>5983127</v>
      </c>
      <c r="R20" s="158">
        <f t="shared" si="3"/>
        <v>100</v>
      </c>
      <c r="S20" s="198">
        <v>5897084</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7"/>
        <v>185790</v>
      </c>
      <c r="F21" s="39">
        <f t="shared" si="7"/>
        <v>229964</v>
      </c>
      <c r="G21" s="39">
        <f t="shared" si="7"/>
        <v>228579</v>
      </c>
      <c r="H21" s="10">
        <f t="shared" si="0"/>
        <v>99.397731818893391</v>
      </c>
      <c r="I21" s="40">
        <f t="shared" si="7"/>
        <v>193371</v>
      </c>
      <c r="J21" s="208">
        <v>20000</v>
      </c>
      <c r="K21" s="157">
        <v>54300</v>
      </c>
      <c r="L21" s="157">
        <v>52915</v>
      </c>
      <c r="M21" s="158">
        <f t="shared" si="2"/>
        <v>97.449355432780848</v>
      </c>
      <c r="N21" s="198">
        <v>21144</v>
      </c>
      <c r="O21" s="156">
        <v>165790</v>
      </c>
      <c r="P21" s="157">
        <v>175664</v>
      </c>
      <c r="Q21" s="157">
        <v>175664</v>
      </c>
      <c r="R21" s="158">
        <f t="shared" si="3"/>
        <v>100</v>
      </c>
      <c r="S21" s="198">
        <v>172227</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7"/>
        <v>0</v>
      </c>
      <c r="F22" s="674">
        <f t="shared" si="7"/>
        <v>0</v>
      </c>
      <c r="G22" s="674">
        <f t="shared" si="7"/>
        <v>0</v>
      </c>
      <c r="H22" s="675" t="e">
        <f t="shared" si="0"/>
        <v>#DIV/0!</v>
      </c>
      <c r="I22" s="676">
        <f t="shared" si="7"/>
        <v>0</v>
      </c>
      <c r="J22" s="208"/>
      <c r="K22" s="157"/>
      <c r="L22" s="157"/>
      <c r="M22" s="158" t="e">
        <f t="shared" si="2"/>
        <v>#DIV/0!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7"/>
        <v>0</v>
      </c>
      <c r="F23" s="674">
        <f t="shared" si="7"/>
        <v>0</v>
      </c>
      <c r="G23" s="674">
        <f t="shared" si="7"/>
        <v>0</v>
      </c>
      <c r="H23" s="675" t="e">
        <f t="shared" si="0"/>
        <v>#DIV/0!</v>
      </c>
      <c r="I23" s="676">
        <f t="shared" si="7"/>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7"/>
        <v>0</v>
      </c>
      <c r="F24" s="674">
        <f t="shared" si="7"/>
        <v>0</v>
      </c>
      <c r="G24" s="674">
        <f t="shared" si="7"/>
        <v>0</v>
      </c>
      <c r="H24" s="675" t="e">
        <f t="shared" si="0"/>
        <v>#DIV/0!</v>
      </c>
      <c r="I24" s="676">
        <f t="shared" si="7"/>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7"/>
        <v>0</v>
      </c>
      <c r="F25" s="674">
        <f t="shared" si="7"/>
        <v>0</v>
      </c>
      <c r="G25" s="674">
        <f t="shared" si="7"/>
        <v>0</v>
      </c>
      <c r="H25" s="675" t="e">
        <f>G25/F25*100</f>
        <v>#DIV/0!</v>
      </c>
      <c r="I25" s="676">
        <f>SUM(N25,S25)</f>
        <v>0</v>
      </c>
      <c r="J25" s="208"/>
      <c r="K25" s="213"/>
      <c r="L25" s="213"/>
      <c r="M25" s="158" t="e">
        <f t="shared" si="2"/>
        <v>#DIV/0!</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7"/>
        <v>309286</v>
      </c>
      <c r="F26" s="674">
        <f t="shared" si="7"/>
        <v>910588</v>
      </c>
      <c r="G26" s="674">
        <f t="shared" si="7"/>
        <v>908471.5</v>
      </c>
      <c r="H26" s="675">
        <f t="shared" si="0"/>
        <v>99.76756776939736</v>
      </c>
      <c r="I26" s="676">
        <f t="shared" si="7"/>
        <v>332067</v>
      </c>
      <c r="J26" s="208">
        <v>309286</v>
      </c>
      <c r="K26" s="197">
        <v>910588</v>
      </c>
      <c r="L26" s="197">
        <v>908471.5</v>
      </c>
      <c r="M26" s="158">
        <f t="shared" si="2"/>
        <v>99.76756776939736</v>
      </c>
      <c r="N26" s="198">
        <v>332067</v>
      </c>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234" t="s">
        <v>64</v>
      </c>
      <c r="C27" s="235"/>
      <c r="D27" s="172" t="s">
        <v>25</v>
      </c>
      <c r="E27" s="38">
        <f t="shared" si="7"/>
        <v>0</v>
      </c>
      <c r="F27" s="39">
        <f t="shared" si="7"/>
        <v>0</v>
      </c>
      <c r="G27" s="39">
        <f t="shared" si="7"/>
        <v>0</v>
      </c>
      <c r="H27" s="14" t="e">
        <f t="shared" si="0"/>
        <v>#DIV/0!</v>
      </c>
      <c r="I27" s="40">
        <f t="shared" si="7"/>
        <v>0</v>
      </c>
      <c r="J27" s="208"/>
      <c r="K27" s="197"/>
      <c r="L27" s="197"/>
      <c r="M27" s="158" t="e">
        <f t="shared" si="2"/>
        <v>#DIV/0!</v>
      </c>
      <c r="N27" s="214"/>
      <c r="O27" s="218"/>
      <c r="P27" s="197"/>
      <c r="Q27" s="197"/>
      <c r="R27" s="158" t="e">
        <f t="shared" si="3"/>
        <v>#DIV/0!</v>
      </c>
      <c r="S27" s="214"/>
      <c r="T27" s="236"/>
      <c r="U27" s="220"/>
      <c r="V27" s="220"/>
      <c r="W27" s="158" t="e">
        <f t="shared" si="4"/>
        <v>#DIV/0!</v>
      </c>
      <c r="X27" s="237"/>
    </row>
    <row r="28" spans="1:24" s="13" customFormat="1" ht="9.9499999999999993" customHeight="1" x14ac:dyDescent="0.2">
      <c r="A28" s="180" t="s">
        <v>49</v>
      </c>
      <c r="B28" s="234" t="s">
        <v>92</v>
      </c>
      <c r="C28" s="235"/>
      <c r="D28" s="172" t="s">
        <v>25</v>
      </c>
      <c r="E28" s="38">
        <f>SUM(J28,O28)</f>
        <v>728000</v>
      </c>
      <c r="F28" s="39">
        <f>SUM(K28,P28)</f>
        <v>872000</v>
      </c>
      <c r="G28" s="39">
        <f>SUM(L28,Q28)</f>
        <v>870029</v>
      </c>
      <c r="H28" s="14">
        <f>G28/F28*100</f>
        <v>99.773967889908249</v>
      </c>
      <c r="I28" s="40">
        <f>SUM(N28,S28)</f>
        <v>1564203</v>
      </c>
      <c r="J28" s="208">
        <v>728000</v>
      </c>
      <c r="K28" s="197">
        <v>872000</v>
      </c>
      <c r="L28" s="197">
        <v>870029</v>
      </c>
      <c r="M28" s="158">
        <f t="shared" si="2"/>
        <v>99.773967889908249</v>
      </c>
      <c r="N28" s="214">
        <v>1564203</v>
      </c>
      <c r="O28" s="218"/>
      <c r="P28" s="197"/>
      <c r="Q28" s="197"/>
      <c r="R28" s="158" t="e">
        <f t="shared" si="3"/>
        <v>#DIV/0!</v>
      </c>
      <c r="S28" s="214"/>
      <c r="T28" s="236"/>
      <c r="U28" s="220"/>
      <c r="V28" s="220"/>
      <c r="W28" s="158" t="e">
        <f t="shared" si="4"/>
        <v>#DIV/0!</v>
      </c>
      <c r="X28" s="237"/>
    </row>
    <row r="29" spans="1:24" s="15" customFormat="1" ht="9.9499999999999993" customHeight="1" x14ac:dyDescent="0.2">
      <c r="A29" s="180" t="s">
        <v>50</v>
      </c>
      <c r="B29" s="820" t="s">
        <v>65</v>
      </c>
      <c r="C29" s="821"/>
      <c r="D29" s="172" t="s">
        <v>25</v>
      </c>
      <c r="E29" s="38">
        <f t="shared" si="7"/>
        <v>195000</v>
      </c>
      <c r="F29" s="39">
        <f t="shared" si="7"/>
        <v>201000</v>
      </c>
      <c r="G29" s="39">
        <f t="shared" si="7"/>
        <v>200044</v>
      </c>
      <c r="H29" s="14">
        <f t="shared" si="0"/>
        <v>99.524378109452741</v>
      </c>
      <c r="I29" s="40">
        <f t="shared" si="7"/>
        <v>156387</v>
      </c>
      <c r="J29" s="208">
        <v>195000</v>
      </c>
      <c r="K29" s="197">
        <v>201000</v>
      </c>
      <c r="L29" s="197">
        <v>200044</v>
      </c>
      <c r="M29" s="158">
        <f t="shared" si="2"/>
        <v>99.524378109452741</v>
      </c>
      <c r="N29" s="214">
        <v>156387</v>
      </c>
      <c r="O29" s="218"/>
      <c r="P29" s="197"/>
      <c r="Q29" s="197"/>
      <c r="R29" s="158" t="e">
        <f t="shared" si="3"/>
        <v>#DIV/0!</v>
      </c>
      <c r="S29" s="214"/>
      <c r="T29" s="236"/>
      <c r="U29" s="220"/>
      <c r="V29" s="220"/>
      <c r="W29" s="158" t="e">
        <f t="shared" si="4"/>
        <v>#DIV/0!</v>
      </c>
      <c r="X29" s="237"/>
    </row>
    <row r="30" spans="1:24" s="6" customFormat="1" ht="9.75" x14ac:dyDescent="0.2">
      <c r="A30" s="180" t="s">
        <v>52</v>
      </c>
      <c r="B30" s="234" t="s">
        <v>51</v>
      </c>
      <c r="C30" s="235"/>
      <c r="D30" s="172" t="s">
        <v>25</v>
      </c>
      <c r="E30" s="38">
        <f t="shared" ref="E30:G31" si="8">SUM(J30,O30)</f>
        <v>0</v>
      </c>
      <c r="F30" s="39">
        <f t="shared" si="8"/>
        <v>0</v>
      </c>
      <c r="G30" s="39">
        <f t="shared" si="8"/>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255" t="s">
        <v>66</v>
      </c>
      <c r="C31" s="256"/>
      <c r="D31" s="172" t="s">
        <v>25</v>
      </c>
      <c r="E31" s="38">
        <f t="shared" si="8"/>
        <v>0</v>
      </c>
      <c r="F31" s="39">
        <f t="shared" si="8"/>
        <v>0</v>
      </c>
      <c r="G31" s="39">
        <f t="shared" si="8"/>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152004.32999999821</v>
      </c>
      <c r="H33" s="25" t="e">
        <f t="shared" si="0"/>
        <v>#DIV/0!</v>
      </c>
      <c r="I33" s="29">
        <f>I6-I11</f>
        <v>143298</v>
      </c>
      <c r="J33" s="29">
        <f t="shared" ref="J33:L33" si="9">J6-J11</f>
        <v>0</v>
      </c>
      <c r="K33" s="29">
        <f t="shared" si="9"/>
        <v>0</v>
      </c>
      <c r="L33" s="29">
        <f t="shared" si="9"/>
        <v>152004.33000000007</v>
      </c>
      <c r="M33" s="19" t="e">
        <f t="shared" si="2"/>
        <v>#DIV/0!</v>
      </c>
      <c r="N33" s="29">
        <f t="shared" ref="N33:Q33" si="10">N6-N11</f>
        <v>143298</v>
      </c>
      <c r="O33" s="29">
        <f t="shared" si="10"/>
        <v>0</v>
      </c>
      <c r="P33" s="29">
        <f t="shared" si="10"/>
        <v>0</v>
      </c>
      <c r="Q33" s="29">
        <f t="shared" si="10"/>
        <v>0</v>
      </c>
      <c r="R33" s="19" t="e">
        <f t="shared" si="3"/>
        <v>#DIV/0!</v>
      </c>
      <c r="S33" s="29">
        <f t="shared" ref="S33:V33" si="11">S6-S11</f>
        <v>0</v>
      </c>
      <c r="T33" s="29">
        <f t="shared" si="11"/>
        <v>8357</v>
      </c>
      <c r="U33" s="29">
        <f t="shared" si="11"/>
        <v>58757</v>
      </c>
      <c r="V33" s="29">
        <f t="shared" si="11"/>
        <v>64274</v>
      </c>
      <c r="W33" s="19">
        <f t="shared" si="4"/>
        <v>109.3895195466072</v>
      </c>
      <c r="X33" s="29">
        <f>X6-X11</f>
        <v>6752</v>
      </c>
    </row>
    <row r="34" spans="1:24" s="4" customFormat="1" ht="9" x14ac:dyDescent="0.2">
      <c r="A34" s="187" t="s">
        <v>56</v>
      </c>
      <c r="B34" s="841" t="s">
        <v>24</v>
      </c>
      <c r="C34" s="842"/>
      <c r="D34" s="188" t="s">
        <v>25</v>
      </c>
      <c r="E34" s="142">
        <v>28714</v>
      </c>
      <c r="F34" s="143">
        <v>29430</v>
      </c>
      <c r="G34" s="143">
        <v>29430</v>
      </c>
      <c r="H34" s="12">
        <f t="shared" si="0"/>
        <v>100</v>
      </c>
      <c r="I34" s="247">
        <v>28840</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47</v>
      </c>
      <c r="F35" s="145">
        <v>47</v>
      </c>
      <c r="G35" s="145">
        <v>47</v>
      </c>
      <c r="H35" s="232">
        <f t="shared" si="0"/>
        <v>100</v>
      </c>
      <c r="I35" s="248">
        <v>47</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50</v>
      </c>
      <c r="F36" s="249">
        <v>50</v>
      </c>
      <c r="G36" s="249">
        <v>50</v>
      </c>
      <c r="H36" s="233">
        <f t="shared" si="0"/>
        <v>100</v>
      </c>
      <c r="I36" s="250">
        <v>50</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0"/>
  <sheetViews>
    <sheetView tabSelected="1" zoomScaleNormal="100" workbookViewId="0"/>
  </sheetViews>
  <sheetFormatPr defaultRowHeight="12.75" x14ac:dyDescent="0.2"/>
  <cols>
    <col min="1" max="1" width="74.75" style="28" customWidth="1"/>
    <col min="2" max="9" width="23.75" style="28" customWidth="1"/>
  </cols>
  <sheetData>
    <row r="1" spans="1:9" ht="18.75" x14ac:dyDescent="0.3">
      <c r="A1" s="27" t="s">
        <v>89</v>
      </c>
      <c r="B1" s="27"/>
      <c r="C1" s="27"/>
      <c r="D1" s="27"/>
      <c r="E1" s="27"/>
      <c r="F1" s="27"/>
      <c r="G1" s="27"/>
      <c r="H1" s="27"/>
      <c r="I1" s="27"/>
    </row>
    <row r="2" spans="1:9" ht="11.25" customHeight="1" x14ac:dyDescent="0.3">
      <c r="A2" s="27"/>
      <c r="B2" s="27"/>
      <c r="C2" s="27"/>
      <c r="D2" s="27"/>
      <c r="E2" s="27"/>
      <c r="F2" s="27"/>
      <c r="G2" s="27"/>
      <c r="H2" s="27"/>
      <c r="I2" s="27"/>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601" t="s">
        <v>25</v>
      </c>
      <c r="D5" s="788" t="s">
        <v>176</v>
      </c>
      <c r="E5" s="788"/>
      <c r="F5" s="788"/>
      <c r="G5" s="788"/>
      <c r="H5" s="788"/>
      <c r="I5" s="788"/>
    </row>
    <row r="6" spans="1:9" s="87" customFormat="1" ht="11.25" x14ac:dyDescent="0.2">
      <c r="A6" s="792" t="s">
        <v>177</v>
      </c>
      <c r="B6" s="792"/>
      <c r="C6" s="283">
        <f>SUM(C7:C9)</f>
        <v>68939.39</v>
      </c>
      <c r="D6" s="990"/>
      <c r="E6" s="991"/>
      <c r="F6" s="991"/>
      <c r="G6" s="991"/>
      <c r="H6" s="991"/>
      <c r="I6" s="992"/>
    </row>
    <row r="7" spans="1:9" s="87" customFormat="1" ht="47.25" customHeight="1" x14ac:dyDescent="0.2">
      <c r="A7" s="796" t="s">
        <v>69</v>
      </c>
      <c r="B7" s="797"/>
      <c r="C7" s="658">
        <v>0</v>
      </c>
      <c r="D7" s="1206" t="s">
        <v>1078</v>
      </c>
      <c r="E7" s="1207"/>
      <c r="F7" s="1207"/>
      <c r="G7" s="1207"/>
      <c r="H7" s="1207"/>
      <c r="I7" s="1207"/>
    </row>
    <row r="8" spans="1:9" s="88" customFormat="1" ht="11.25" customHeight="1" x14ac:dyDescent="0.15">
      <c r="A8" s="757" t="s">
        <v>178</v>
      </c>
      <c r="B8" s="758"/>
      <c r="C8" s="285">
        <v>68939.39</v>
      </c>
      <c r="D8" s="781" t="s">
        <v>1051</v>
      </c>
      <c r="E8" s="782"/>
      <c r="F8" s="782"/>
      <c r="G8" s="782"/>
      <c r="H8" s="782"/>
      <c r="I8" s="783"/>
    </row>
    <row r="9" spans="1:9" s="88" customFormat="1" ht="11.25" customHeight="1" x14ac:dyDescent="0.15">
      <c r="A9" s="757" t="s">
        <v>179</v>
      </c>
      <c r="B9" s="758"/>
      <c r="C9" s="285">
        <v>0</v>
      </c>
      <c r="D9" s="980"/>
      <c r="E9" s="981"/>
      <c r="F9" s="981"/>
      <c r="G9" s="981"/>
      <c r="H9" s="981"/>
      <c r="I9" s="982"/>
    </row>
    <row r="10" spans="1:9" s="87" customFormat="1" ht="15" customHeight="1"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601" t="s">
        <v>68</v>
      </c>
      <c r="B13" s="601" t="s">
        <v>181</v>
      </c>
      <c r="C13" s="601" t="s">
        <v>25</v>
      </c>
      <c r="D13" s="286"/>
      <c r="E13" s="287"/>
      <c r="F13" s="287"/>
      <c r="G13" s="287"/>
      <c r="H13" s="287"/>
      <c r="I13" s="287"/>
    </row>
    <row r="14" spans="1:9" s="87" customFormat="1" ht="11.25" x14ac:dyDescent="0.2">
      <c r="A14" s="288" t="s">
        <v>182</v>
      </c>
      <c r="B14" s="289"/>
      <c r="C14" s="626">
        <v>0</v>
      </c>
      <c r="D14" s="291"/>
      <c r="E14" s="292"/>
      <c r="F14" s="292"/>
      <c r="G14" s="292"/>
      <c r="H14" s="292"/>
      <c r="I14" s="292"/>
    </row>
    <row r="15" spans="1:9" s="87" customFormat="1" ht="11.25" x14ac:dyDescent="0.2">
      <c r="A15" s="762" t="s">
        <v>183</v>
      </c>
      <c r="B15" s="293" t="s">
        <v>70</v>
      </c>
      <c r="C15" s="627">
        <v>68939.39</v>
      </c>
      <c r="D15" s="295"/>
      <c r="E15" s="296"/>
      <c r="F15" s="296"/>
      <c r="G15" s="296"/>
      <c r="H15" s="296"/>
      <c r="I15" s="296"/>
    </row>
    <row r="16" spans="1:9" s="87" customFormat="1" ht="11.25" x14ac:dyDescent="0.2">
      <c r="A16" s="763"/>
      <c r="B16" s="297" t="s">
        <v>71</v>
      </c>
      <c r="C16" s="628">
        <v>0</v>
      </c>
      <c r="D16" s="299"/>
      <c r="E16" s="300"/>
      <c r="F16" s="300"/>
      <c r="G16" s="300"/>
      <c r="H16" s="300"/>
      <c r="I16" s="300"/>
    </row>
    <row r="17" spans="1:9" s="87" customFormat="1" ht="11.25" x14ac:dyDescent="0.2">
      <c r="A17" s="602" t="s">
        <v>177</v>
      </c>
      <c r="B17" s="302"/>
      <c r="C17" s="283">
        <f>SUM(C14:C16)</f>
        <v>68939.39</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599" t="s">
        <v>181</v>
      </c>
      <c r="B21" s="599" t="s">
        <v>185</v>
      </c>
      <c r="C21" s="307" t="s">
        <v>186</v>
      </c>
      <c r="D21" s="599" t="s">
        <v>187</v>
      </c>
      <c r="E21" s="599" t="s">
        <v>188</v>
      </c>
      <c r="F21" s="764" t="s">
        <v>189</v>
      </c>
      <c r="G21" s="764"/>
      <c r="H21" s="764"/>
      <c r="I21" s="764"/>
    </row>
    <row r="22" spans="1:9" s="87" customFormat="1" ht="36.75" customHeight="1" x14ac:dyDescent="0.2">
      <c r="A22" s="310" t="s">
        <v>190</v>
      </c>
      <c r="B22" s="93">
        <v>310998.39</v>
      </c>
      <c r="C22" s="93">
        <v>73062.37</v>
      </c>
      <c r="D22" s="93">
        <v>0</v>
      </c>
      <c r="E22" s="93">
        <f>SUM(B22:D22)</f>
        <v>384060.76</v>
      </c>
      <c r="F22" s="752" t="s">
        <v>1079</v>
      </c>
      <c r="G22" s="752"/>
      <c r="H22" s="752"/>
      <c r="I22" s="752"/>
    </row>
    <row r="23" spans="1:9" s="87" customFormat="1" ht="24" customHeight="1" x14ac:dyDescent="0.2">
      <c r="A23" s="293" t="s">
        <v>99</v>
      </c>
      <c r="B23" s="689">
        <v>495512.16</v>
      </c>
      <c r="C23" s="689">
        <v>683289.1</v>
      </c>
      <c r="D23" s="689">
        <v>498583</v>
      </c>
      <c r="E23" s="689">
        <v>680218.26</v>
      </c>
      <c r="F23" s="737" t="s">
        <v>1080</v>
      </c>
      <c r="G23" s="737"/>
      <c r="H23" s="737"/>
      <c r="I23" s="737"/>
    </row>
    <row r="24" spans="1:9" s="87" customFormat="1" ht="11.25" customHeight="1" x14ac:dyDescent="0.2">
      <c r="A24" s="293" t="s">
        <v>71</v>
      </c>
      <c r="B24" s="148">
        <v>104934.27</v>
      </c>
      <c r="C24" s="148">
        <v>0</v>
      </c>
      <c r="D24" s="148">
        <v>5840</v>
      </c>
      <c r="E24" s="148">
        <v>99094.27</v>
      </c>
      <c r="F24" s="737" t="s">
        <v>1052</v>
      </c>
      <c r="G24" s="737"/>
      <c r="H24" s="737"/>
      <c r="I24" s="737"/>
    </row>
    <row r="25" spans="1:9" s="87" customFormat="1" ht="22.5" customHeight="1" x14ac:dyDescent="0.2">
      <c r="A25" s="311" t="s">
        <v>193</v>
      </c>
      <c r="B25" s="164">
        <v>10490.33</v>
      </c>
      <c r="C25" s="164">
        <v>23915</v>
      </c>
      <c r="D25" s="164">
        <v>23751</v>
      </c>
      <c r="E25" s="164">
        <v>10654.33</v>
      </c>
      <c r="F25" s="756" t="s">
        <v>1081</v>
      </c>
      <c r="G25" s="756"/>
      <c r="H25" s="756"/>
      <c r="I25" s="756"/>
    </row>
    <row r="26" spans="1:9" s="88" customFormat="1" ht="10.5" x14ac:dyDescent="0.15">
      <c r="A26" s="670" t="s">
        <v>34</v>
      </c>
      <c r="B26" s="283">
        <f>SUM(B22:B25)</f>
        <v>921935.15</v>
      </c>
      <c r="C26" s="283">
        <f t="shared" ref="C26:E26" si="0">SUM(C22:C25)</f>
        <v>780266.47</v>
      </c>
      <c r="D26" s="283">
        <f t="shared" si="0"/>
        <v>528174</v>
      </c>
      <c r="E26" s="283">
        <f t="shared" si="0"/>
        <v>1174027.6200000001</v>
      </c>
      <c r="F26" s="1091"/>
      <c r="G26" s="1091"/>
      <c r="H26" s="1091"/>
      <c r="I26" s="1091"/>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601" t="s">
        <v>72</v>
      </c>
      <c r="B30" s="601" t="s">
        <v>25</v>
      </c>
      <c r="C30" s="600" t="s">
        <v>73</v>
      </c>
      <c r="D30" s="788" t="s">
        <v>196</v>
      </c>
      <c r="E30" s="788"/>
      <c r="F30" s="788"/>
      <c r="G30" s="788"/>
      <c r="H30" s="788"/>
      <c r="I30" s="788"/>
    </row>
    <row r="31" spans="1:9" s="87" customFormat="1" ht="11.25" x14ac:dyDescent="0.2">
      <c r="A31" s="313"/>
      <c r="B31" s="131">
        <v>0</v>
      </c>
      <c r="C31" s="314"/>
      <c r="D31" s="774"/>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601" t="s">
        <v>72</v>
      </c>
      <c r="B36" s="601" t="s">
        <v>25</v>
      </c>
      <c r="C36" s="600" t="s">
        <v>73</v>
      </c>
      <c r="D36" s="788" t="s">
        <v>196</v>
      </c>
      <c r="E36" s="788"/>
      <c r="F36" s="788"/>
      <c r="G36" s="788"/>
      <c r="H36" s="788"/>
      <c r="I36" s="788"/>
    </row>
    <row r="37" spans="1:9" s="87" customFormat="1" ht="11.25" x14ac:dyDescent="0.2">
      <c r="A37" s="313"/>
      <c r="B37" s="131">
        <v>0</v>
      </c>
      <c r="C37" s="314"/>
      <c r="D37" s="774"/>
      <c r="E37" s="746"/>
      <c r="F37" s="746"/>
      <c r="G37" s="746"/>
      <c r="H37" s="746"/>
      <c r="I37" s="775"/>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601" t="s">
        <v>25</v>
      </c>
      <c r="B42" s="307" t="s">
        <v>100</v>
      </c>
      <c r="C42" s="765" t="s">
        <v>74</v>
      </c>
      <c r="D42" s="765"/>
      <c r="E42" s="765"/>
      <c r="F42" s="765"/>
      <c r="G42" s="765"/>
      <c r="H42" s="765"/>
      <c r="I42" s="765"/>
    </row>
    <row r="43" spans="1:9" s="87" customFormat="1" ht="11.25" x14ac:dyDescent="0.2">
      <c r="A43" s="124">
        <v>0</v>
      </c>
      <c r="B43" s="124">
        <v>0</v>
      </c>
      <c r="C43" s="1205"/>
      <c r="D43" s="1205"/>
      <c r="E43" s="1205"/>
      <c r="F43" s="1205"/>
      <c r="G43" s="1205"/>
      <c r="H43" s="1205"/>
      <c r="I43" s="1205"/>
    </row>
    <row r="44" spans="1:9" s="88" customFormat="1" ht="10.5" x14ac:dyDescent="0.15">
      <c r="A44" s="283">
        <f>SUM(A43:A43)</f>
        <v>0</v>
      </c>
      <c r="B44" s="283">
        <f>SUM(B43:B43)</f>
        <v>0</v>
      </c>
      <c r="C44" s="767" t="s">
        <v>34</v>
      </c>
      <c r="D44" s="767"/>
      <c r="E44" s="767"/>
      <c r="F44" s="767"/>
      <c r="G44" s="767"/>
      <c r="H44" s="767"/>
      <c r="I44" s="767"/>
    </row>
    <row r="45" spans="1:9" s="87" customFormat="1" ht="11.25" x14ac:dyDescent="0.2">
      <c r="C45" s="89"/>
    </row>
    <row r="46" spans="1:9" s="87" customFormat="1" ht="11.25" x14ac:dyDescent="0.2">
      <c r="A46" s="742" t="s">
        <v>199</v>
      </c>
      <c r="B46" s="742"/>
      <c r="C46" s="742"/>
      <c r="D46" s="742"/>
      <c r="E46" s="742"/>
      <c r="F46" s="742"/>
      <c r="G46" s="742"/>
      <c r="H46" s="742"/>
      <c r="I46" s="742"/>
    </row>
    <row r="47" spans="1:9" s="87" customFormat="1" ht="11.25" x14ac:dyDescent="0.2">
      <c r="C47" s="89"/>
    </row>
    <row r="48" spans="1:9" s="151" customFormat="1" ht="31.5" x14ac:dyDescent="0.25">
      <c r="A48" s="743" t="s">
        <v>101</v>
      </c>
      <c r="B48" s="744"/>
      <c r="C48" s="599" t="s">
        <v>102</v>
      </c>
      <c r="D48" s="599" t="s">
        <v>103</v>
      </c>
      <c r="E48" s="599" t="s">
        <v>104</v>
      </c>
      <c r="F48" s="599" t="s">
        <v>105</v>
      </c>
      <c r="G48" s="599" t="s">
        <v>94</v>
      </c>
    </row>
    <row r="49" spans="1:7" s="151" customFormat="1" ht="11.25" customHeight="1" x14ac:dyDescent="0.25">
      <c r="A49" s="1199" t="s">
        <v>1083</v>
      </c>
      <c r="B49" s="1199"/>
      <c r="C49" s="633" t="s">
        <v>1053</v>
      </c>
      <c r="D49" s="634"/>
      <c r="E49" s="634">
        <v>-5000</v>
      </c>
      <c r="F49" s="324">
        <v>42035</v>
      </c>
      <c r="G49" s="324"/>
    </row>
    <row r="50" spans="1:7" s="151" customFormat="1" ht="11.25" customHeight="1" x14ac:dyDescent="0.25">
      <c r="A50" s="1200"/>
      <c r="B50" s="1200"/>
      <c r="C50" s="635" t="s">
        <v>1054</v>
      </c>
      <c r="D50" s="631"/>
      <c r="E50" s="631">
        <v>5000</v>
      </c>
      <c r="F50" s="327"/>
      <c r="G50" s="327">
        <v>42035</v>
      </c>
    </row>
    <row r="51" spans="1:7" s="151" customFormat="1" ht="11.25" customHeight="1" x14ac:dyDescent="0.25">
      <c r="A51" s="1201" t="s">
        <v>1084</v>
      </c>
      <c r="B51" s="1202"/>
      <c r="C51" s="635" t="s">
        <v>1055</v>
      </c>
      <c r="D51" s="631">
        <v>50000</v>
      </c>
      <c r="E51" s="631"/>
      <c r="F51" s="327" t="s">
        <v>165</v>
      </c>
      <c r="G51" s="327">
        <v>42102</v>
      </c>
    </row>
    <row r="52" spans="1:7" s="151" customFormat="1" ht="11.25" customHeight="1" x14ac:dyDescent="0.25">
      <c r="A52" s="1201" t="s">
        <v>1085</v>
      </c>
      <c r="B52" s="1202"/>
      <c r="C52" s="635" t="s">
        <v>1056</v>
      </c>
      <c r="D52" s="631"/>
      <c r="E52" s="631">
        <v>50000</v>
      </c>
      <c r="F52" s="327" t="s">
        <v>1082</v>
      </c>
      <c r="G52" s="327">
        <v>42102</v>
      </c>
    </row>
    <row r="53" spans="1:7" s="151" customFormat="1" ht="11.25" customHeight="1" x14ac:dyDescent="0.25">
      <c r="A53" s="1201" t="s">
        <v>1086</v>
      </c>
      <c r="B53" s="1202"/>
      <c r="C53" s="635" t="s">
        <v>1057</v>
      </c>
      <c r="D53" s="631">
        <v>50000</v>
      </c>
      <c r="E53" s="631"/>
      <c r="F53" s="630">
        <v>42086</v>
      </c>
      <c r="G53" s="327"/>
    </row>
    <row r="54" spans="1:7" s="151" customFormat="1" ht="11.25" customHeight="1" x14ac:dyDescent="0.25">
      <c r="A54" s="1201" t="s">
        <v>1087</v>
      </c>
      <c r="B54" s="1202"/>
      <c r="C54" s="635" t="s">
        <v>1054</v>
      </c>
      <c r="D54" s="631"/>
      <c r="E54" s="631">
        <v>48000</v>
      </c>
      <c r="F54" s="630"/>
      <c r="G54" s="327">
        <v>42086</v>
      </c>
    </row>
    <row r="55" spans="1:7" s="151" customFormat="1" ht="11.25" customHeight="1" x14ac:dyDescent="0.25">
      <c r="A55" s="1201" t="s">
        <v>1088</v>
      </c>
      <c r="B55" s="1202"/>
      <c r="C55" s="635" t="s">
        <v>1058</v>
      </c>
      <c r="D55" s="631"/>
      <c r="E55" s="631">
        <v>2000</v>
      </c>
      <c r="F55" s="630"/>
      <c r="G55" s="327">
        <v>42086</v>
      </c>
    </row>
    <row r="56" spans="1:7" s="151" customFormat="1" ht="11.25" customHeight="1" x14ac:dyDescent="0.25">
      <c r="A56" s="1201" t="s">
        <v>1086</v>
      </c>
      <c r="B56" s="1202"/>
      <c r="C56" s="635" t="s">
        <v>1057</v>
      </c>
      <c r="D56" s="631">
        <v>15000</v>
      </c>
      <c r="E56" s="631"/>
      <c r="F56" s="630">
        <v>42156</v>
      </c>
      <c r="G56" s="327"/>
    </row>
    <row r="57" spans="1:7" s="151" customFormat="1" ht="11.25" customHeight="1" x14ac:dyDescent="0.25">
      <c r="A57" s="1201" t="s">
        <v>1085</v>
      </c>
      <c r="B57" s="1202"/>
      <c r="C57" s="635" t="s">
        <v>1059</v>
      </c>
      <c r="D57" s="631"/>
      <c r="E57" s="631">
        <v>15000</v>
      </c>
      <c r="F57" s="630"/>
      <c r="G57" s="327">
        <v>42156</v>
      </c>
    </row>
    <row r="58" spans="1:7" s="151" customFormat="1" ht="11.25" customHeight="1" x14ac:dyDescent="0.25">
      <c r="A58" s="1188" t="s">
        <v>1089</v>
      </c>
      <c r="B58" s="1189"/>
      <c r="C58" s="635" t="s">
        <v>1060</v>
      </c>
      <c r="D58" s="631">
        <v>360000</v>
      </c>
      <c r="E58" s="631"/>
      <c r="F58" s="630" t="s">
        <v>167</v>
      </c>
      <c r="G58" s="327"/>
    </row>
    <row r="59" spans="1:7" s="151" customFormat="1" ht="11.25" customHeight="1" x14ac:dyDescent="0.25">
      <c r="A59" s="1201" t="s">
        <v>1090</v>
      </c>
      <c r="B59" s="1202"/>
      <c r="C59" s="635" t="s">
        <v>1061</v>
      </c>
      <c r="D59" s="631"/>
      <c r="E59" s="631">
        <v>360000</v>
      </c>
      <c r="F59" s="630"/>
      <c r="G59" s="327">
        <v>42185</v>
      </c>
    </row>
    <row r="60" spans="1:7" s="151" customFormat="1" ht="11.25" customHeight="1" x14ac:dyDescent="0.25">
      <c r="A60" s="1201" t="s">
        <v>1084</v>
      </c>
      <c r="B60" s="1202"/>
      <c r="C60" s="635" t="s">
        <v>1055</v>
      </c>
      <c r="D60" s="631">
        <v>90365</v>
      </c>
      <c r="E60" s="631"/>
      <c r="F60" s="630" t="s">
        <v>168</v>
      </c>
      <c r="G60" s="327"/>
    </row>
    <row r="61" spans="1:7" s="151" customFormat="1" ht="11.25" customHeight="1" x14ac:dyDescent="0.25">
      <c r="A61" s="1201" t="s">
        <v>1091</v>
      </c>
      <c r="B61" s="1202"/>
      <c r="C61" s="635" t="s">
        <v>1056</v>
      </c>
      <c r="D61" s="631"/>
      <c r="E61" s="631">
        <v>90365</v>
      </c>
      <c r="F61" s="630"/>
      <c r="G61" s="327">
        <v>42185</v>
      </c>
    </row>
    <row r="62" spans="1:7" s="151" customFormat="1" ht="11.25" customHeight="1" x14ac:dyDescent="0.25">
      <c r="A62" s="1201" t="s">
        <v>604</v>
      </c>
      <c r="B62" s="1202"/>
      <c r="C62" s="635" t="s">
        <v>1062</v>
      </c>
      <c r="D62" s="631">
        <v>5840</v>
      </c>
      <c r="E62" s="631"/>
      <c r="F62" s="630">
        <v>42195</v>
      </c>
      <c r="G62" s="350"/>
    </row>
    <row r="63" spans="1:7" s="151" customFormat="1" ht="11.25" customHeight="1" x14ac:dyDescent="0.25">
      <c r="A63" s="1201" t="s">
        <v>1092</v>
      </c>
      <c r="B63" s="1202"/>
      <c r="C63" s="635" t="s">
        <v>1063</v>
      </c>
      <c r="D63" s="631"/>
      <c r="E63" s="631">
        <v>5840</v>
      </c>
      <c r="F63" s="630"/>
      <c r="G63" s="327">
        <v>42195</v>
      </c>
    </row>
    <row r="64" spans="1:7" s="151" customFormat="1" ht="11.25" customHeight="1" x14ac:dyDescent="0.25">
      <c r="A64" s="1201" t="s">
        <v>1086</v>
      </c>
      <c r="B64" s="1202"/>
      <c r="C64" s="635" t="s">
        <v>1057</v>
      </c>
      <c r="D64" s="631">
        <v>25000</v>
      </c>
      <c r="E64" s="631"/>
      <c r="F64" s="630">
        <v>42236</v>
      </c>
      <c r="G64" s="327"/>
    </row>
    <row r="65" spans="1:9" s="151" customFormat="1" ht="11.25" customHeight="1" x14ac:dyDescent="0.25">
      <c r="A65" s="1201" t="s">
        <v>1093</v>
      </c>
      <c r="B65" s="1202"/>
      <c r="C65" s="635" t="s">
        <v>1064</v>
      </c>
      <c r="D65" s="631"/>
      <c r="E65" s="631">
        <v>13000</v>
      </c>
      <c r="F65" s="630"/>
      <c r="G65" s="327">
        <v>42236</v>
      </c>
    </row>
    <row r="66" spans="1:9" s="151" customFormat="1" ht="11.25" customHeight="1" x14ac:dyDescent="0.25">
      <c r="A66" s="1201" t="s">
        <v>1094</v>
      </c>
      <c r="B66" s="1202"/>
      <c r="C66" s="635" t="s">
        <v>1065</v>
      </c>
      <c r="D66" s="631"/>
      <c r="E66" s="631">
        <v>12000</v>
      </c>
      <c r="F66" s="630"/>
      <c r="G66" s="327">
        <v>42236</v>
      </c>
    </row>
    <row r="67" spans="1:9" s="151" customFormat="1" ht="11.25" customHeight="1" x14ac:dyDescent="0.25">
      <c r="A67" s="1201" t="s">
        <v>1086</v>
      </c>
      <c r="B67" s="1202"/>
      <c r="C67" s="635" t="s">
        <v>1057</v>
      </c>
      <c r="D67" s="631">
        <v>374635</v>
      </c>
      <c r="E67" s="631"/>
      <c r="F67" s="630">
        <v>42309</v>
      </c>
      <c r="G67" s="327"/>
    </row>
    <row r="68" spans="1:9" s="151" customFormat="1" ht="11.25" customHeight="1" x14ac:dyDescent="0.25">
      <c r="A68" s="1188" t="s">
        <v>1087</v>
      </c>
      <c r="B68" s="1189"/>
      <c r="C68" s="635" t="s">
        <v>1066</v>
      </c>
      <c r="D68" s="631"/>
      <c r="E68" s="631">
        <v>35000</v>
      </c>
      <c r="F68" s="630"/>
      <c r="G68" s="327">
        <v>42309</v>
      </c>
    </row>
    <row r="69" spans="1:9" s="151" customFormat="1" ht="11.25" customHeight="1" x14ac:dyDescent="0.25">
      <c r="A69" s="1201" t="s">
        <v>1095</v>
      </c>
      <c r="B69" s="1202"/>
      <c r="C69" s="635" t="s">
        <v>1067</v>
      </c>
      <c r="D69" s="631"/>
      <c r="E69" s="631">
        <v>15000</v>
      </c>
      <c r="F69" s="630"/>
      <c r="G69" s="327">
        <v>42309</v>
      </c>
    </row>
    <row r="70" spans="1:9" s="151" customFormat="1" ht="11.25" customHeight="1" x14ac:dyDescent="0.25">
      <c r="A70" s="1201" t="s">
        <v>1096</v>
      </c>
      <c r="B70" s="1202"/>
      <c r="C70" s="635" t="s">
        <v>1053</v>
      </c>
      <c r="D70" s="632"/>
      <c r="E70" s="631">
        <v>315000</v>
      </c>
      <c r="F70" s="327"/>
      <c r="G70" s="327">
        <v>42309</v>
      </c>
    </row>
    <row r="71" spans="1:9" s="151" customFormat="1" ht="11.25" customHeight="1" x14ac:dyDescent="0.25">
      <c r="A71" s="1201" t="s">
        <v>1097</v>
      </c>
      <c r="B71" s="1202"/>
      <c r="C71" s="635" t="s">
        <v>1068</v>
      </c>
      <c r="D71" s="631"/>
      <c r="E71" s="631">
        <v>9635</v>
      </c>
      <c r="F71" s="327"/>
      <c r="G71" s="327">
        <v>42309</v>
      </c>
    </row>
    <row r="72" spans="1:9" s="87" customFormat="1" ht="11.25" customHeight="1" x14ac:dyDescent="0.2">
      <c r="A72" s="603" t="s">
        <v>111</v>
      </c>
      <c r="B72" s="604"/>
      <c r="C72" s="629"/>
      <c r="D72" s="637">
        <f>SUM(D49:D71)</f>
        <v>970840</v>
      </c>
      <c r="E72" s="498">
        <f>SUM(E49:E71)</f>
        <v>970840</v>
      </c>
      <c r="F72" s="638"/>
      <c r="G72" s="639"/>
    </row>
    <row r="73" spans="1:9" s="87" customFormat="1" ht="11.25" x14ac:dyDescent="0.2">
      <c r="C73" s="89"/>
    </row>
    <row r="74" spans="1:9" s="87" customFormat="1" ht="11.25" x14ac:dyDescent="0.2">
      <c r="A74" s="742" t="s">
        <v>211</v>
      </c>
      <c r="B74" s="742"/>
      <c r="C74" s="742"/>
      <c r="D74" s="742"/>
      <c r="E74" s="742"/>
      <c r="F74" s="742"/>
      <c r="G74" s="742"/>
      <c r="H74" s="742"/>
      <c r="I74" s="742"/>
    </row>
    <row r="75" spans="1:9" s="87" customFormat="1" ht="11.25" x14ac:dyDescent="0.2">
      <c r="C75" s="89"/>
    </row>
    <row r="76" spans="1:9" s="151" customFormat="1" ht="31.5" x14ac:dyDescent="0.25">
      <c r="A76" s="743" t="s">
        <v>101</v>
      </c>
      <c r="B76" s="880"/>
      <c r="C76" s="599" t="s">
        <v>102</v>
      </c>
      <c r="D76" s="599" t="s">
        <v>103</v>
      </c>
      <c r="E76" s="599" t="s">
        <v>104</v>
      </c>
      <c r="F76" s="599" t="s">
        <v>105</v>
      </c>
      <c r="G76" s="599" t="s">
        <v>94</v>
      </c>
    </row>
    <row r="77" spans="1:9" s="151" customFormat="1" ht="11.25" customHeight="1" x14ac:dyDescent="0.25">
      <c r="A77" s="1190" t="s">
        <v>1098</v>
      </c>
      <c r="B77" s="1191"/>
      <c r="C77" s="640" t="s">
        <v>1069</v>
      </c>
      <c r="D77" s="641">
        <v>213000</v>
      </c>
      <c r="E77" s="642"/>
      <c r="F77" s="643">
        <v>42248</v>
      </c>
      <c r="G77" s="644"/>
    </row>
    <row r="78" spans="1:9" s="151" customFormat="1" ht="11.25" customHeight="1" x14ac:dyDescent="0.25">
      <c r="A78" s="1188" t="s">
        <v>1099</v>
      </c>
      <c r="B78" s="1189"/>
      <c r="C78" s="645" t="s">
        <v>1070</v>
      </c>
      <c r="D78" s="491"/>
      <c r="E78" s="491">
        <v>25000</v>
      </c>
      <c r="F78" s="493"/>
      <c r="G78" s="493">
        <v>42248</v>
      </c>
    </row>
    <row r="79" spans="1:9" s="151" customFormat="1" ht="11.25" customHeight="1" x14ac:dyDescent="0.25">
      <c r="A79" s="1188" t="s">
        <v>1100</v>
      </c>
      <c r="B79" s="1189"/>
      <c r="C79" s="636"/>
      <c r="D79" s="636"/>
      <c r="E79" s="646">
        <v>15000</v>
      </c>
      <c r="F79" s="493"/>
      <c r="G79" s="493">
        <v>42248</v>
      </c>
    </row>
    <row r="80" spans="1:9" s="151" customFormat="1" ht="11.25" customHeight="1" x14ac:dyDescent="0.25">
      <c r="A80" s="1188" t="s">
        <v>1101</v>
      </c>
      <c r="B80" s="1189"/>
      <c r="C80" s="645" t="s">
        <v>1071</v>
      </c>
      <c r="D80" s="491"/>
      <c r="E80" s="491">
        <v>10000</v>
      </c>
      <c r="F80" s="493"/>
      <c r="G80" s="493">
        <v>42248</v>
      </c>
    </row>
    <row r="81" spans="1:9" s="151" customFormat="1" ht="11.25" customHeight="1" x14ac:dyDescent="0.25">
      <c r="A81" s="1188" t="s">
        <v>1104</v>
      </c>
      <c r="B81" s="1189"/>
      <c r="C81" s="645" t="s">
        <v>1072</v>
      </c>
      <c r="D81" s="491"/>
      <c r="E81" s="491">
        <v>40000</v>
      </c>
      <c r="F81" s="493"/>
      <c r="G81" s="493">
        <v>42248</v>
      </c>
    </row>
    <row r="82" spans="1:9" s="151" customFormat="1" ht="11.25" customHeight="1" x14ac:dyDescent="0.25">
      <c r="A82" s="1188" t="s">
        <v>1102</v>
      </c>
      <c r="B82" s="1189"/>
      <c r="C82" s="645" t="s">
        <v>1073</v>
      </c>
      <c r="D82" s="491"/>
      <c r="E82" s="491">
        <v>12000</v>
      </c>
      <c r="F82" s="493"/>
      <c r="G82" s="493">
        <v>42248</v>
      </c>
    </row>
    <row r="83" spans="1:9" s="151" customFormat="1" ht="11.25" customHeight="1" x14ac:dyDescent="0.25">
      <c r="A83" s="1188" t="s">
        <v>1103</v>
      </c>
      <c r="B83" s="1189"/>
      <c r="C83" s="645" t="s">
        <v>1074</v>
      </c>
      <c r="D83" s="491"/>
      <c r="E83" s="491">
        <v>9000</v>
      </c>
      <c r="F83" s="493"/>
      <c r="G83" s="493">
        <v>42248</v>
      </c>
    </row>
    <row r="84" spans="1:9" s="151" customFormat="1" ht="11.25" customHeight="1" x14ac:dyDescent="0.25">
      <c r="A84" s="1188" t="s">
        <v>1105</v>
      </c>
      <c r="B84" s="1189"/>
      <c r="C84" s="645" t="s">
        <v>1075</v>
      </c>
      <c r="D84" s="491"/>
      <c r="E84" s="491">
        <v>40000</v>
      </c>
      <c r="F84" s="493"/>
      <c r="G84" s="493">
        <v>42248</v>
      </c>
    </row>
    <row r="85" spans="1:9" s="151" customFormat="1" ht="11.25" customHeight="1" x14ac:dyDescent="0.25">
      <c r="A85" s="1192" t="s">
        <v>1106</v>
      </c>
      <c r="B85" s="1193"/>
      <c r="C85" s="645" t="s">
        <v>1076</v>
      </c>
      <c r="D85" s="491"/>
      <c r="E85" s="491">
        <v>62000</v>
      </c>
      <c r="F85" s="493"/>
      <c r="G85" s="493">
        <v>42248</v>
      </c>
    </row>
    <row r="86" spans="1:9" s="151" customFormat="1" ht="11.25" customHeight="1" x14ac:dyDescent="0.25">
      <c r="A86" s="1194"/>
      <c r="B86" s="1195"/>
      <c r="C86" s="645"/>
      <c r="D86" s="491"/>
      <c r="E86" s="491"/>
      <c r="F86" s="493"/>
      <c r="G86" s="493"/>
    </row>
    <row r="87" spans="1:9" s="151" customFormat="1" ht="11.25" customHeight="1" x14ac:dyDescent="0.25">
      <c r="A87" s="1188" t="s">
        <v>1098</v>
      </c>
      <c r="B87" s="1189"/>
      <c r="C87" s="645" t="s">
        <v>1069</v>
      </c>
      <c r="D87" s="491">
        <v>27000</v>
      </c>
      <c r="E87" s="491"/>
      <c r="F87" s="493">
        <v>42339</v>
      </c>
      <c r="G87" s="493"/>
    </row>
    <row r="88" spans="1:9" s="151" customFormat="1" ht="11.25" customHeight="1" x14ac:dyDescent="0.25">
      <c r="A88" s="1188" t="s">
        <v>1107</v>
      </c>
      <c r="B88" s="1189"/>
      <c r="C88" s="645" t="s">
        <v>1077</v>
      </c>
      <c r="D88" s="491"/>
      <c r="E88" s="491">
        <v>27000</v>
      </c>
      <c r="F88" s="493"/>
      <c r="G88" s="493">
        <v>42339</v>
      </c>
    </row>
    <row r="89" spans="1:9" s="151" customFormat="1" ht="11.25" customHeight="1" x14ac:dyDescent="0.25">
      <c r="A89" s="647" t="s">
        <v>111</v>
      </c>
      <c r="B89" s="648"/>
      <c r="C89" s="649"/>
      <c r="D89" s="498">
        <f>SUM(D77:D88)</f>
        <v>240000</v>
      </c>
      <c r="E89" s="650">
        <f>SUM(E77:E88)</f>
        <v>240000</v>
      </c>
      <c r="F89" s="651"/>
      <c r="G89" s="651"/>
    </row>
    <row r="90" spans="1:9" s="87" customFormat="1" ht="11.25" x14ac:dyDescent="0.2">
      <c r="C90" s="89"/>
    </row>
    <row r="91" spans="1:9" s="87" customFormat="1" ht="11.25" x14ac:dyDescent="0.2">
      <c r="A91" s="738" t="s">
        <v>212</v>
      </c>
      <c r="B91" s="738"/>
      <c r="C91" s="738"/>
      <c r="D91" s="738"/>
      <c r="E91" s="738"/>
      <c r="F91" s="738"/>
      <c r="G91" s="738"/>
      <c r="H91" s="738"/>
      <c r="I91" s="738"/>
    </row>
    <row r="92" spans="1:9" s="625" customFormat="1" ht="11.25" customHeight="1" x14ac:dyDescent="0.15">
      <c r="A92" s="941" t="s">
        <v>1108</v>
      </c>
      <c r="B92" s="942"/>
      <c r="C92" s="942"/>
      <c r="D92" s="942"/>
      <c r="E92" s="942"/>
      <c r="F92" s="942"/>
      <c r="G92" s="942"/>
      <c r="H92" s="942"/>
      <c r="I92" s="943"/>
    </row>
    <row r="93" spans="1:9" s="625" customFormat="1" ht="23.25" customHeight="1" x14ac:dyDescent="0.15">
      <c r="A93" s="941" t="s">
        <v>1109</v>
      </c>
      <c r="B93" s="942"/>
      <c r="C93" s="942"/>
      <c r="D93" s="942"/>
      <c r="E93" s="942"/>
      <c r="F93" s="942"/>
      <c r="G93" s="942"/>
      <c r="H93" s="942"/>
      <c r="I93" s="943"/>
    </row>
    <row r="94" spans="1:9" s="625" customFormat="1" ht="11.25" x14ac:dyDescent="0.15"/>
    <row r="95" spans="1:9" s="149" customFormat="1" ht="10.5" x14ac:dyDescent="0.15">
      <c r="A95" s="1203" t="s">
        <v>213</v>
      </c>
      <c r="B95" s="1203"/>
      <c r="C95" s="1203"/>
      <c r="D95" s="1203"/>
      <c r="E95" s="1203"/>
      <c r="F95" s="1203"/>
      <c r="G95" s="1203"/>
      <c r="H95" s="1203"/>
      <c r="I95" s="1203"/>
    </row>
    <row r="96" spans="1:9" s="87" customFormat="1" ht="11.25" x14ac:dyDescent="0.2">
      <c r="C96" s="89"/>
    </row>
    <row r="97" spans="1:9" s="469" customFormat="1" ht="22.5" customHeight="1" x14ac:dyDescent="0.15">
      <c r="A97" s="739" t="s">
        <v>1252</v>
      </c>
      <c r="B97" s="740"/>
      <c r="C97" s="740"/>
      <c r="D97" s="740"/>
      <c r="E97" s="740"/>
      <c r="F97" s="740"/>
      <c r="G97" s="740"/>
      <c r="H97" s="740"/>
      <c r="I97" s="741"/>
    </row>
    <row r="98" spans="1:9" s="469" customFormat="1" ht="11.25" customHeight="1" x14ac:dyDescent="0.15">
      <c r="A98" s="739" t="s">
        <v>216</v>
      </c>
      <c r="B98" s="1204"/>
      <c r="C98" s="1204"/>
      <c r="D98" s="1204"/>
      <c r="E98" s="1204"/>
      <c r="F98" s="1204"/>
      <c r="G98" s="1204"/>
      <c r="H98" s="1204"/>
      <c r="I98" s="1055"/>
    </row>
    <row r="99" spans="1:9" s="469" customFormat="1" ht="11.25" customHeight="1" x14ac:dyDescent="0.15">
      <c r="A99" s="1196" t="s">
        <v>1110</v>
      </c>
      <c r="B99" s="1197"/>
      <c r="C99" s="1197"/>
      <c r="D99" s="1197"/>
      <c r="E99" s="1197"/>
      <c r="F99" s="1197"/>
      <c r="G99" s="1197"/>
      <c r="H99" s="1197"/>
      <c r="I99" s="1198"/>
    </row>
    <row r="100" spans="1:9" s="28" customFormat="1" ht="11.25" customHeight="1" x14ac:dyDescent="0.2"/>
  </sheetData>
  <mergeCells count="76">
    <mergeCell ref="A3:I3"/>
    <mergeCell ref="D8:I8"/>
    <mergeCell ref="A9:B9"/>
    <mergeCell ref="D9:I9"/>
    <mergeCell ref="D30:I30"/>
    <mergeCell ref="F21:I21"/>
    <mergeCell ref="F22:I22"/>
    <mergeCell ref="D31:I31"/>
    <mergeCell ref="A5:B5"/>
    <mergeCell ref="D5:I5"/>
    <mergeCell ref="A6:B6"/>
    <mergeCell ref="D6:I6"/>
    <mergeCell ref="A7:B7"/>
    <mergeCell ref="D7:I7"/>
    <mergeCell ref="A8:B8"/>
    <mergeCell ref="F23:I23"/>
    <mergeCell ref="F24:I24"/>
    <mergeCell ref="F25:I25"/>
    <mergeCell ref="F26:I26"/>
    <mergeCell ref="A28:I28"/>
    <mergeCell ref="A11:I11"/>
    <mergeCell ref="A15:A16"/>
    <mergeCell ref="A19:I19"/>
    <mergeCell ref="C38:I38"/>
    <mergeCell ref="A40:I40"/>
    <mergeCell ref="C42:I42"/>
    <mergeCell ref="C43:I43"/>
    <mergeCell ref="C32:I32"/>
    <mergeCell ref="A34:I34"/>
    <mergeCell ref="D36:I36"/>
    <mergeCell ref="D37:I37"/>
    <mergeCell ref="C44:I44"/>
    <mergeCell ref="A46:I46"/>
    <mergeCell ref="A48:B48"/>
    <mergeCell ref="A74:I74"/>
    <mergeCell ref="A76:B76"/>
    <mergeCell ref="A61:B61"/>
    <mergeCell ref="A60:B60"/>
    <mergeCell ref="A59:B59"/>
    <mergeCell ref="A58:B58"/>
    <mergeCell ref="A56:B56"/>
    <mergeCell ref="A55:B55"/>
    <mergeCell ref="A57:B57"/>
    <mergeCell ref="A54:B54"/>
    <mergeCell ref="A63:B63"/>
    <mergeCell ref="A62:B62"/>
    <mergeCell ref="A95:I95"/>
    <mergeCell ref="A97:I97"/>
    <mergeCell ref="A98:I98"/>
    <mergeCell ref="A91:I91"/>
    <mergeCell ref="A92:I92"/>
    <mergeCell ref="A93:I93"/>
    <mergeCell ref="A88:B88"/>
    <mergeCell ref="A87:B87"/>
    <mergeCell ref="A84:B84"/>
    <mergeCell ref="A99:I99"/>
    <mergeCell ref="A49:B50"/>
    <mergeCell ref="A51:B51"/>
    <mergeCell ref="A52:B52"/>
    <mergeCell ref="A53:B53"/>
    <mergeCell ref="A71:B71"/>
    <mergeCell ref="A70:B70"/>
    <mergeCell ref="A69:B69"/>
    <mergeCell ref="A68:B68"/>
    <mergeCell ref="A67:B67"/>
    <mergeCell ref="A66:B66"/>
    <mergeCell ref="A65:B65"/>
    <mergeCell ref="A64:B64"/>
    <mergeCell ref="A78:B78"/>
    <mergeCell ref="A77:B77"/>
    <mergeCell ref="A85:B86"/>
    <mergeCell ref="A83:B83"/>
    <mergeCell ref="A82:B82"/>
    <mergeCell ref="A81:B81"/>
    <mergeCell ref="A80:B80"/>
    <mergeCell ref="A79:B79"/>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1"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89</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10708200</v>
      </c>
      <c r="F6" s="29">
        <f>SUM(F7:F9)</f>
        <v>11679040</v>
      </c>
      <c r="G6" s="29">
        <f>SUM(G7:G9)</f>
        <v>11450569.6</v>
      </c>
      <c r="H6" s="24">
        <f t="shared" ref="H6:H36" si="0">G6/F6*100</f>
        <v>98.043757021125018</v>
      </c>
      <c r="I6" s="29">
        <f>SUM(I7:I9)</f>
        <v>10196322</v>
      </c>
      <c r="J6" s="29">
        <f>SUM(J7:J9)</f>
        <v>10708200</v>
      </c>
      <c r="K6" s="29">
        <f t="shared" ref="K6:X6" si="1">SUM(K7:K9)</f>
        <v>11679040</v>
      </c>
      <c r="L6" s="29">
        <f t="shared" si="1"/>
        <v>11450569.6</v>
      </c>
      <c r="M6" s="24">
        <f t="shared" ref="M6:M32" si="2">L6/K6*100</f>
        <v>98.043757021125018</v>
      </c>
      <c r="N6" s="30">
        <f t="shared" si="1"/>
        <v>10196322</v>
      </c>
      <c r="O6" s="29">
        <f t="shared" si="1"/>
        <v>0</v>
      </c>
      <c r="P6" s="29">
        <f t="shared" si="1"/>
        <v>0</v>
      </c>
      <c r="Q6" s="29">
        <f t="shared" si="1"/>
        <v>0</v>
      </c>
      <c r="R6" s="24" t="e">
        <f t="shared" ref="R6:R9" si="3">Q6/P6*100</f>
        <v>#DIV/0!</v>
      </c>
      <c r="S6" s="29">
        <f t="shared" si="1"/>
        <v>0</v>
      </c>
      <c r="T6" s="612">
        <f t="shared" si="1"/>
        <v>600000</v>
      </c>
      <c r="U6" s="29">
        <f t="shared" si="1"/>
        <v>840000</v>
      </c>
      <c r="V6" s="29">
        <f t="shared" si="1"/>
        <v>749523</v>
      </c>
      <c r="W6" s="24">
        <f t="shared" ref="W6:W33" si="4">V6/U6*100</f>
        <v>89.228928571428568</v>
      </c>
      <c r="X6" s="29">
        <f t="shared" si="1"/>
        <v>678281</v>
      </c>
    </row>
    <row r="7" spans="1:24" s="6" customFormat="1" ht="9.9499999999999993" customHeight="1" x14ac:dyDescent="0.2">
      <c r="A7" s="169" t="s">
        <v>2</v>
      </c>
      <c r="B7" s="823" t="s">
        <v>44</v>
      </c>
      <c r="C7" s="824"/>
      <c r="D7" s="238" t="s">
        <v>25</v>
      </c>
      <c r="E7" s="32">
        <f t="shared" ref="E7:G9" si="5">SUM(J7,O7)</f>
        <v>5404000</v>
      </c>
      <c r="F7" s="33">
        <f t="shared" si="5"/>
        <v>6014840</v>
      </c>
      <c r="G7" s="33">
        <f t="shared" si="5"/>
        <v>6129412.5999999996</v>
      </c>
      <c r="H7" s="9">
        <f t="shared" si="0"/>
        <v>101.9048320487328</v>
      </c>
      <c r="I7" s="40">
        <f t="shared" ref="I7:I9" si="6">SUM(N7,S7)</f>
        <v>5372319</v>
      </c>
      <c r="J7" s="193">
        <v>5404000</v>
      </c>
      <c r="K7" s="35">
        <v>6014840</v>
      </c>
      <c r="L7" s="35">
        <v>6129412.5999999996</v>
      </c>
      <c r="M7" s="9">
        <f t="shared" si="2"/>
        <v>101.9048320487328</v>
      </c>
      <c r="N7" s="194">
        <v>5372319</v>
      </c>
      <c r="O7" s="195"/>
      <c r="P7" s="35"/>
      <c r="Q7" s="35"/>
      <c r="R7" s="158" t="e">
        <f t="shared" si="3"/>
        <v>#DIV/0!</v>
      </c>
      <c r="S7" s="59"/>
      <c r="T7" s="613">
        <v>600000</v>
      </c>
      <c r="U7" s="35">
        <v>840000</v>
      </c>
      <c r="V7" s="35">
        <v>749523</v>
      </c>
      <c r="W7" s="9">
        <f t="shared" si="4"/>
        <v>89.228928571428568</v>
      </c>
      <c r="X7" s="59">
        <v>678281</v>
      </c>
    </row>
    <row r="8" spans="1:24" s="6" customFormat="1" ht="9.9499999999999993" customHeight="1" x14ac:dyDescent="0.2">
      <c r="A8" s="171" t="s">
        <v>3</v>
      </c>
      <c r="B8" s="825" t="s">
        <v>45</v>
      </c>
      <c r="C8" s="826"/>
      <c r="D8" s="172" t="s">
        <v>25</v>
      </c>
      <c r="E8" s="38">
        <f t="shared" si="5"/>
        <v>6000</v>
      </c>
      <c r="F8" s="39">
        <f t="shared" si="5"/>
        <v>6000</v>
      </c>
      <c r="G8" s="39">
        <f t="shared" si="5"/>
        <v>2152</v>
      </c>
      <c r="H8" s="10">
        <f t="shared" si="0"/>
        <v>35.866666666666667</v>
      </c>
      <c r="I8" s="40">
        <f t="shared" si="6"/>
        <v>5794</v>
      </c>
      <c r="J8" s="196">
        <v>6000</v>
      </c>
      <c r="K8" s="157">
        <v>6000</v>
      </c>
      <c r="L8" s="157">
        <v>2152</v>
      </c>
      <c r="M8" s="158">
        <f t="shared" si="2"/>
        <v>35.866666666666667</v>
      </c>
      <c r="N8" s="198">
        <v>5794</v>
      </c>
      <c r="O8" s="156"/>
      <c r="P8" s="157"/>
      <c r="Q8" s="157"/>
      <c r="R8" s="158" t="e">
        <f t="shared" si="3"/>
        <v>#DIV/0!</v>
      </c>
      <c r="S8" s="159"/>
      <c r="T8" s="614"/>
      <c r="U8" s="157"/>
      <c r="V8" s="157"/>
      <c r="W8" s="158" t="e">
        <f t="shared" si="4"/>
        <v>#DIV/0!</v>
      </c>
      <c r="X8" s="159"/>
    </row>
    <row r="9" spans="1:24" s="6" customFormat="1" ht="9.9499999999999993" customHeight="1" x14ac:dyDescent="0.2">
      <c r="A9" s="173" t="s">
        <v>4</v>
      </c>
      <c r="B9" s="449" t="s">
        <v>59</v>
      </c>
      <c r="C9" s="450"/>
      <c r="D9" s="186" t="s">
        <v>25</v>
      </c>
      <c r="E9" s="42">
        <f t="shared" si="5"/>
        <v>5298200</v>
      </c>
      <c r="F9" s="43">
        <f t="shared" si="5"/>
        <v>5658200</v>
      </c>
      <c r="G9" s="43">
        <f t="shared" si="5"/>
        <v>5319005</v>
      </c>
      <c r="H9" s="26">
        <f t="shared" si="0"/>
        <v>94.005249019122701</v>
      </c>
      <c r="I9" s="40">
        <f t="shared" si="6"/>
        <v>4818209</v>
      </c>
      <c r="J9" s="199">
        <v>5298200</v>
      </c>
      <c r="K9" s="203">
        <v>5658200</v>
      </c>
      <c r="L9" s="203">
        <v>5319005</v>
      </c>
      <c r="M9" s="201">
        <f t="shared" si="2"/>
        <v>94.005249019122701</v>
      </c>
      <c r="N9" s="202">
        <v>4818209</v>
      </c>
      <c r="O9" s="160"/>
      <c r="P9" s="203"/>
      <c r="Q9" s="203"/>
      <c r="R9" s="158" t="e">
        <f t="shared" si="3"/>
        <v>#DIV/0!</v>
      </c>
      <c r="S9" s="161"/>
      <c r="T9" s="241"/>
      <c r="U9" s="203"/>
      <c r="V9" s="203"/>
      <c r="W9" s="158" t="e">
        <f t="shared" si="4"/>
        <v>#DIV/0!</v>
      </c>
      <c r="X9" s="161"/>
    </row>
    <row r="10" spans="1:24" s="6" customFormat="1" ht="9.9499999999999993" customHeight="1" x14ac:dyDescent="0.2">
      <c r="A10" s="168" t="s">
        <v>5</v>
      </c>
      <c r="B10" s="822" t="s">
        <v>7</v>
      </c>
      <c r="C10" s="822"/>
      <c r="D10" s="20" t="s">
        <v>25</v>
      </c>
      <c r="E10" s="45"/>
      <c r="F10" s="45"/>
      <c r="G10" s="45"/>
      <c r="H10" s="24" t="e">
        <f t="shared" si="0"/>
        <v>#DIV/0!</v>
      </c>
      <c r="I10" s="46"/>
      <c r="J10" s="31"/>
      <c r="K10" s="45"/>
      <c r="L10" s="45"/>
      <c r="M10" s="24" t="e">
        <f t="shared" si="2"/>
        <v>#DIV/0!</v>
      </c>
      <c r="N10" s="46"/>
      <c r="O10" s="45"/>
      <c r="P10" s="45"/>
      <c r="Q10" s="45"/>
      <c r="R10" s="24" t="e">
        <f t="shared" ref="R10" si="7">Q10/P10*100</f>
        <v>#DIV/0!</v>
      </c>
      <c r="S10" s="45"/>
      <c r="T10" s="615"/>
      <c r="U10" s="45"/>
      <c r="V10" s="45"/>
      <c r="W10" s="24" t="e">
        <f t="shared" ref="W10" si="8">V10/U10*100</f>
        <v>#DIV/0!</v>
      </c>
      <c r="X10" s="45"/>
    </row>
    <row r="11" spans="1:24" s="6" customFormat="1" ht="9.9499999999999993" customHeight="1" x14ac:dyDescent="0.2">
      <c r="A11" s="168" t="s">
        <v>6</v>
      </c>
      <c r="B11" s="822" t="s">
        <v>9</v>
      </c>
      <c r="C11" s="822"/>
      <c r="D11" s="20" t="s">
        <v>25</v>
      </c>
      <c r="E11" s="29">
        <f>SUM(E12:E32)</f>
        <v>10708200</v>
      </c>
      <c r="F11" s="29">
        <f t="shared" ref="F11:X11" si="9">SUM(F12:F32)</f>
        <v>11679040</v>
      </c>
      <c r="G11" s="29">
        <f t="shared" si="9"/>
        <v>11450569.74</v>
      </c>
      <c r="H11" s="29" t="e">
        <f t="shared" si="9"/>
        <v>#DIV/0!</v>
      </c>
      <c r="I11" s="29">
        <f t="shared" si="9"/>
        <v>10196322</v>
      </c>
      <c r="J11" s="29">
        <f t="shared" si="9"/>
        <v>10708200</v>
      </c>
      <c r="K11" s="29">
        <f t="shared" si="9"/>
        <v>11679040</v>
      </c>
      <c r="L11" s="29">
        <f t="shared" si="9"/>
        <v>11450569.74</v>
      </c>
      <c r="M11" s="29" t="e">
        <f t="shared" si="9"/>
        <v>#DIV/0!</v>
      </c>
      <c r="N11" s="29">
        <f t="shared" si="9"/>
        <v>10196322</v>
      </c>
      <c r="O11" s="29">
        <f t="shared" si="9"/>
        <v>0</v>
      </c>
      <c r="P11" s="29">
        <f t="shared" si="9"/>
        <v>0</v>
      </c>
      <c r="Q11" s="29">
        <f t="shared" si="9"/>
        <v>0</v>
      </c>
      <c r="R11" s="29" t="e">
        <f t="shared" si="9"/>
        <v>#DIV/0!</v>
      </c>
      <c r="S11" s="29">
        <f t="shared" si="9"/>
        <v>0</v>
      </c>
      <c r="T11" s="29">
        <f t="shared" si="9"/>
        <v>500000</v>
      </c>
      <c r="U11" s="29">
        <f t="shared" si="9"/>
        <v>740000</v>
      </c>
      <c r="V11" s="29">
        <f t="shared" si="9"/>
        <v>680584</v>
      </c>
      <c r="W11" s="29" t="e">
        <f t="shared" si="9"/>
        <v>#DIV/0!</v>
      </c>
      <c r="X11" s="29">
        <f t="shared" si="9"/>
        <v>605219</v>
      </c>
    </row>
    <row r="12" spans="1:24" s="6" customFormat="1" ht="9.9499999999999993" customHeight="1" x14ac:dyDescent="0.2">
      <c r="A12" s="178" t="s">
        <v>8</v>
      </c>
      <c r="B12" s="827" t="s">
        <v>28</v>
      </c>
      <c r="C12" s="828"/>
      <c r="D12" s="238" t="s">
        <v>25</v>
      </c>
      <c r="E12" s="32">
        <f t="shared" ref="E12:I27" si="10">SUM(J12,O12)</f>
        <v>325000</v>
      </c>
      <c r="F12" s="33">
        <f t="shared" si="10"/>
        <v>365000</v>
      </c>
      <c r="G12" s="33">
        <f t="shared" si="10"/>
        <v>350533</v>
      </c>
      <c r="H12" s="9">
        <f t="shared" si="0"/>
        <v>96.036438356164382</v>
      </c>
      <c r="I12" s="40">
        <f t="shared" si="10"/>
        <v>324996</v>
      </c>
      <c r="J12" s="204">
        <v>325000</v>
      </c>
      <c r="K12" s="47">
        <v>365000</v>
      </c>
      <c r="L12" s="47">
        <v>350533</v>
      </c>
      <c r="M12" s="158">
        <f t="shared" si="2"/>
        <v>96.036438356164382</v>
      </c>
      <c r="N12" s="205">
        <v>324996</v>
      </c>
      <c r="O12" s="206"/>
      <c r="P12" s="47"/>
      <c r="Q12" s="47"/>
      <c r="R12" s="158" t="e">
        <f t="shared" ref="R12:R32" si="11">Q12/P12*100</f>
        <v>#DIV/0!</v>
      </c>
      <c r="S12" s="616"/>
      <c r="T12" s="617">
        <v>25000</v>
      </c>
      <c r="U12" s="47">
        <v>52000</v>
      </c>
      <c r="V12" s="47">
        <v>45828</v>
      </c>
      <c r="W12" s="158">
        <f t="shared" ref="W12:W32" si="12">V12/U12*100</f>
        <v>88.130769230769232</v>
      </c>
      <c r="X12" s="51">
        <v>44034</v>
      </c>
    </row>
    <row r="13" spans="1:24" s="6" customFormat="1" ht="9.9499999999999993" customHeight="1" x14ac:dyDescent="0.2">
      <c r="A13" s="180" t="s">
        <v>10</v>
      </c>
      <c r="B13" s="820" t="s">
        <v>29</v>
      </c>
      <c r="C13" s="821"/>
      <c r="D13" s="172" t="s">
        <v>25</v>
      </c>
      <c r="E13" s="38">
        <f t="shared" si="10"/>
        <v>1080000</v>
      </c>
      <c r="F13" s="39">
        <f t="shared" si="10"/>
        <v>1080000</v>
      </c>
      <c r="G13" s="39">
        <f t="shared" si="10"/>
        <v>987048</v>
      </c>
      <c r="H13" s="10">
        <f t="shared" si="0"/>
        <v>91.393333333333331</v>
      </c>
      <c r="I13" s="40">
        <f t="shared" si="10"/>
        <v>953579</v>
      </c>
      <c r="J13" s="208">
        <v>1080000</v>
      </c>
      <c r="K13" s="157">
        <v>1080000</v>
      </c>
      <c r="L13" s="157">
        <v>987048</v>
      </c>
      <c r="M13" s="158">
        <f t="shared" si="2"/>
        <v>91.393333333333331</v>
      </c>
      <c r="N13" s="198">
        <v>953579</v>
      </c>
      <c r="O13" s="156"/>
      <c r="P13" s="157"/>
      <c r="Q13" s="157"/>
      <c r="R13" s="158" t="e">
        <f t="shared" si="11"/>
        <v>#DIV/0!</v>
      </c>
      <c r="S13" s="159"/>
      <c r="T13" s="614">
        <v>100000</v>
      </c>
      <c r="U13" s="157">
        <v>100000</v>
      </c>
      <c r="V13" s="157">
        <v>60928</v>
      </c>
      <c r="W13" s="158">
        <f t="shared" si="12"/>
        <v>60.928000000000004</v>
      </c>
      <c r="X13" s="159">
        <v>211296</v>
      </c>
    </row>
    <row r="14" spans="1:24" s="6" customFormat="1" ht="9.9499999999999993" customHeight="1" x14ac:dyDescent="0.2">
      <c r="A14" s="180" t="s">
        <v>11</v>
      </c>
      <c r="B14" s="255" t="s">
        <v>60</v>
      </c>
      <c r="C14" s="256"/>
      <c r="D14" s="172" t="s">
        <v>25</v>
      </c>
      <c r="E14" s="38">
        <f t="shared" si="10"/>
        <v>0</v>
      </c>
      <c r="F14" s="39">
        <f t="shared" si="10"/>
        <v>0</v>
      </c>
      <c r="G14" s="39">
        <f t="shared" si="10"/>
        <v>0</v>
      </c>
      <c r="H14" s="10">
        <v>0</v>
      </c>
      <c r="I14" s="40">
        <f t="shared" si="10"/>
        <v>0</v>
      </c>
      <c r="J14" s="208"/>
      <c r="K14" s="157"/>
      <c r="L14" s="157"/>
      <c r="M14" s="158" t="e">
        <f t="shared" si="2"/>
        <v>#DIV/0!</v>
      </c>
      <c r="N14" s="198"/>
      <c r="O14" s="156"/>
      <c r="P14" s="157"/>
      <c r="Q14" s="157"/>
      <c r="R14" s="158" t="e">
        <f t="shared" si="11"/>
        <v>#DIV/0!</v>
      </c>
      <c r="S14" s="159"/>
      <c r="T14" s="614"/>
      <c r="U14" s="157"/>
      <c r="V14" s="157"/>
      <c r="W14" s="158" t="e">
        <f t="shared" si="12"/>
        <v>#DIV/0!</v>
      </c>
      <c r="X14" s="159"/>
    </row>
    <row r="15" spans="1:24" s="6" customFormat="1" ht="9.9499999999999993" customHeight="1" x14ac:dyDescent="0.2">
      <c r="A15" s="180" t="s">
        <v>12</v>
      </c>
      <c r="B15" s="820" t="s">
        <v>171</v>
      </c>
      <c r="C15" s="821"/>
      <c r="D15" s="172" t="s">
        <v>25</v>
      </c>
      <c r="E15" s="38">
        <f t="shared" si="10"/>
        <v>20000</v>
      </c>
      <c r="F15" s="39">
        <f t="shared" si="10"/>
        <v>185000</v>
      </c>
      <c r="G15" s="39">
        <f t="shared" si="10"/>
        <v>182790</v>
      </c>
      <c r="H15" s="10">
        <f t="shared" si="0"/>
        <v>98.805405405405409</v>
      </c>
      <c r="I15" s="40">
        <f t="shared" si="10"/>
        <v>43990</v>
      </c>
      <c r="J15" s="208">
        <v>20000</v>
      </c>
      <c r="K15" s="157">
        <v>185000</v>
      </c>
      <c r="L15" s="157">
        <v>182790</v>
      </c>
      <c r="M15" s="158">
        <f t="shared" si="2"/>
        <v>98.805405405405409</v>
      </c>
      <c r="N15" s="198">
        <v>43990</v>
      </c>
      <c r="O15" s="156"/>
      <c r="P15" s="157"/>
      <c r="Q15" s="157"/>
      <c r="R15" s="158" t="e">
        <f t="shared" si="11"/>
        <v>#DIV/0!</v>
      </c>
      <c r="S15" s="159"/>
      <c r="T15" s="614">
        <v>35000</v>
      </c>
      <c r="U15" s="157">
        <v>60000</v>
      </c>
      <c r="V15" s="157">
        <v>57822</v>
      </c>
      <c r="W15" s="158">
        <f t="shared" si="12"/>
        <v>96.37</v>
      </c>
      <c r="X15" s="159">
        <v>35968</v>
      </c>
    </row>
    <row r="16" spans="1:24" s="6" customFormat="1" ht="9.9499999999999993" customHeight="1" x14ac:dyDescent="0.2">
      <c r="A16" s="180" t="s">
        <v>13</v>
      </c>
      <c r="B16" s="820" t="s">
        <v>30</v>
      </c>
      <c r="C16" s="821"/>
      <c r="D16" s="172" t="s">
        <v>25</v>
      </c>
      <c r="E16" s="38">
        <f t="shared" si="10"/>
        <v>10000</v>
      </c>
      <c r="F16" s="39">
        <f t="shared" si="10"/>
        <v>10000</v>
      </c>
      <c r="G16" s="39">
        <f t="shared" si="10"/>
        <v>4792</v>
      </c>
      <c r="H16" s="10">
        <f t="shared" si="0"/>
        <v>47.92</v>
      </c>
      <c r="I16" s="40">
        <f t="shared" si="10"/>
        <v>11194</v>
      </c>
      <c r="J16" s="208">
        <v>10000</v>
      </c>
      <c r="K16" s="157">
        <v>10000</v>
      </c>
      <c r="L16" s="157">
        <v>4792</v>
      </c>
      <c r="M16" s="158">
        <f t="shared" si="2"/>
        <v>47.92</v>
      </c>
      <c r="N16" s="198">
        <v>11194</v>
      </c>
      <c r="O16" s="156"/>
      <c r="P16" s="157"/>
      <c r="Q16" s="157"/>
      <c r="R16" s="158" t="e">
        <f t="shared" si="11"/>
        <v>#DIV/0!</v>
      </c>
      <c r="S16" s="159"/>
      <c r="T16" s="614"/>
      <c r="U16" s="157"/>
      <c r="V16" s="157"/>
      <c r="W16" s="158" t="e">
        <f t="shared" si="12"/>
        <v>#DIV/0!</v>
      </c>
      <c r="X16" s="159"/>
    </row>
    <row r="17" spans="1:24" s="6" customFormat="1" ht="9.9499999999999993" customHeight="1" x14ac:dyDescent="0.2">
      <c r="A17" s="180" t="s">
        <v>14</v>
      </c>
      <c r="B17" s="255" t="s">
        <v>46</v>
      </c>
      <c r="C17" s="256"/>
      <c r="D17" s="172" t="s">
        <v>25</v>
      </c>
      <c r="E17" s="38">
        <f t="shared" si="10"/>
        <v>10000</v>
      </c>
      <c r="F17" s="39">
        <f t="shared" si="10"/>
        <v>10000</v>
      </c>
      <c r="G17" s="39">
        <f t="shared" si="10"/>
        <v>9850</v>
      </c>
      <c r="H17" s="10">
        <f t="shared" si="0"/>
        <v>98.5</v>
      </c>
      <c r="I17" s="40">
        <f t="shared" si="10"/>
        <v>14205</v>
      </c>
      <c r="J17" s="208">
        <v>10000</v>
      </c>
      <c r="K17" s="157">
        <v>10000</v>
      </c>
      <c r="L17" s="157">
        <v>9850</v>
      </c>
      <c r="M17" s="158">
        <f t="shared" si="2"/>
        <v>98.5</v>
      </c>
      <c r="N17" s="198">
        <v>14205</v>
      </c>
      <c r="O17" s="156"/>
      <c r="P17" s="157"/>
      <c r="Q17" s="157"/>
      <c r="R17" s="158" t="e">
        <f t="shared" si="11"/>
        <v>#DIV/0!</v>
      </c>
      <c r="S17" s="159"/>
      <c r="T17" s="614"/>
      <c r="U17" s="157"/>
      <c r="V17" s="157"/>
      <c r="W17" s="158" t="e">
        <f t="shared" si="12"/>
        <v>#DIV/0!</v>
      </c>
      <c r="X17" s="159"/>
    </row>
    <row r="18" spans="1:24" s="6" customFormat="1" ht="9.9499999999999993" customHeight="1" x14ac:dyDescent="0.2">
      <c r="A18" s="180" t="s">
        <v>15</v>
      </c>
      <c r="B18" s="820" t="s">
        <v>31</v>
      </c>
      <c r="C18" s="821"/>
      <c r="D18" s="172" t="s">
        <v>25</v>
      </c>
      <c r="E18" s="38">
        <f t="shared" si="10"/>
        <v>5123000</v>
      </c>
      <c r="F18" s="39">
        <f t="shared" si="10"/>
        <v>5433000</v>
      </c>
      <c r="G18" s="39">
        <f t="shared" si="10"/>
        <v>5418034.7400000002</v>
      </c>
      <c r="H18" s="10">
        <f t="shared" si="0"/>
        <v>99.72454886802872</v>
      </c>
      <c r="I18" s="40">
        <f t="shared" si="10"/>
        <v>4707768</v>
      </c>
      <c r="J18" s="208">
        <v>5123000</v>
      </c>
      <c r="K18" s="157">
        <v>5433000</v>
      </c>
      <c r="L18" s="157">
        <v>5418034.7400000002</v>
      </c>
      <c r="M18" s="158">
        <f t="shared" si="2"/>
        <v>99.72454886802872</v>
      </c>
      <c r="N18" s="198">
        <v>4707768</v>
      </c>
      <c r="O18" s="156"/>
      <c r="P18" s="157"/>
      <c r="Q18" s="157"/>
      <c r="R18" s="158" t="e">
        <f t="shared" si="11"/>
        <v>#DIV/0!</v>
      </c>
      <c r="S18" s="159"/>
      <c r="T18" s="614">
        <v>68000</v>
      </c>
      <c r="U18" s="157">
        <v>93000</v>
      </c>
      <c r="V18" s="157">
        <v>89374</v>
      </c>
      <c r="W18" s="158">
        <f t="shared" si="12"/>
        <v>96.101075268817198</v>
      </c>
      <c r="X18" s="159">
        <v>67178</v>
      </c>
    </row>
    <row r="19" spans="1:24" s="11" customFormat="1" ht="9.9499999999999993" customHeight="1" x14ac:dyDescent="0.2">
      <c r="A19" s="180" t="s">
        <v>16</v>
      </c>
      <c r="B19" s="820" t="s">
        <v>32</v>
      </c>
      <c r="C19" s="821"/>
      <c r="D19" s="172" t="s">
        <v>25</v>
      </c>
      <c r="E19" s="38">
        <f t="shared" si="10"/>
        <v>2779600</v>
      </c>
      <c r="F19" s="39">
        <f t="shared" si="10"/>
        <v>2785440</v>
      </c>
      <c r="G19" s="39">
        <f t="shared" si="10"/>
        <v>2774913</v>
      </c>
      <c r="H19" s="10">
        <f t="shared" si="0"/>
        <v>99.622070480785794</v>
      </c>
      <c r="I19" s="40">
        <f t="shared" si="10"/>
        <v>2740000</v>
      </c>
      <c r="J19" s="209">
        <v>2779600</v>
      </c>
      <c r="K19" s="157">
        <v>2785440</v>
      </c>
      <c r="L19" s="157">
        <v>2774913</v>
      </c>
      <c r="M19" s="158">
        <f t="shared" si="2"/>
        <v>99.622070480785794</v>
      </c>
      <c r="N19" s="198">
        <v>2740000</v>
      </c>
      <c r="O19" s="156"/>
      <c r="P19" s="157"/>
      <c r="Q19" s="157"/>
      <c r="R19" s="158" t="e">
        <f t="shared" si="11"/>
        <v>#DIV/0!</v>
      </c>
      <c r="S19" s="159"/>
      <c r="T19" s="618">
        <v>200000</v>
      </c>
      <c r="U19" s="211">
        <v>240000</v>
      </c>
      <c r="V19" s="211">
        <v>238236</v>
      </c>
      <c r="W19" s="158">
        <f t="shared" si="12"/>
        <v>99.265000000000001</v>
      </c>
      <c r="X19" s="212">
        <v>180784</v>
      </c>
    </row>
    <row r="20" spans="1:24" s="6" customFormat="1" ht="9.9499999999999993" customHeight="1" x14ac:dyDescent="0.2">
      <c r="A20" s="180" t="s">
        <v>17</v>
      </c>
      <c r="B20" s="820" t="s">
        <v>47</v>
      </c>
      <c r="C20" s="821"/>
      <c r="D20" s="172" t="s">
        <v>25</v>
      </c>
      <c r="E20" s="38">
        <f t="shared" si="10"/>
        <v>943600</v>
      </c>
      <c r="F20" s="39">
        <f t="shared" si="10"/>
        <v>943600</v>
      </c>
      <c r="G20" s="39">
        <f t="shared" si="10"/>
        <v>897429</v>
      </c>
      <c r="H20" s="10">
        <f t="shared" si="0"/>
        <v>95.106930902924972</v>
      </c>
      <c r="I20" s="40">
        <f t="shared" si="10"/>
        <v>871682</v>
      </c>
      <c r="J20" s="208">
        <v>943600</v>
      </c>
      <c r="K20" s="157">
        <v>943600</v>
      </c>
      <c r="L20" s="157">
        <v>897429</v>
      </c>
      <c r="M20" s="158">
        <f t="shared" si="2"/>
        <v>95.106930902924972</v>
      </c>
      <c r="N20" s="198">
        <v>871682</v>
      </c>
      <c r="O20" s="156"/>
      <c r="P20" s="157"/>
      <c r="Q20" s="157"/>
      <c r="R20" s="158" t="e">
        <f t="shared" si="11"/>
        <v>#DIV/0!</v>
      </c>
      <c r="S20" s="159"/>
      <c r="T20" s="614">
        <v>70000</v>
      </c>
      <c r="U20" s="157">
        <v>82000</v>
      </c>
      <c r="V20" s="157">
        <v>80136</v>
      </c>
      <c r="W20" s="158">
        <f t="shared" si="12"/>
        <v>97.726829268292676</v>
      </c>
      <c r="X20" s="159">
        <v>61466</v>
      </c>
    </row>
    <row r="21" spans="1:24" s="6" customFormat="1" ht="9.9499999999999993" customHeight="1" x14ac:dyDescent="0.2">
      <c r="A21" s="180" t="s">
        <v>18</v>
      </c>
      <c r="B21" s="820" t="s">
        <v>48</v>
      </c>
      <c r="C21" s="821"/>
      <c r="D21" s="172" t="s">
        <v>25</v>
      </c>
      <c r="E21" s="156">
        <f t="shared" si="10"/>
        <v>86000</v>
      </c>
      <c r="F21" s="157">
        <f t="shared" si="10"/>
        <v>86000</v>
      </c>
      <c r="G21" s="157">
        <f t="shared" si="10"/>
        <v>85884</v>
      </c>
      <c r="H21" s="158">
        <f t="shared" si="0"/>
        <v>99.865116279069767</v>
      </c>
      <c r="I21" s="40">
        <f t="shared" si="10"/>
        <v>89629</v>
      </c>
      <c r="J21" s="208">
        <v>86000</v>
      </c>
      <c r="K21" s="157">
        <v>86000</v>
      </c>
      <c r="L21" s="157">
        <v>85884</v>
      </c>
      <c r="M21" s="158">
        <f t="shared" si="2"/>
        <v>99.865116279069767</v>
      </c>
      <c r="N21" s="198">
        <v>89629</v>
      </c>
      <c r="O21" s="156"/>
      <c r="P21" s="157"/>
      <c r="Q21" s="157"/>
      <c r="R21" s="158" t="e">
        <f t="shared" si="11"/>
        <v>#DIV/0!</v>
      </c>
      <c r="S21" s="159"/>
      <c r="T21" s="614">
        <v>2000</v>
      </c>
      <c r="U21" s="157">
        <v>11000</v>
      </c>
      <c r="V21" s="157">
        <v>10681</v>
      </c>
      <c r="W21" s="158">
        <f t="shared" si="12"/>
        <v>97.1</v>
      </c>
      <c r="X21" s="159">
        <v>1992</v>
      </c>
    </row>
    <row r="22" spans="1:24" s="6" customFormat="1" ht="9.9499999999999993" customHeight="1" x14ac:dyDescent="0.2">
      <c r="A22" s="671" t="s">
        <v>19</v>
      </c>
      <c r="B22" s="839" t="s">
        <v>61</v>
      </c>
      <c r="C22" s="840"/>
      <c r="D22" s="672" t="s">
        <v>25</v>
      </c>
      <c r="E22" s="682">
        <f t="shared" si="10"/>
        <v>2000</v>
      </c>
      <c r="F22" s="683">
        <f t="shared" si="10"/>
        <v>4000</v>
      </c>
      <c r="G22" s="683">
        <f t="shared" si="10"/>
        <v>3300</v>
      </c>
      <c r="H22" s="684">
        <f t="shared" si="0"/>
        <v>82.5</v>
      </c>
      <c r="I22" s="676">
        <f t="shared" si="10"/>
        <v>5700</v>
      </c>
      <c r="J22" s="208">
        <v>2000</v>
      </c>
      <c r="K22" s="157">
        <v>4000</v>
      </c>
      <c r="L22" s="157">
        <v>3300</v>
      </c>
      <c r="M22" s="158">
        <f t="shared" si="2"/>
        <v>82.5</v>
      </c>
      <c r="N22" s="198">
        <v>5700</v>
      </c>
      <c r="O22" s="156"/>
      <c r="P22" s="157"/>
      <c r="Q22" s="157"/>
      <c r="R22" s="158" t="e">
        <f t="shared" si="11"/>
        <v>#DIV/0!</v>
      </c>
      <c r="S22" s="159"/>
      <c r="T22" s="614"/>
      <c r="U22" s="157"/>
      <c r="V22" s="157"/>
      <c r="W22" s="158" t="e">
        <f t="shared" si="12"/>
        <v>#DIV/0!</v>
      </c>
      <c r="X22" s="159"/>
    </row>
    <row r="23" spans="1:24" s="6" customFormat="1" ht="9.9499999999999993" customHeight="1" x14ac:dyDescent="0.2">
      <c r="A23" s="671" t="s">
        <v>20</v>
      </c>
      <c r="B23" s="677" t="s">
        <v>172</v>
      </c>
      <c r="C23" s="678"/>
      <c r="D23" s="672" t="s">
        <v>25</v>
      </c>
      <c r="E23" s="682">
        <f t="shared" ref="E23:E32" si="13">SUM(J23,O23)</f>
        <v>0</v>
      </c>
      <c r="F23" s="683">
        <f t="shared" ref="F23:F32" si="14">SUM(K23,P23)</f>
        <v>0</v>
      </c>
      <c r="G23" s="683">
        <f t="shared" ref="G23:G32" si="15">SUM(L23,Q23)</f>
        <v>0</v>
      </c>
      <c r="H23" s="684" t="e">
        <f t="shared" si="0"/>
        <v>#DIV/0!</v>
      </c>
      <c r="I23" s="676">
        <f t="shared" si="10"/>
        <v>0</v>
      </c>
      <c r="J23" s="208"/>
      <c r="K23" s="157"/>
      <c r="L23" s="157"/>
      <c r="M23" s="158" t="e">
        <f t="shared" si="2"/>
        <v>#DIV/0!</v>
      </c>
      <c r="N23" s="198"/>
      <c r="O23" s="156"/>
      <c r="P23" s="157"/>
      <c r="Q23" s="157"/>
      <c r="R23" s="158" t="e">
        <f t="shared" si="11"/>
        <v>#DIV/0!</v>
      </c>
      <c r="S23" s="159"/>
      <c r="T23" s="614"/>
      <c r="U23" s="157"/>
      <c r="V23" s="157"/>
      <c r="W23" s="158" t="e">
        <f t="shared" si="12"/>
        <v>#DIV/0!</v>
      </c>
      <c r="X23" s="159"/>
    </row>
    <row r="24" spans="1:24" s="6" customFormat="1" ht="9.9499999999999993" customHeight="1" x14ac:dyDescent="0.2">
      <c r="A24" s="671" t="s">
        <v>21</v>
      </c>
      <c r="B24" s="677" t="s">
        <v>173</v>
      </c>
      <c r="C24" s="678"/>
      <c r="D24" s="672" t="s">
        <v>25</v>
      </c>
      <c r="E24" s="682">
        <f t="shared" si="13"/>
        <v>0</v>
      </c>
      <c r="F24" s="683">
        <f t="shared" si="14"/>
        <v>0</v>
      </c>
      <c r="G24" s="683">
        <f t="shared" si="15"/>
        <v>0</v>
      </c>
      <c r="H24" s="684" t="e">
        <f t="shared" si="0"/>
        <v>#DIV/0!</v>
      </c>
      <c r="I24" s="676">
        <f t="shared" si="10"/>
        <v>0</v>
      </c>
      <c r="J24" s="208"/>
      <c r="K24" s="157"/>
      <c r="L24" s="157"/>
      <c r="M24" s="158" t="e">
        <f t="shared" si="2"/>
        <v>#DIV/0!</v>
      </c>
      <c r="N24" s="198"/>
      <c r="O24" s="156"/>
      <c r="P24" s="157"/>
      <c r="Q24" s="157"/>
      <c r="R24" s="158" t="e">
        <f t="shared" si="11"/>
        <v>#DIV/0!</v>
      </c>
      <c r="S24" s="159"/>
      <c r="T24" s="614"/>
      <c r="U24" s="157"/>
      <c r="V24" s="157"/>
      <c r="W24" s="158" t="e">
        <f t="shared" si="12"/>
        <v>#DIV/0!</v>
      </c>
      <c r="X24" s="159"/>
    </row>
    <row r="25" spans="1:24" s="13" customFormat="1" ht="9.9499999999999993" customHeight="1" x14ac:dyDescent="0.2">
      <c r="A25" s="679" t="s">
        <v>22</v>
      </c>
      <c r="B25" s="680" t="s">
        <v>62</v>
      </c>
      <c r="C25" s="681"/>
      <c r="D25" s="672" t="s">
        <v>25</v>
      </c>
      <c r="E25" s="682">
        <f t="shared" si="13"/>
        <v>5000</v>
      </c>
      <c r="F25" s="683">
        <f t="shared" si="14"/>
        <v>5000</v>
      </c>
      <c r="G25" s="683">
        <f t="shared" si="15"/>
        <v>4498</v>
      </c>
      <c r="H25" s="684">
        <f t="shared" si="0"/>
        <v>89.96</v>
      </c>
      <c r="I25" s="676">
        <f t="shared" si="10"/>
        <v>4574</v>
      </c>
      <c r="J25" s="208">
        <v>5000</v>
      </c>
      <c r="K25" s="213">
        <v>5000</v>
      </c>
      <c r="L25" s="213">
        <v>4498</v>
      </c>
      <c r="M25" s="158">
        <f t="shared" si="2"/>
        <v>89.96</v>
      </c>
      <c r="N25" s="214">
        <v>4574</v>
      </c>
      <c r="O25" s="215"/>
      <c r="P25" s="213"/>
      <c r="Q25" s="213"/>
      <c r="R25" s="158" t="e">
        <f t="shared" si="11"/>
        <v>#DIV/0!</v>
      </c>
      <c r="S25" s="217"/>
      <c r="T25" s="619"/>
      <c r="U25" s="213"/>
      <c r="V25" s="213"/>
      <c r="W25" s="158" t="e">
        <f t="shared" si="12"/>
        <v>#DIV/0!</v>
      </c>
      <c r="X25" s="217"/>
    </row>
    <row r="26" spans="1:24" s="6" customFormat="1" ht="9.9499999999999993" customHeight="1" x14ac:dyDescent="0.2">
      <c r="A26" s="671" t="s">
        <v>23</v>
      </c>
      <c r="B26" s="839" t="s">
        <v>63</v>
      </c>
      <c r="C26" s="840"/>
      <c r="D26" s="672" t="s">
        <v>25</v>
      </c>
      <c r="E26" s="682">
        <f t="shared" si="13"/>
        <v>324000</v>
      </c>
      <c r="F26" s="683">
        <f t="shared" si="14"/>
        <v>684000</v>
      </c>
      <c r="G26" s="683">
        <f t="shared" si="15"/>
        <v>644085</v>
      </c>
      <c r="H26" s="684">
        <f t="shared" si="0"/>
        <v>94.16447368421052</v>
      </c>
      <c r="I26" s="676">
        <f t="shared" si="10"/>
        <v>324025</v>
      </c>
      <c r="J26" s="208">
        <v>324000</v>
      </c>
      <c r="K26" s="197">
        <v>684000</v>
      </c>
      <c r="L26" s="197">
        <v>644085</v>
      </c>
      <c r="M26" s="158">
        <f t="shared" si="2"/>
        <v>94.16447368421052</v>
      </c>
      <c r="N26" s="198">
        <v>324025</v>
      </c>
      <c r="O26" s="218"/>
      <c r="P26" s="197"/>
      <c r="Q26" s="197"/>
      <c r="R26" s="158" t="e">
        <f t="shared" si="11"/>
        <v>#DIV/0!</v>
      </c>
      <c r="S26" s="219"/>
      <c r="T26" s="620"/>
      <c r="U26" s="197">
        <v>40000</v>
      </c>
      <c r="V26" s="197">
        <v>39204</v>
      </c>
      <c r="W26" s="158">
        <f t="shared" si="12"/>
        <v>98.009999999999991</v>
      </c>
      <c r="X26" s="219">
        <v>1501</v>
      </c>
    </row>
    <row r="27" spans="1:24" s="13" customFormat="1" ht="9.9499999999999993" customHeight="1" x14ac:dyDescent="0.2">
      <c r="A27" s="180" t="s">
        <v>43</v>
      </c>
      <c r="B27" s="255" t="s">
        <v>64</v>
      </c>
      <c r="C27" s="256"/>
      <c r="D27" s="172" t="s">
        <v>25</v>
      </c>
      <c r="E27" s="156">
        <f t="shared" si="13"/>
        <v>0</v>
      </c>
      <c r="F27" s="157">
        <f t="shared" si="14"/>
        <v>0</v>
      </c>
      <c r="G27" s="157">
        <f t="shared" si="15"/>
        <v>0</v>
      </c>
      <c r="H27" s="158" t="e">
        <f t="shared" si="0"/>
        <v>#DIV/0!</v>
      </c>
      <c r="I27" s="40">
        <f t="shared" si="10"/>
        <v>0</v>
      </c>
      <c r="J27" s="208"/>
      <c r="K27" s="197"/>
      <c r="L27" s="197"/>
      <c r="M27" s="158" t="e">
        <f t="shared" si="2"/>
        <v>#DIV/0!</v>
      </c>
      <c r="N27" s="214"/>
      <c r="O27" s="218"/>
      <c r="P27" s="197"/>
      <c r="Q27" s="197"/>
      <c r="R27" s="158" t="e">
        <f t="shared" si="11"/>
        <v>#DIV/0!</v>
      </c>
      <c r="S27" s="219"/>
      <c r="T27" s="620"/>
      <c r="U27" s="220"/>
      <c r="V27" s="220"/>
      <c r="W27" s="158" t="e">
        <f t="shared" si="12"/>
        <v>#DIV/0!</v>
      </c>
      <c r="X27" s="219"/>
    </row>
    <row r="28" spans="1:24" s="13" customFormat="1" ht="9.9499999999999993" customHeight="1" x14ac:dyDescent="0.2">
      <c r="A28" s="180" t="s">
        <v>49</v>
      </c>
      <c r="B28" s="255" t="s">
        <v>92</v>
      </c>
      <c r="C28" s="256"/>
      <c r="D28" s="172" t="s">
        <v>25</v>
      </c>
      <c r="E28" s="156">
        <f t="shared" si="13"/>
        <v>0</v>
      </c>
      <c r="F28" s="157">
        <f t="shared" si="14"/>
        <v>88000</v>
      </c>
      <c r="G28" s="157">
        <f t="shared" si="15"/>
        <v>87413</v>
      </c>
      <c r="H28" s="158">
        <f t="shared" si="0"/>
        <v>99.332954545454541</v>
      </c>
      <c r="I28" s="40">
        <f t="shared" ref="I28:I32" si="16">SUM(N28,S28)</f>
        <v>104980</v>
      </c>
      <c r="J28" s="208"/>
      <c r="K28" s="197">
        <v>88000</v>
      </c>
      <c r="L28" s="197">
        <v>87413</v>
      </c>
      <c r="M28" s="158">
        <f t="shared" si="2"/>
        <v>99.332954545454541</v>
      </c>
      <c r="N28" s="214">
        <v>104980</v>
      </c>
      <c r="O28" s="218"/>
      <c r="P28" s="197"/>
      <c r="Q28" s="197"/>
      <c r="R28" s="158" t="e">
        <f t="shared" si="11"/>
        <v>#DIV/0!</v>
      </c>
      <c r="S28" s="219"/>
      <c r="T28" s="620"/>
      <c r="U28" s="197">
        <v>62000</v>
      </c>
      <c r="V28" s="197">
        <v>58375</v>
      </c>
      <c r="W28" s="158">
        <f t="shared" si="12"/>
        <v>94.153225806451616</v>
      </c>
      <c r="X28" s="219">
        <v>1000</v>
      </c>
    </row>
    <row r="29" spans="1:24" s="15" customFormat="1" ht="9.9499999999999993" customHeight="1" x14ac:dyDescent="0.2">
      <c r="A29" s="180" t="s">
        <v>50</v>
      </c>
      <c r="B29" s="820" t="s">
        <v>65</v>
      </c>
      <c r="C29" s="821"/>
      <c r="D29" s="172" t="s">
        <v>25</v>
      </c>
      <c r="E29" s="156">
        <f t="shared" si="13"/>
        <v>0</v>
      </c>
      <c r="F29" s="157">
        <f t="shared" si="14"/>
        <v>0</v>
      </c>
      <c r="G29" s="157">
        <f t="shared" si="15"/>
        <v>0</v>
      </c>
      <c r="H29" s="158" t="e">
        <f t="shared" si="0"/>
        <v>#DIV/0!</v>
      </c>
      <c r="I29" s="40">
        <f t="shared" si="16"/>
        <v>0</v>
      </c>
      <c r="J29" s="208"/>
      <c r="K29" s="197"/>
      <c r="L29" s="197"/>
      <c r="M29" s="158" t="e">
        <f t="shared" si="2"/>
        <v>#DIV/0!</v>
      </c>
      <c r="N29" s="214"/>
      <c r="O29" s="218"/>
      <c r="P29" s="197"/>
      <c r="Q29" s="197"/>
      <c r="R29" s="158" t="e">
        <f t="shared" si="11"/>
        <v>#DIV/0!</v>
      </c>
      <c r="S29" s="219"/>
      <c r="T29" s="620"/>
      <c r="U29" s="220"/>
      <c r="V29" s="220"/>
      <c r="W29" s="158" t="e">
        <f t="shared" si="12"/>
        <v>#DIV/0!</v>
      </c>
      <c r="X29" s="237"/>
    </row>
    <row r="30" spans="1:24" s="6" customFormat="1" ht="9.75" x14ac:dyDescent="0.2">
      <c r="A30" s="180" t="s">
        <v>52</v>
      </c>
      <c r="B30" s="255" t="s">
        <v>51</v>
      </c>
      <c r="C30" s="256"/>
      <c r="D30" s="172" t="s">
        <v>25</v>
      </c>
      <c r="E30" s="156">
        <f t="shared" si="13"/>
        <v>0</v>
      </c>
      <c r="F30" s="157">
        <f t="shared" si="14"/>
        <v>0</v>
      </c>
      <c r="G30" s="157">
        <f t="shared" si="15"/>
        <v>0</v>
      </c>
      <c r="H30" s="158" t="e">
        <f t="shared" si="0"/>
        <v>#DIV/0!</v>
      </c>
      <c r="I30" s="40">
        <f t="shared" si="16"/>
        <v>0</v>
      </c>
      <c r="J30" s="208"/>
      <c r="K30" s="197"/>
      <c r="L30" s="197"/>
      <c r="M30" s="158" t="e">
        <f t="shared" si="2"/>
        <v>#DIV/0!</v>
      </c>
      <c r="N30" s="214"/>
      <c r="O30" s="218"/>
      <c r="P30" s="197"/>
      <c r="Q30" s="197"/>
      <c r="R30" s="158" t="e">
        <f t="shared" si="11"/>
        <v>#DIV/0!</v>
      </c>
      <c r="S30" s="219"/>
      <c r="T30" s="620"/>
      <c r="U30" s="220"/>
      <c r="V30" s="220"/>
      <c r="W30" s="158" t="e">
        <f t="shared" si="12"/>
        <v>#DIV/0!</v>
      </c>
      <c r="X30" s="237"/>
    </row>
    <row r="31" spans="1:24" s="23" customFormat="1" ht="9.75" x14ac:dyDescent="0.2">
      <c r="A31" s="180" t="s">
        <v>53</v>
      </c>
      <c r="B31" s="255" t="s">
        <v>66</v>
      </c>
      <c r="C31" s="256"/>
      <c r="D31" s="172" t="s">
        <v>25</v>
      </c>
      <c r="E31" s="156">
        <f t="shared" si="13"/>
        <v>0</v>
      </c>
      <c r="F31" s="157">
        <f t="shared" si="14"/>
        <v>0</v>
      </c>
      <c r="G31" s="157">
        <f t="shared" si="15"/>
        <v>0</v>
      </c>
      <c r="H31" s="158" t="e">
        <f t="shared" si="0"/>
        <v>#DIV/0!</v>
      </c>
      <c r="I31" s="40">
        <f t="shared" si="16"/>
        <v>0</v>
      </c>
      <c r="J31" s="208"/>
      <c r="K31" s="224"/>
      <c r="L31" s="224"/>
      <c r="M31" s="158" t="e">
        <f t="shared" si="2"/>
        <v>#DIV/0!</v>
      </c>
      <c r="N31" s="225"/>
      <c r="O31" s="226"/>
      <c r="P31" s="224"/>
      <c r="Q31" s="224"/>
      <c r="R31" s="158" t="e">
        <f t="shared" si="11"/>
        <v>#DIV/0!</v>
      </c>
      <c r="S31" s="265"/>
      <c r="T31" s="621"/>
      <c r="U31" s="228"/>
      <c r="V31" s="228"/>
      <c r="W31" s="158" t="e">
        <f t="shared" si="12"/>
        <v>#DIV/0!</v>
      </c>
      <c r="X31" s="229"/>
    </row>
    <row r="32" spans="1:24" s="23" customFormat="1" ht="9.75" x14ac:dyDescent="0.2">
      <c r="A32" s="183" t="s">
        <v>54</v>
      </c>
      <c r="B32" s="184" t="s">
        <v>67</v>
      </c>
      <c r="C32" s="185"/>
      <c r="D32" s="186" t="s">
        <v>25</v>
      </c>
      <c r="E32" s="160">
        <f t="shared" si="13"/>
        <v>0</v>
      </c>
      <c r="F32" s="43">
        <f t="shared" si="14"/>
        <v>0</v>
      </c>
      <c r="G32" s="43">
        <f t="shared" si="15"/>
        <v>0</v>
      </c>
      <c r="H32" s="26" t="e">
        <f t="shared" si="0"/>
        <v>#DIV/0!</v>
      </c>
      <c r="I32" s="40">
        <f t="shared" si="16"/>
        <v>0</v>
      </c>
      <c r="J32" s="230"/>
      <c r="K32" s="222"/>
      <c r="L32" s="222"/>
      <c r="M32" s="201" t="e">
        <f t="shared" si="2"/>
        <v>#DIV/0!</v>
      </c>
      <c r="N32" s="231"/>
      <c r="O32" s="221"/>
      <c r="P32" s="222"/>
      <c r="Q32" s="222"/>
      <c r="R32" s="201" t="e">
        <f t="shared" si="11"/>
        <v>#DIV/0!</v>
      </c>
      <c r="S32" s="231"/>
      <c r="T32" s="221"/>
      <c r="U32" s="222"/>
      <c r="V32" s="222"/>
      <c r="W32" s="201" t="e">
        <f t="shared" si="12"/>
        <v>#DIV/0!</v>
      </c>
      <c r="X32" s="223"/>
    </row>
    <row r="33" spans="1:24" s="23" customFormat="1" ht="9.75" x14ac:dyDescent="0.2">
      <c r="A33" s="168" t="s">
        <v>55</v>
      </c>
      <c r="B33" s="21" t="s">
        <v>174</v>
      </c>
      <c r="C33" s="22"/>
      <c r="D33" s="20" t="s">
        <v>25</v>
      </c>
      <c r="E33" s="29">
        <f>E6-E11</f>
        <v>0</v>
      </c>
      <c r="F33" s="29">
        <f>F6-F11</f>
        <v>0</v>
      </c>
      <c r="G33" s="29">
        <f>G6-G11</f>
        <v>-0.14000000059604645</v>
      </c>
      <c r="H33" s="24" t="e">
        <f t="shared" si="0"/>
        <v>#DIV/0!</v>
      </c>
      <c r="I33" s="29">
        <f>I6-I11</f>
        <v>0</v>
      </c>
      <c r="J33" s="29">
        <f t="shared" ref="J33:L33" si="17">J6-J11</f>
        <v>0</v>
      </c>
      <c r="K33" s="29">
        <f t="shared" si="17"/>
        <v>0</v>
      </c>
      <c r="L33" s="29">
        <f t="shared" si="17"/>
        <v>-0.14000000059604645</v>
      </c>
      <c r="M33" s="24" t="e">
        <f t="shared" ref="M33" si="18">L33/K33*100</f>
        <v>#DIV/0!</v>
      </c>
      <c r="N33" s="29">
        <f t="shared" ref="N33:Q33" si="19">N6-N11</f>
        <v>0</v>
      </c>
      <c r="O33" s="29">
        <f t="shared" si="19"/>
        <v>0</v>
      </c>
      <c r="P33" s="29">
        <f t="shared" si="19"/>
        <v>0</v>
      </c>
      <c r="Q33" s="29">
        <f t="shared" si="19"/>
        <v>0</v>
      </c>
      <c r="R33" s="24" t="e">
        <f t="shared" ref="R33" si="20">Q33/P33*100</f>
        <v>#DIV/0!</v>
      </c>
      <c r="S33" s="29">
        <f t="shared" ref="S33:V33" si="21">S6-S11</f>
        <v>0</v>
      </c>
      <c r="T33" s="29">
        <f t="shared" si="21"/>
        <v>100000</v>
      </c>
      <c r="U33" s="29">
        <f t="shared" si="21"/>
        <v>100000</v>
      </c>
      <c r="V33" s="29">
        <f t="shared" si="21"/>
        <v>68939</v>
      </c>
      <c r="W33" s="19">
        <f t="shared" si="4"/>
        <v>68.938999999999993</v>
      </c>
      <c r="X33" s="29">
        <f>X6-X11</f>
        <v>73062</v>
      </c>
    </row>
    <row r="34" spans="1:24" s="4" customFormat="1" ht="9.75" x14ac:dyDescent="0.2">
      <c r="A34" s="187" t="s">
        <v>56</v>
      </c>
      <c r="B34" s="841" t="s">
        <v>24</v>
      </c>
      <c r="C34" s="842"/>
      <c r="D34" s="188" t="s">
        <v>25</v>
      </c>
      <c r="E34" s="434">
        <v>23280</v>
      </c>
      <c r="F34" s="273">
        <v>23280</v>
      </c>
      <c r="G34" s="273">
        <v>23446</v>
      </c>
      <c r="H34" s="9">
        <f t="shared" si="0"/>
        <v>100.71305841924398</v>
      </c>
      <c r="I34" s="435">
        <v>23222</v>
      </c>
      <c r="J34" s="833"/>
      <c r="K34" s="834"/>
      <c r="L34" s="834"/>
      <c r="M34" s="834"/>
      <c r="N34" s="834"/>
      <c r="O34" s="834"/>
      <c r="P34" s="834"/>
      <c r="Q34" s="834"/>
      <c r="R34" s="834"/>
      <c r="S34" s="834"/>
      <c r="T34" s="834"/>
      <c r="U34" s="834"/>
      <c r="V34" s="834"/>
      <c r="W34" s="834"/>
      <c r="X34" s="835"/>
    </row>
    <row r="35" spans="1:24" s="4" customFormat="1" ht="9.75" x14ac:dyDescent="0.2">
      <c r="A35" s="189" t="s">
        <v>57</v>
      </c>
      <c r="B35" s="829" t="s">
        <v>33</v>
      </c>
      <c r="C35" s="830"/>
      <c r="D35" s="190" t="s">
        <v>26</v>
      </c>
      <c r="E35" s="622">
        <v>8.5</v>
      </c>
      <c r="F35" s="623">
        <v>8.5</v>
      </c>
      <c r="G35" s="623">
        <v>8.5</v>
      </c>
      <c r="H35" s="158">
        <f t="shared" si="0"/>
        <v>100</v>
      </c>
      <c r="I35" s="624">
        <v>8.5</v>
      </c>
      <c r="J35" s="833"/>
      <c r="K35" s="834"/>
      <c r="L35" s="834"/>
      <c r="M35" s="834"/>
      <c r="N35" s="834"/>
      <c r="O35" s="834"/>
      <c r="P35" s="834"/>
      <c r="Q35" s="834"/>
      <c r="R35" s="834"/>
      <c r="S35" s="834"/>
      <c r="T35" s="834"/>
      <c r="U35" s="834"/>
      <c r="V35" s="834"/>
      <c r="W35" s="834"/>
      <c r="X35" s="835"/>
    </row>
    <row r="36" spans="1:24" s="4" customFormat="1" ht="9.75" x14ac:dyDescent="0.2">
      <c r="A36" s="191" t="s">
        <v>58</v>
      </c>
      <c r="B36" s="831" t="s">
        <v>27</v>
      </c>
      <c r="C36" s="832"/>
      <c r="D36" s="192" t="s">
        <v>26</v>
      </c>
      <c r="E36" s="146">
        <v>10</v>
      </c>
      <c r="F36" s="249">
        <v>10</v>
      </c>
      <c r="G36" s="249">
        <v>10</v>
      </c>
      <c r="H36" s="201">
        <f t="shared" si="0"/>
        <v>100</v>
      </c>
      <c r="I36" s="250">
        <v>10</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B34:C34"/>
    <mergeCell ref="J34:X36"/>
    <mergeCell ref="B35:C35"/>
    <mergeCell ref="B36:C36"/>
    <mergeCell ref="B18:C18"/>
    <mergeCell ref="B19:C19"/>
    <mergeCell ref="B20:C20"/>
    <mergeCell ref="B22:C22"/>
    <mergeCell ref="B26:C26"/>
    <mergeCell ref="B29:C29"/>
    <mergeCell ref="B6:C6"/>
    <mergeCell ref="J4:J5"/>
    <mergeCell ref="K4:M4"/>
    <mergeCell ref="N4:N5"/>
    <mergeCell ref="B21:C21"/>
    <mergeCell ref="B7:C7"/>
    <mergeCell ref="B3:C5"/>
    <mergeCell ref="E3:I3"/>
    <mergeCell ref="B8:C8"/>
    <mergeCell ref="B10:C10"/>
    <mergeCell ref="B11:C11"/>
    <mergeCell ref="I4:I5"/>
    <mergeCell ref="B12:C12"/>
    <mergeCell ref="B13:C13"/>
    <mergeCell ref="B15:C15"/>
    <mergeCell ref="B16:C16"/>
    <mergeCell ref="A1:X1"/>
    <mergeCell ref="T4:T5"/>
    <mergeCell ref="U4:W4"/>
    <mergeCell ref="X4:X5"/>
    <mergeCell ref="T3:X3"/>
    <mergeCell ref="E4:E5"/>
    <mergeCell ref="A3:A5"/>
    <mergeCell ref="P4:R4"/>
    <mergeCell ref="J3:N3"/>
    <mergeCell ref="F4:H4"/>
    <mergeCell ref="O4:O5"/>
    <mergeCell ref="D3:D5"/>
    <mergeCell ref="S4:S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4"/>
  <sheetViews>
    <sheetView tabSelected="1" zoomScaleNormal="100" workbookViewId="0"/>
  </sheetViews>
  <sheetFormatPr defaultRowHeight="12.75" x14ac:dyDescent="0.2"/>
  <cols>
    <col min="1" max="1" width="74.75" style="61" customWidth="1"/>
    <col min="2" max="9" width="23.75" style="61" customWidth="1"/>
    <col min="12" max="12" width="17.75" bestFit="1" customWidth="1"/>
  </cols>
  <sheetData>
    <row r="1" spans="1:9" ht="18.75" x14ac:dyDescent="0.3">
      <c r="A1" s="60" t="s">
        <v>90</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654" t="s">
        <v>25</v>
      </c>
      <c r="D5" s="788" t="s">
        <v>176</v>
      </c>
      <c r="E5" s="788"/>
      <c r="F5" s="788"/>
      <c r="G5" s="788"/>
      <c r="H5" s="788"/>
      <c r="I5" s="788"/>
    </row>
    <row r="6" spans="1:9" s="87" customFormat="1" ht="11.25" x14ac:dyDescent="0.2">
      <c r="A6" s="792" t="s">
        <v>177</v>
      </c>
      <c r="B6" s="792"/>
      <c r="C6" s="283">
        <f>SUM(C7:C9)</f>
        <v>113038.28</v>
      </c>
      <c r="D6" s="793"/>
      <c r="E6" s="794"/>
      <c r="F6" s="794"/>
      <c r="G6" s="794"/>
      <c r="H6" s="794"/>
      <c r="I6" s="795"/>
    </row>
    <row r="7" spans="1:9" s="87" customFormat="1" ht="45" customHeight="1" x14ac:dyDescent="0.2">
      <c r="A7" s="796" t="s">
        <v>69</v>
      </c>
      <c r="B7" s="797"/>
      <c r="C7" s="284">
        <v>113038.28</v>
      </c>
      <c r="D7" s="798" t="s">
        <v>1250</v>
      </c>
      <c r="E7" s="798"/>
      <c r="F7" s="798"/>
      <c r="G7" s="798"/>
      <c r="H7" s="798"/>
      <c r="I7" s="798"/>
    </row>
    <row r="8" spans="1:9" s="88" customFormat="1" ht="11.25" x14ac:dyDescent="0.15">
      <c r="A8" s="757" t="s">
        <v>178</v>
      </c>
      <c r="B8" s="758"/>
      <c r="C8" s="285">
        <v>0</v>
      </c>
      <c r="D8" s="789"/>
      <c r="E8" s="789"/>
      <c r="F8" s="789"/>
      <c r="G8" s="789"/>
      <c r="H8" s="789"/>
      <c r="I8" s="789"/>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654" t="s">
        <v>68</v>
      </c>
      <c r="B13" s="654" t="s">
        <v>181</v>
      </c>
      <c r="C13" s="654" t="s">
        <v>25</v>
      </c>
      <c r="D13" s="286"/>
      <c r="E13" s="287"/>
      <c r="F13" s="287"/>
      <c r="G13" s="287"/>
      <c r="H13" s="287"/>
      <c r="I13" s="287"/>
    </row>
    <row r="14" spans="1:9" s="87" customFormat="1" ht="11.25" x14ac:dyDescent="0.2">
      <c r="A14" s="288" t="s">
        <v>182</v>
      </c>
      <c r="B14" s="289"/>
      <c r="C14" s="290">
        <v>29841</v>
      </c>
      <c r="D14" s="291"/>
      <c r="E14" s="292"/>
      <c r="F14" s="292"/>
      <c r="G14" s="292"/>
      <c r="H14" s="292"/>
      <c r="I14" s="292"/>
    </row>
    <row r="15" spans="1:9" s="87" customFormat="1" ht="11.25" x14ac:dyDescent="0.2">
      <c r="A15" s="762" t="s">
        <v>183</v>
      </c>
      <c r="B15" s="293" t="s">
        <v>70</v>
      </c>
      <c r="C15" s="294">
        <v>63197.279999999999</v>
      </c>
      <c r="D15" s="295"/>
      <c r="E15" s="296"/>
      <c r="F15" s="296"/>
      <c r="G15" s="296"/>
      <c r="H15" s="296"/>
      <c r="I15" s="296"/>
    </row>
    <row r="16" spans="1:9" s="87" customFormat="1" ht="11.25" x14ac:dyDescent="0.2">
      <c r="A16" s="763"/>
      <c r="B16" s="297" t="s">
        <v>71</v>
      </c>
      <c r="C16" s="298">
        <v>20000</v>
      </c>
      <c r="D16" s="299"/>
      <c r="E16" s="300"/>
      <c r="F16" s="300"/>
      <c r="G16" s="300"/>
      <c r="H16" s="300"/>
      <c r="I16" s="300"/>
    </row>
    <row r="17" spans="1:9" s="87" customFormat="1" ht="11.25" x14ac:dyDescent="0.2">
      <c r="A17" s="655" t="s">
        <v>177</v>
      </c>
      <c r="B17" s="302"/>
      <c r="C17" s="283">
        <f>SUM(C14:C16)</f>
        <v>113038.28</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652" t="s">
        <v>181</v>
      </c>
      <c r="B21" s="652" t="s">
        <v>185</v>
      </c>
      <c r="C21" s="307" t="s">
        <v>186</v>
      </c>
      <c r="D21" s="652" t="s">
        <v>187</v>
      </c>
      <c r="E21" s="652" t="s">
        <v>188</v>
      </c>
      <c r="F21" s="764" t="s">
        <v>189</v>
      </c>
      <c r="G21" s="764"/>
      <c r="H21" s="764"/>
      <c r="I21" s="764"/>
    </row>
    <row r="22" spans="1:9" s="87" customFormat="1" ht="11.25" x14ac:dyDescent="0.2">
      <c r="A22" s="310" t="s">
        <v>190</v>
      </c>
      <c r="B22" s="124">
        <v>72909.98</v>
      </c>
      <c r="C22" s="124">
        <v>120408.09</v>
      </c>
      <c r="D22" s="124">
        <v>66062</v>
      </c>
      <c r="E22" s="124">
        <f>B22+C22-D22</f>
        <v>127256.07</v>
      </c>
      <c r="F22" s="778" t="s">
        <v>1111</v>
      </c>
      <c r="G22" s="779"/>
      <c r="H22" s="779"/>
      <c r="I22" s="780"/>
    </row>
    <row r="23" spans="1:9" s="87" customFormat="1" ht="11.25" x14ac:dyDescent="0.2">
      <c r="A23" s="293" t="s">
        <v>191</v>
      </c>
      <c r="B23" s="125">
        <v>118891.2</v>
      </c>
      <c r="C23" s="125">
        <v>304271</v>
      </c>
      <c r="D23" s="125">
        <v>276300</v>
      </c>
      <c r="E23" s="125">
        <f t="shared" ref="E23:E25" si="0">B23+C23-D23</f>
        <v>146862.20000000001</v>
      </c>
      <c r="F23" s="781" t="s">
        <v>1120</v>
      </c>
      <c r="G23" s="782"/>
      <c r="H23" s="782"/>
      <c r="I23" s="783"/>
    </row>
    <row r="24" spans="1:9" s="87" customFormat="1" ht="11.25" x14ac:dyDescent="0.2">
      <c r="A24" s="293" t="s">
        <v>71</v>
      </c>
      <c r="B24" s="125">
        <v>75135</v>
      </c>
      <c r="C24" s="125">
        <v>25000</v>
      </c>
      <c r="D24" s="125">
        <v>0</v>
      </c>
      <c r="E24" s="125">
        <f t="shared" si="0"/>
        <v>100135</v>
      </c>
      <c r="F24" s="781" t="s">
        <v>1121</v>
      </c>
      <c r="G24" s="782"/>
      <c r="H24" s="782"/>
      <c r="I24" s="783"/>
    </row>
    <row r="25" spans="1:9" s="87" customFormat="1" ht="11.25" x14ac:dyDescent="0.2">
      <c r="A25" s="311" t="s">
        <v>193</v>
      </c>
      <c r="B25" s="126">
        <v>11003.04</v>
      </c>
      <c r="C25" s="126">
        <v>51544</v>
      </c>
      <c r="D25" s="126">
        <v>50525</v>
      </c>
      <c r="E25" s="126">
        <f t="shared" si="0"/>
        <v>12022.04</v>
      </c>
      <c r="F25" s="784" t="s">
        <v>1122</v>
      </c>
      <c r="G25" s="785"/>
      <c r="H25" s="785"/>
      <c r="I25" s="786"/>
    </row>
    <row r="26" spans="1:9" s="88" customFormat="1" ht="10.5" x14ac:dyDescent="0.15">
      <c r="A26" s="670" t="s">
        <v>34</v>
      </c>
      <c r="B26" s="283">
        <f>SUM(B22:B25)</f>
        <v>277939.21999999997</v>
      </c>
      <c r="C26" s="283">
        <f t="shared" ref="C26:E26" si="1">SUM(C22:C25)</f>
        <v>501223.08999999997</v>
      </c>
      <c r="D26" s="283">
        <f t="shared" si="1"/>
        <v>392887</v>
      </c>
      <c r="E26" s="283">
        <f t="shared" si="1"/>
        <v>386275.31</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654" t="s">
        <v>72</v>
      </c>
      <c r="B30" s="654" t="s">
        <v>25</v>
      </c>
      <c r="C30" s="653" t="s">
        <v>73</v>
      </c>
      <c r="D30" s="788" t="s">
        <v>196</v>
      </c>
      <c r="E30" s="788"/>
      <c r="F30" s="788"/>
      <c r="G30" s="788"/>
      <c r="H30" s="788"/>
      <c r="I30" s="788"/>
    </row>
    <row r="31" spans="1:9" s="87" customFormat="1" ht="34.5" customHeight="1" x14ac:dyDescent="0.2">
      <c r="A31" s="448" t="s">
        <v>1112</v>
      </c>
      <c r="B31" s="131">
        <v>21400</v>
      </c>
      <c r="C31" s="314"/>
      <c r="D31" s="778" t="s">
        <v>1123</v>
      </c>
      <c r="E31" s="779"/>
      <c r="F31" s="779"/>
      <c r="G31" s="779"/>
      <c r="H31" s="779"/>
      <c r="I31" s="780"/>
    </row>
    <row r="32" spans="1:9" s="88" customFormat="1" ht="11.25" x14ac:dyDescent="0.2">
      <c r="A32" s="315" t="s">
        <v>34</v>
      </c>
      <c r="B32" s="316">
        <f>SUM(B31:B31)</f>
        <v>21400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654" t="s">
        <v>72</v>
      </c>
      <c r="B36" s="654" t="s">
        <v>25</v>
      </c>
      <c r="C36" s="653" t="s">
        <v>73</v>
      </c>
      <c r="D36" s="788" t="s">
        <v>196</v>
      </c>
      <c r="E36" s="788"/>
      <c r="F36" s="788"/>
      <c r="G36" s="788"/>
      <c r="H36" s="788"/>
      <c r="I36" s="788"/>
    </row>
    <row r="37" spans="1:9" s="87" customFormat="1" ht="11.25" x14ac:dyDescent="0.2">
      <c r="A37" s="313"/>
      <c r="B37" s="131">
        <v>0</v>
      </c>
      <c r="C37" s="314"/>
      <c r="D37" s="778"/>
      <c r="E37" s="779"/>
      <c r="F37" s="779"/>
      <c r="G37" s="779"/>
      <c r="H37" s="779"/>
      <c r="I37" s="780"/>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654" t="s">
        <v>25</v>
      </c>
      <c r="B42" s="307" t="s">
        <v>100</v>
      </c>
      <c r="C42" s="765" t="s">
        <v>74</v>
      </c>
      <c r="D42" s="765"/>
      <c r="E42" s="765"/>
      <c r="F42" s="765"/>
      <c r="G42" s="765"/>
      <c r="H42" s="765"/>
      <c r="I42" s="765"/>
    </row>
    <row r="43" spans="1:9" s="87" customFormat="1" ht="11.25" x14ac:dyDescent="0.2">
      <c r="A43" s="124"/>
      <c r="B43" s="124">
        <v>0</v>
      </c>
      <c r="C43" s="847"/>
      <c r="D43" s="847"/>
      <c r="E43" s="847"/>
      <c r="F43" s="847"/>
      <c r="G43" s="847"/>
      <c r="H43" s="847"/>
      <c r="I43" s="847"/>
    </row>
    <row r="44" spans="1:9" s="88" customFormat="1" ht="10.5" x14ac:dyDescent="0.15">
      <c r="A44" s="283">
        <f>SUM(A43:A43)</f>
        <v>0</v>
      </c>
      <c r="B44" s="283">
        <f>SUM(B43:B43)</f>
        <v>0</v>
      </c>
      <c r="C44" s="767" t="s">
        <v>34</v>
      </c>
      <c r="D44" s="767"/>
      <c r="E44" s="767"/>
      <c r="F44" s="767"/>
      <c r="G44" s="767"/>
      <c r="H44" s="767"/>
      <c r="I44" s="767"/>
    </row>
    <row r="45" spans="1:9" s="87" customFormat="1" ht="11.25" x14ac:dyDescent="0.2">
      <c r="C45" s="89"/>
    </row>
    <row r="46" spans="1:9" s="87" customFormat="1" ht="11.25" x14ac:dyDescent="0.2">
      <c r="A46" s="742" t="s">
        <v>199</v>
      </c>
      <c r="B46" s="742"/>
      <c r="C46" s="742"/>
      <c r="D46" s="742"/>
      <c r="E46" s="742"/>
      <c r="F46" s="742"/>
      <c r="G46" s="742"/>
      <c r="H46" s="742"/>
      <c r="I46" s="742"/>
    </row>
    <row r="47" spans="1:9" s="87" customFormat="1" ht="11.25" x14ac:dyDescent="0.2">
      <c r="C47" s="89"/>
    </row>
    <row r="48" spans="1:9" s="151" customFormat="1" ht="31.5" x14ac:dyDescent="0.25">
      <c r="A48" s="743" t="s">
        <v>101</v>
      </c>
      <c r="B48" s="744"/>
      <c r="C48" s="652" t="s">
        <v>102</v>
      </c>
      <c r="D48" s="652" t="s">
        <v>103</v>
      </c>
      <c r="E48" s="652" t="s">
        <v>104</v>
      </c>
      <c r="F48" s="652" t="s">
        <v>105</v>
      </c>
      <c r="G48" s="652" t="s">
        <v>94</v>
      </c>
    </row>
    <row r="49" spans="1:7" s="87" customFormat="1" ht="11.25" x14ac:dyDescent="0.2">
      <c r="A49" s="752" t="s">
        <v>1136</v>
      </c>
      <c r="B49" s="752"/>
      <c r="C49" s="318" t="s">
        <v>114</v>
      </c>
      <c r="D49" s="591">
        <v>276300</v>
      </c>
      <c r="E49" s="591">
        <v>0</v>
      </c>
      <c r="F49" s="324">
        <v>42122</v>
      </c>
      <c r="G49" s="324">
        <v>42131</v>
      </c>
    </row>
    <row r="50" spans="1:7" s="87" customFormat="1" ht="11.25" x14ac:dyDescent="0.2">
      <c r="A50" s="737" t="s">
        <v>1124</v>
      </c>
      <c r="B50" s="737"/>
      <c r="C50" s="350" t="s">
        <v>108</v>
      </c>
      <c r="D50" s="351">
        <v>0</v>
      </c>
      <c r="E50" s="351">
        <v>276300</v>
      </c>
      <c r="F50" s="327">
        <v>42122</v>
      </c>
      <c r="G50" s="327">
        <v>42131</v>
      </c>
    </row>
    <row r="51" spans="1:7" s="87" customFormat="1" ht="11.25" x14ac:dyDescent="0.2">
      <c r="A51" s="737" t="s">
        <v>1137</v>
      </c>
      <c r="B51" s="737"/>
      <c r="C51" s="350" t="s">
        <v>117</v>
      </c>
      <c r="D51" s="351">
        <v>56000</v>
      </c>
      <c r="E51" s="351">
        <v>0</v>
      </c>
      <c r="F51" s="327">
        <v>42163</v>
      </c>
      <c r="G51" s="327">
        <v>42184</v>
      </c>
    </row>
    <row r="52" spans="1:7" s="87" customFormat="1" ht="11.25" x14ac:dyDescent="0.2">
      <c r="A52" s="737" t="s">
        <v>1125</v>
      </c>
      <c r="B52" s="737"/>
      <c r="C52" s="350" t="s">
        <v>113</v>
      </c>
      <c r="D52" s="351">
        <v>0</v>
      </c>
      <c r="E52" s="351">
        <v>56000</v>
      </c>
      <c r="F52" s="327">
        <v>42163</v>
      </c>
      <c r="G52" s="327">
        <v>42183</v>
      </c>
    </row>
    <row r="53" spans="1:7" s="87" customFormat="1" ht="11.25" x14ac:dyDescent="0.2">
      <c r="A53" s="737" t="s">
        <v>1138</v>
      </c>
      <c r="B53" s="737"/>
      <c r="C53" s="350" t="s">
        <v>114</v>
      </c>
      <c r="D53" s="351">
        <v>70000</v>
      </c>
      <c r="E53" s="351">
        <v>0</v>
      </c>
      <c r="F53" s="327">
        <v>42213</v>
      </c>
      <c r="G53" s="327">
        <v>42249</v>
      </c>
    </row>
    <row r="54" spans="1:7" s="87" customFormat="1" ht="11.25" x14ac:dyDescent="0.2">
      <c r="A54" s="737" t="s">
        <v>1113</v>
      </c>
      <c r="B54" s="737"/>
      <c r="C54" s="350" t="s">
        <v>113</v>
      </c>
      <c r="D54" s="351">
        <v>0</v>
      </c>
      <c r="E54" s="351">
        <v>70000</v>
      </c>
      <c r="F54" s="327">
        <v>42213</v>
      </c>
      <c r="G54" s="327">
        <v>42249</v>
      </c>
    </row>
    <row r="55" spans="1:7" s="87" customFormat="1" ht="11.25" x14ac:dyDescent="0.2">
      <c r="A55" s="737" t="s">
        <v>1139</v>
      </c>
      <c r="B55" s="737"/>
      <c r="C55" s="350" t="s">
        <v>114</v>
      </c>
      <c r="D55" s="351">
        <v>200000</v>
      </c>
      <c r="E55" s="351">
        <v>0</v>
      </c>
      <c r="F55" s="327">
        <v>42318</v>
      </c>
      <c r="G55" s="327">
        <v>42328</v>
      </c>
    </row>
    <row r="56" spans="1:7" s="87" customFormat="1" ht="11.25" x14ac:dyDescent="0.2">
      <c r="A56" s="737" t="s">
        <v>1126</v>
      </c>
      <c r="B56" s="737"/>
      <c r="C56" s="350" t="s">
        <v>233</v>
      </c>
      <c r="D56" s="351">
        <v>0</v>
      </c>
      <c r="E56" s="351">
        <v>200000</v>
      </c>
      <c r="F56" s="327">
        <v>42318</v>
      </c>
      <c r="G56" s="327">
        <v>42328</v>
      </c>
    </row>
    <row r="57" spans="1:7" s="87" customFormat="1" ht="11.25" x14ac:dyDescent="0.2">
      <c r="A57" s="737" t="s">
        <v>1140</v>
      </c>
      <c r="B57" s="737"/>
      <c r="C57" s="350" t="s">
        <v>117</v>
      </c>
      <c r="D57" s="351">
        <v>-49938</v>
      </c>
      <c r="E57" s="351">
        <v>0</v>
      </c>
      <c r="F57" s="327">
        <v>42360</v>
      </c>
      <c r="G57" s="327">
        <v>42361</v>
      </c>
    </row>
    <row r="58" spans="1:7" s="87" customFormat="1" ht="11.25" x14ac:dyDescent="0.2">
      <c r="A58" s="737" t="s">
        <v>1127</v>
      </c>
      <c r="B58" s="737"/>
      <c r="C58" s="350" t="s">
        <v>113</v>
      </c>
      <c r="D58" s="351">
        <v>0</v>
      </c>
      <c r="E58" s="351">
        <v>-49938</v>
      </c>
      <c r="F58" s="327">
        <v>42360</v>
      </c>
      <c r="G58" s="327">
        <v>42361</v>
      </c>
    </row>
    <row r="59" spans="1:7" s="87" customFormat="1" ht="11.25" x14ac:dyDescent="0.2">
      <c r="A59" s="737" t="s">
        <v>1128</v>
      </c>
      <c r="B59" s="737"/>
      <c r="C59" s="350" t="s">
        <v>117</v>
      </c>
      <c r="D59" s="351">
        <v>60000</v>
      </c>
      <c r="E59" s="351">
        <v>0</v>
      </c>
      <c r="F59" s="327">
        <v>42346</v>
      </c>
      <c r="G59" s="327">
        <v>42361</v>
      </c>
    </row>
    <row r="60" spans="1:7" s="87" customFormat="1" ht="11.25" x14ac:dyDescent="0.2">
      <c r="A60" s="737" t="s">
        <v>1129</v>
      </c>
      <c r="B60" s="737"/>
      <c r="C60" s="350" t="s">
        <v>113</v>
      </c>
      <c r="D60" s="351">
        <v>0</v>
      </c>
      <c r="E60" s="351">
        <v>60000</v>
      </c>
      <c r="F60" s="327">
        <v>42346</v>
      </c>
      <c r="G60" s="327">
        <v>42361</v>
      </c>
    </row>
    <row r="61" spans="1:7" s="87" customFormat="1" ht="11.25" x14ac:dyDescent="0.2">
      <c r="A61" s="737" t="s">
        <v>1130</v>
      </c>
      <c r="B61" s="737"/>
      <c r="C61" s="350" t="s">
        <v>483</v>
      </c>
      <c r="D61" s="351">
        <v>0</v>
      </c>
      <c r="E61" s="351">
        <v>-65000</v>
      </c>
      <c r="F61" s="327">
        <v>42354</v>
      </c>
      <c r="G61" s="327">
        <v>42354</v>
      </c>
    </row>
    <row r="62" spans="1:7" s="87" customFormat="1" ht="11.25" x14ac:dyDescent="0.2">
      <c r="A62" s="737" t="s">
        <v>1129</v>
      </c>
      <c r="B62" s="737"/>
      <c r="C62" s="350" t="s">
        <v>113</v>
      </c>
      <c r="D62" s="351">
        <v>0</v>
      </c>
      <c r="E62" s="351">
        <v>65000</v>
      </c>
      <c r="F62" s="327">
        <v>42354</v>
      </c>
      <c r="G62" s="327">
        <v>42354</v>
      </c>
    </row>
    <row r="63" spans="1:7" s="87" customFormat="1" ht="11.25" x14ac:dyDescent="0.2">
      <c r="A63" s="737" t="s">
        <v>1141</v>
      </c>
      <c r="B63" s="737"/>
      <c r="C63" s="350" t="s">
        <v>1114</v>
      </c>
      <c r="D63" s="351">
        <v>0</v>
      </c>
      <c r="E63" s="351">
        <v>-60000</v>
      </c>
      <c r="F63" s="327">
        <v>42354</v>
      </c>
      <c r="G63" s="327">
        <v>42354</v>
      </c>
    </row>
    <row r="64" spans="1:7" s="87" customFormat="1" ht="11.25" x14ac:dyDescent="0.2">
      <c r="A64" s="737" t="s">
        <v>1142</v>
      </c>
      <c r="B64" s="737"/>
      <c r="C64" s="350" t="s">
        <v>1115</v>
      </c>
      <c r="D64" s="351">
        <v>0</v>
      </c>
      <c r="E64" s="351">
        <v>42000</v>
      </c>
      <c r="F64" s="327">
        <v>42354</v>
      </c>
      <c r="G64" s="327">
        <v>42354</v>
      </c>
    </row>
    <row r="65" spans="1:9" s="87" customFormat="1" ht="11.25" x14ac:dyDescent="0.2">
      <c r="A65" s="737" t="s">
        <v>1131</v>
      </c>
      <c r="B65" s="737"/>
      <c r="C65" s="350" t="s">
        <v>1116</v>
      </c>
      <c r="D65" s="351">
        <v>0</v>
      </c>
      <c r="E65" s="351">
        <v>18000</v>
      </c>
      <c r="F65" s="327">
        <v>42354</v>
      </c>
      <c r="G65" s="327">
        <v>42354</v>
      </c>
    </row>
    <row r="66" spans="1:9" s="87" customFormat="1" ht="11.25" x14ac:dyDescent="0.2">
      <c r="A66" s="737" t="s">
        <v>1143</v>
      </c>
      <c r="B66" s="737"/>
      <c r="C66" s="350" t="s">
        <v>131</v>
      </c>
      <c r="D66" s="351">
        <v>0</v>
      </c>
      <c r="E66" s="351">
        <v>-1000</v>
      </c>
      <c r="F66" s="327">
        <v>42369</v>
      </c>
      <c r="G66" s="327">
        <v>42369</v>
      </c>
    </row>
    <row r="67" spans="1:9" s="87" customFormat="1" ht="11.25" x14ac:dyDescent="0.2">
      <c r="A67" s="737" t="s">
        <v>1144</v>
      </c>
      <c r="B67" s="737"/>
      <c r="C67" s="350" t="s">
        <v>1117</v>
      </c>
      <c r="D67" s="351">
        <v>0</v>
      </c>
      <c r="E67" s="351">
        <v>1000</v>
      </c>
      <c r="F67" s="327">
        <v>42369</v>
      </c>
      <c r="G67" s="327">
        <v>42369</v>
      </c>
    </row>
    <row r="68" spans="1:9" s="87" customFormat="1" ht="11.25" x14ac:dyDescent="0.2">
      <c r="A68" s="737" t="s">
        <v>1132</v>
      </c>
      <c r="B68" s="737"/>
      <c r="C68" s="350" t="s">
        <v>1118</v>
      </c>
      <c r="D68" s="351">
        <v>0</v>
      </c>
      <c r="E68" s="351">
        <v>-50</v>
      </c>
      <c r="F68" s="327">
        <v>42369</v>
      </c>
      <c r="G68" s="327">
        <v>42369</v>
      </c>
    </row>
    <row r="69" spans="1:9" s="87" customFormat="1" ht="11.25" x14ac:dyDescent="0.2">
      <c r="A69" s="737" t="s">
        <v>1133</v>
      </c>
      <c r="B69" s="737"/>
      <c r="C69" s="350" t="s">
        <v>1119</v>
      </c>
      <c r="D69" s="351">
        <v>0</v>
      </c>
      <c r="E69" s="351">
        <v>50</v>
      </c>
      <c r="F69" s="327">
        <v>42369</v>
      </c>
      <c r="G69" s="327">
        <v>42369</v>
      </c>
    </row>
    <row r="70" spans="1:9" s="87" customFormat="1" ht="11.25" x14ac:dyDescent="0.2">
      <c r="A70" s="737" t="s">
        <v>1134</v>
      </c>
      <c r="B70" s="737"/>
      <c r="C70" s="350" t="s">
        <v>636</v>
      </c>
      <c r="D70" s="351">
        <v>-500</v>
      </c>
      <c r="E70" s="351">
        <v>0</v>
      </c>
      <c r="F70" s="327">
        <v>42369</v>
      </c>
      <c r="G70" s="327">
        <v>42369</v>
      </c>
    </row>
    <row r="71" spans="1:9" s="87" customFormat="1" ht="11.25" x14ac:dyDescent="0.2">
      <c r="A71" s="756" t="s">
        <v>1135</v>
      </c>
      <c r="B71" s="756"/>
      <c r="C71" s="339" t="s">
        <v>623</v>
      </c>
      <c r="D71" s="340">
        <v>500</v>
      </c>
      <c r="E71" s="340">
        <v>0</v>
      </c>
      <c r="F71" s="330">
        <v>42369</v>
      </c>
      <c r="G71" s="330">
        <v>42369</v>
      </c>
    </row>
    <row r="72" spans="1:9" s="87" customFormat="1" ht="11.25" x14ac:dyDescent="0.2">
      <c r="A72" s="747" t="s">
        <v>111</v>
      </c>
      <c r="B72" s="748"/>
      <c r="C72" s="320"/>
      <c r="D72" s="90">
        <f>SUM(D49:D71)</f>
        <v>612362</v>
      </c>
      <c r="E72" s="90">
        <f>SUM(E49:E71)</f>
        <v>612362</v>
      </c>
      <c r="F72" s="753"/>
      <c r="G72" s="754"/>
    </row>
    <row r="73" spans="1:9" s="91" customFormat="1" ht="11.25" x14ac:dyDescent="0.2">
      <c r="A73" s="610"/>
      <c r="B73" s="610"/>
      <c r="C73" s="610"/>
      <c r="D73" s="610"/>
      <c r="E73" s="610"/>
      <c r="F73" s="610"/>
      <c r="G73" s="610"/>
      <c r="H73" s="610"/>
      <c r="I73" s="610"/>
    </row>
    <row r="74" spans="1:9" s="87" customFormat="1" ht="11.25" x14ac:dyDescent="0.2">
      <c r="A74" s="742" t="s">
        <v>211</v>
      </c>
      <c r="B74" s="742"/>
      <c r="C74" s="742"/>
      <c r="D74" s="742"/>
      <c r="E74" s="742"/>
      <c r="F74" s="742"/>
      <c r="G74" s="742"/>
      <c r="H74" s="742"/>
      <c r="I74" s="742"/>
    </row>
    <row r="75" spans="1:9" s="87" customFormat="1" ht="11.25" x14ac:dyDescent="0.2">
      <c r="C75" s="89"/>
    </row>
    <row r="76" spans="1:9" s="151" customFormat="1" ht="31.5" x14ac:dyDescent="0.25">
      <c r="A76" s="743" t="s">
        <v>101</v>
      </c>
      <c r="B76" s="744"/>
      <c r="C76" s="652" t="s">
        <v>102</v>
      </c>
      <c r="D76" s="652" t="s">
        <v>103</v>
      </c>
      <c r="E76" s="652" t="s">
        <v>104</v>
      </c>
      <c r="F76" s="652" t="s">
        <v>105</v>
      </c>
      <c r="G76" s="652" t="s">
        <v>94</v>
      </c>
    </row>
    <row r="77" spans="1:9" s="87" customFormat="1" ht="11.25" x14ac:dyDescent="0.2">
      <c r="A77" s="745"/>
      <c r="B77" s="746"/>
      <c r="C77" s="318"/>
      <c r="D77" s="319">
        <v>0</v>
      </c>
      <c r="E77" s="319">
        <v>0</v>
      </c>
      <c r="F77" s="321"/>
      <c r="G77" s="321"/>
    </row>
    <row r="78" spans="1:9" s="87" customFormat="1" ht="11.25" x14ac:dyDescent="0.2">
      <c r="A78" s="747" t="s">
        <v>111</v>
      </c>
      <c r="B78" s="748"/>
      <c r="C78" s="320"/>
      <c r="D78" s="90">
        <f>SUM(D77:D77)</f>
        <v>0</v>
      </c>
      <c r="E78" s="90">
        <f>SUM(E77:E77)</f>
        <v>0</v>
      </c>
      <c r="F78" s="749"/>
      <c r="G78" s="750"/>
    </row>
    <row r="79" spans="1:9" s="91" customFormat="1" ht="11.25" x14ac:dyDescent="0.2">
      <c r="A79" s="610"/>
      <c r="B79" s="610"/>
      <c r="C79" s="610"/>
      <c r="D79" s="610"/>
      <c r="E79" s="610"/>
      <c r="F79" s="610"/>
      <c r="G79" s="610"/>
      <c r="H79" s="610"/>
      <c r="I79" s="610"/>
    </row>
    <row r="80" spans="1:9" s="87" customFormat="1" ht="11.25" x14ac:dyDescent="0.2">
      <c r="A80" s="738" t="s">
        <v>212</v>
      </c>
      <c r="B80" s="738"/>
      <c r="C80" s="738"/>
      <c r="D80" s="738"/>
      <c r="E80" s="738"/>
      <c r="F80" s="738"/>
      <c r="G80" s="738"/>
      <c r="H80" s="738"/>
      <c r="I80" s="738"/>
    </row>
    <row r="81" spans="1:9" s="87" customFormat="1" ht="11.25" x14ac:dyDescent="0.2"/>
    <row r="82" spans="1:9" s="87" customFormat="1" ht="22.5" customHeight="1" x14ac:dyDescent="0.2">
      <c r="A82" s="739" t="s">
        <v>1145</v>
      </c>
      <c r="B82" s="740"/>
      <c r="C82" s="740"/>
      <c r="D82" s="740"/>
      <c r="E82" s="740"/>
      <c r="F82" s="740"/>
      <c r="G82" s="740"/>
      <c r="H82" s="740"/>
      <c r="I82" s="741"/>
    </row>
    <row r="83" spans="1:9" s="87" customFormat="1" ht="11.25" x14ac:dyDescent="0.2"/>
    <row r="84" spans="1:9" s="88" customFormat="1" ht="10.5" x14ac:dyDescent="0.15">
      <c r="A84" s="742" t="s">
        <v>213</v>
      </c>
      <c r="B84" s="742"/>
      <c r="C84" s="742"/>
      <c r="D84" s="742"/>
      <c r="E84" s="742"/>
      <c r="F84" s="742"/>
      <c r="G84" s="742"/>
      <c r="H84" s="742"/>
      <c r="I84" s="742"/>
    </row>
    <row r="85" spans="1:9" s="87" customFormat="1" ht="11.25" x14ac:dyDescent="0.2"/>
    <row r="86" spans="1:9" s="87" customFormat="1" ht="35.25" customHeight="1" x14ac:dyDescent="0.2">
      <c r="A86" s="739" t="s">
        <v>1251</v>
      </c>
      <c r="B86" s="740"/>
      <c r="C86" s="740"/>
      <c r="D86" s="740"/>
      <c r="E86" s="740"/>
      <c r="F86" s="740"/>
      <c r="G86" s="740"/>
      <c r="H86" s="740"/>
      <c r="I86" s="741"/>
    </row>
    <row r="87" spans="1:9" s="87" customFormat="1" ht="11.25" customHeight="1" x14ac:dyDescent="0.2">
      <c r="A87" s="739" t="s">
        <v>1146</v>
      </c>
      <c r="B87" s="740"/>
      <c r="C87" s="740"/>
      <c r="D87" s="740"/>
      <c r="E87" s="740"/>
      <c r="F87" s="740"/>
      <c r="G87" s="740"/>
      <c r="H87" s="740"/>
      <c r="I87" s="741"/>
    </row>
    <row r="88" spans="1:9" s="87" customFormat="1" ht="11.25" x14ac:dyDescent="0.2">
      <c r="A88" s="739" t="s">
        <v>1147</v>
      </c>
      <c r="B88" s="740"/>
      <c r="C88" s="740"/>
      <c r="D88" s="740"/>
      <c r="E88" s="740"/>
      <c r="F88" s="740"/>
      <c r="G88" s="740"/>
      <c r="H88" s="740"/>
      <c r="I88" s="741"/>
    </row>
    <row r="89" spans="1:9" s="28" customFormat="1" x14ac:dyDescent="0.2">
      <c r="A89" s="739" t="s">
        <v>1148</v>
      </c>
      <c r="B89" s="740"/>
      <c r="C89" s="740"/>
      <c r="D89" s="740"/>
      <c r="E89" s="740"/>
      <c r="F89" s="740"/>
      <c r="G89" s="740"/>
      <c r="H89" s="740"/>
      <c r="I89" s="741"/>
    </row>
    <row r="90" spans="1:9" s="28" customFormat="1" x14ac:dyDescent="0.2"/>
    <row r="91" spans="1:9" s="28" customFormat="1" x14ac:dyDescent="0.2"/>
    <row r="92" spans="1:9" s="28" customFormat="1" x14ac:dyDescent="0.2"/>
    <row r="93" spans="1:9" s="28" customFormat="1" x14ac:dyDescent="0.2"/>
    <row r="94" spans="1:9" s="28" customFormat="1" x14ac:dyDescent="0.2"/>
  </sheetData>
  <mergeCells count="71">
    <mergeCell ref="A11:I11"/>
    <mergeCell ref="A3:I3"/>
    <mergeCell ref="A5:B5"/>
    <mergeCell ref="D5:I5"/>
    <mergeCell ref="A6:B6"/>
    <mergeCell ref="D6:I6"/>
    <mergeCell ref="A7:B7"/>
    <mergeCell ref="D7:I7"/>
    <mergeCell ref="A8:B8"/>
    <mergeCell ref="D8:I8"/>
    <mergeCell ref="A9:B9"/>
    <mergeCell ref="D9:I9"/>
    <mergeCell ref="A50:B50"/>
    <mergeCell ref="A51:B51"/>
    <mergeCell ref="A15:A16"/>
    <mergeCell ref="F21:I21"/>
    <mergeCell ref="F22:I22"/>
    <mergeCell ref="F23:I23"/>
    <mergeCell ref="F24:I24"/>
    <mergeCell ref="F25:I25"/>
    <mergeCell ref="F26:I26"/>
    <mergeCell ref="A19:I19"/>
    <mergeCell ref="A28:I28"/>
    <mergeCell ref="D30:I30"/>
    <mergeCell ref="D31:I31"/>
    <mergeCell ref="C32:I32"/>
    <mergeCell ref="A34:I34"/>
    <mergeCell ref="A48:B48"/>
    <mergeCell ref="C43:I43"/>
    <mergeCell ref="C44:I44"/>
    <mergeCell ref="A46:I46"/>
    <mergeCell ref="A49:B49"/>
    <mergeCell ref="D36:I36"/>
    <mergeCell ref="D37:I37"/>
    <mergeCell ref="C38:I38"/>
    <mergeCell ref="A40:I40"/>
    <mergeCell ref="C42:I42"/>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72:B72"/>
    <mergeCell ref="F72:G72"/>
    <mergeCell ref="A80:I80"/>
    <mergeCell ref="A82:I82"/>
    <mergeCell ref="A67:B67"/>
    <mergeCell ref="A68:B68"/>
    <mergeCell ref="A69:B69"/>
    <mergeCell ref="A70:B70"/>
    <mergeCell ref="A71:B71"/>
    <mergeCell ref="A74:I74"/>
    <mergeCell ref="A76:B76"/>
    <mergeCell ref="A77:B77"/>
    <mergeCell ref="A78:B78"/>
    <mergeCell ref="F78:G78"/>
    <mergeCell ref="A84:I84"/>
    <mergeCell ref="A86:I86"/>
    <mergeCell ref="A87:I87"/>
    <mergeCell ref="A88:I88"/>
    <mergeCell ref="A89:I89"/>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311111111112" enableFormatConditionsCalculation="0">
    <tabColor rgb="FF92D050"/>
  </sheetPr>
  <dimension ref="A1:X68"/>
  <sheetViews>
    <sheetView tabSelected="1" zoomScaleNormal="100" workbookViewId="0"/>
  </sheetViews>
  <sheetFormatPr defaultColWidth="6.5" defaultRowHeight="8.25" x14ac:dyDescent="0.15"/>
  <cols>
    <col min="1" max="1" width="5.25" style="2" customWidth="1"/>
    <col min="2" max="2" width="6.5" customWidth="1"/>
    <col min="3" max="3" width="35.75" customWidth="1"/>
    <col min="4" max="4" width="8.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3" customFormat="1" ht="15.75" x14ac:dyDescent="0.25">
      <c r="A1" s="799" t="s">
        <v>90</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9966665</v>
      </c>
      <c r="F6" s="29">
        <f>SUM(F7:F9)</f>
        <v>10579027</v>
      </c>
      <c r="G6" s="29">
        <f>SUM(G7:G9)</f>
        <v>10618764</v>
      </c>
      <c r="H6" s="24">
        <f t="shared" ref="H6:H36" si="0">G6/F6*100</f>
        <v>100.37562055565223</v>
      </c>
      <c r="I6" s="29">
        <f>SUM(I7:I9)</f>
        <v>9988039</v>
      </c>
      <c r="J6" s="29">
        <f>SUM(J7:J9)</f>
        <v>8271000</v>
      </c>
      <c r="K6" s="29">
        <f t="shared" ref="K6:X6" si="1">SUM(K7:K9)</f>
        <v>8883362</v>
      </c>
      <c r="L6" s="29">
        <f t="shared" si="1"/>
        <v>8923099</v>
      </c>
      <c r="M6" s="24">
        <f t="shared" ref="M6:M33" si="2">L6/K6*100</f>
        <v>100.44731938200874</v>
      </c>
      <c r="N6" s="30">
        <f t="shared" si="1"/>
        <v>8255689</v>
      </c>
      <c r="O6" s="29">
        <f t="shared" si="1"/>
        <v>1695665</v>
      </c>
      <c r="P6" s="29">
        <f t="shared" si="1"/>
        <v>1695665</v>
      </c>
      <c r="Q6" s="29">
        <f t="shared" si="1"/>
        <v>1695665</v>
      </c>
      <c r="R6" s="24">
        <f t="shared" ref="R6:R33" si="3">Q6/P6*100</f>
        <v>100</v>
      </c>
      <c r="S6" s="29">
        <f t="shared" si="1"/>
        <v>1732350</v>
      </c>
      <c r="T6" s="29">
        <f t="shared" si="1"/>
        <v>0</v>
      </c>
      <c r="U6" s="29">
        <f t="shared" si="1"/>
        <v>0</v>
      </c>
      <c r="V6" s="29">
        <f t="shared" si="1"/>
        <v>0</v>
      </c>
      <c r="W6" s="24" t="e">
        <f t="shared" ref="W6:W33" si="4">V6/U6*100</f>
        <v>#DIV/0!</v>
      </c>
      <c r="X6" s="29">
        <f t="shared" si="1"/>
        <v>0</v>
      </c>
    </row>
    <row r="7" spans="1:24" s="6" customFormat="1" ht="9.9499999999999993" customHeight="1" x14ac:dyDescent="0.2">
      <c r="A7" s="169" t="s">
        <v>2</v>
      </c>
      <c r="B7" s="823" t="s">
        <v>44</v>
      </c>
      <c r="C7" s="824"/>
      <c r="D7" s="170" t="s">
        <v>25</v>
      </c>
      <c r="E7" s="32">
        <f t="shared" ref="E7:G10" si="5">SUM(J7,O7)</f>
        <v>591500</v>
      </c>
      <c r="F7" s="33">
        <f t="shared" si="5"/>
        <v>658062</v>
      </c>
      <c r="G7" s="33">
        <f t="shared" si="5"/>
        <v>697979</v>
      </c>
      <c r="H7" s="9">
        <f t="shared" si="0"/>
        <v>106.0658418203756</v>
      </c>
      <c r="I7" s="34">
        <f>SUM(N7,S7)</f>
        <v>740105</v>
      </c>
      <c r="J7" s="107">
        <v>591500</v>
      </c>
      <c r="K7" s="35">
        <v>658062</v>
      </c>
      <c r="L7" s="35">
        <v>697979</v>
      </c>
      <c r="M7" s="9">
        <f t="shared" si="2"/>
        <v>106.0658418203756</v>
      </c>
      <c r="N7" s="36">
        <v>740105</v>
      </c>
      <c r="O7" s="37"/>
      <c r="P7" s="35"/>
      <c r="Q7" s="35"/>
      <c r="R7" s="9" t="e">
        <f t="shared" si="3"/>
        <v>#DIV/0!</v>
      </c>
      <c r="S7" s="36"/>
      <c r="T7" s="37"/>
      <c r="U7" s="35"/>
      <c r="V7" s="35"/>
      <c r="W7" s="9" t="e">
        <f t="shared" si="4"/>
        <v>#DIV/0!</v>
      </c>
      <c r="X7" s="59"/>
    </row>
    <row r="8" spans="1:24" s="6" customFormat="1" ht="9.9499999999999993" customHeight="1" x14ac:dyDescent="0.2">
      <c r="A8" s="171" t="s">
        <v>3</v>
      </c>
      <c r="B8" s="825" t="s">
        <v>45</v>
      </c>
      <c r="C8" s="826"/>
      <c r="D8" s="172" t="s">
        <v>25</v>
      </c>
      <c r="E8" s="38">
        <f t="shared" si="5"/>
        <v>500</v>
      </c>
      <c r="F8" s="39">
        <f t="shared" si="5"/>
        <v>0</v>
      </c>
      <c r="G8" s="39">
        <f t="shared" si="5"/>
        <v>0</v>
      </c>
      <c r="H8" s="10" t="e">
        <f t="shared" si="0"/>
        <v>#DIV/0!</v>
      </c>
      <c r="I8" s="40">
        <f>SUM(N8,S8)</f>
        <v>72</v>
      </c>
      <c r="J8" s="196">
        <v>500</v>
      </c>
      <c r="K8" s="157"/>
      <c r="L8" s="157">
        <v>0</v>
      </c>
      <c r="M8" s="158" t="e">
        <f t="shared" si="2"/>
        <v>#DIV/0!</v>
      </c>
      <c r="N8" s="198">
        <v>72</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449" t="s">
        <v>59</v>
      </c>
      <c r="C9" s="450"/>
      <c r="D9" s="176" t="s">
        <v>25</v>
      </c>
      <c r="E9" s="42">
        <f t="shared" si="5"/>
        <v>9374665</v>
      </c>
      <c r="F9" s="43">
        <f t="shared" si="5"/>
        <v>9920965</v>
      </c>
      <c r="G9" s="43">
        <f t="shared" si="5"/>
        <v>9920785</v>
      </c>
      <c r="H9" s="26">
        <f t="shared" si="0"/>
        <v>99.998185660366715</v>
      </c>
      <c r="I9" s="44">
        <f>SUM(N9,S9)</f>
        <v>9247862</v>
      </c>
      <c r="J9" s="199">
        <v>7679000</v>
      </c>
      <c r="K9" s="203">
        <v>8225300</v>
      </c>
      <c r="L9" s="203">
        <v>8225120</v>
      </c>
      <c r="M9" s="201">
        <f t="shared" si="2"/>
        <v>99.99781162997094</v>
      </c>
      <c r="N9" s="202">
        <v>7515512</v>
      </c>
      <c r="O9" s="160">
        <v>1695665</v>
      </c>
      <c r="P9" s="203">
        <v>1695665</v>
      </c>
      <c r="Q9" s="203">
        <v>1695665</v>
      </c>
      <c r="R9" s="201">
        <f t="shared" si="3"/>
        <v>100</v>
      </c>
      <c r="S9" s="202">
        <v>1732350</v>
      </c>
      <c r="T9" s="160"/>
      <c r="U9" s="203"/>
      <c r="V9" s="203"/>
      <c r="W9" s="201" t="e">
        <f t="shared" si="4"/>
        <v>#DIV/0!</v>
      </c>
      <c r="X9" s="161"/>
    </row>
    <row r="10" spans="1:24" s="6" customFormat="1" ht="9.9499999999999993" customHeight="1" x14ac:dyDescent="0.2">
      <c r="A10" s="168" t="s">
        <v>5</v>
      </c>
      <c r="B10" s="822" t="s">
        <v>7</v>
      </c>
      <c r="C10" s="822"/>
      <c r="D10" s="177" t="s">
        <v>25</v>
      </c>
      <c r="E10" s="45">
        <f t="shared" si="5"/>
        <v>0</v>
      </c>
      <c r="F10" s="45">
        <f t="shared" si="5"/>
        <v>0</v>
      </c>
      <c r="G10" s="45">
        <f t="shared" si="5"/>
        <v>0</v>
      </c>
      <c r="H10" s="24" t="e">
        <f t="shared" si="0"/>
        <v>#DIV/0!</v>
      </c>
      <c r="I10" s="46">
        <f>SUM(N10,S10)</f>
        <v>59000</v>
      </c>
      <c r="J10" s="31"/>
      <c r="K10" s="45"/>
      <c r="L10" s="45"/>
      <c r="M10" s="24" t="e">
        <f t="shared" si="2"/>
        <v>#DIV/0!</v>
      </c>
      <c r="N10" s="46"/>
      <c r="O10" s="45"/>
      <c r="P10" s="45"/>
      <c r="Q10" s="45"/>
      <c r="R10" s="24" t="e">
        <f t="shared" si="3"/>
        <v>#DIV/0!</v>
      </c>
      <c r="S10" s="46">
        <v>59000</v>
      </c>
      <c r="T10" s="45"/>
      <c r="U10" s="45"/>
      <c r="V10" s="45"/>
      <c r="W10" s="24" t="e">
        <f t="shared" si="4"/>
        <v>#DIV/0!</v>
      </c>
      <c r="X10" s="45"/>
    </row>
    <row r="11" spans="1:24" s="6" customFormat="1" ht="9.9499999999999993" customHeight="1" x14ac:dyDescent="0.2">
      <c r="A11" s="168" t="s">
        <v>6</v>
      </c>
      <c r="B11" s="822" t="s">
        <v>9</v>
      </c>
      <c r="C11" s="822"/>
      <c r="D11" s="177" t="s">
        <v>25</v>
      </c>
      <c r="E11" s="29">
        <f>SUM(E12:E31)</f>
        <v>9966665</v>
      </c>
      <c r="F11" s="29">
        <f>SUM(F12:F31)</f>
        <v>10579027</v>
      </c>
      <c r="G11" s="29">
        <f>SUM(G12:G31)</f>
        <v>10505726</v>
      </c>
      <c r="H11" s="24">
        <f t="shared" si="0"/>
        <v>99.307110190757612</v>
      </c>
      <c r="I11" s="30">
        <f>SUM(I12:I31)</f>
        <v>9842631</v>
      </c>
      <c r="J11" s="29">
        <f>SUM(J12:J31)</f>
        <v>8271000</v>
      </c>
      <c r="K11" s="29">
        <f>SUM(K12:K31)</f>
        <v>8883362</v>
      </c>
      <c r="L11" s="29">
        <f>SUM(L12:L31)</f>
        <v>8810061</v>
      </c>
      <c r="M11" s="24">
        <f t="shared" si="2"/>
        <v>99.174850692789505</v>
      </c>
      <c r="N11" s="30">
        <f>SUM(N12:N31)</f>
        <v>8110281</v>
      </c>
      <c r="O11" s="29">
        <f>SUM(O12:O31)</f>
        <v>1695665</v>
      </c>
      <c r="P11" s="29">
        <f>SUM(P12:P31)</f>
        <v>1695665</v>
      </c>
      <c r="Q11" s="29">
        <f>SUM(Q12:Q31)</f>
        <v>1695665</v>
      </c>
      <c r="R11" s="24">
        <f t="shared" si="3"/>
        <v>100</v>
      </c>
      <c r="S11" s="30">
        <f>SUM(S12:S31)</f>
        <v>1732350</v>
      </c>
      <c r="T11" s="29">
        <f>SUM(T12:T31)</f>
        <v>0</v>
      </c>
      <c r="U11" s="29">
        <f>SUM(U12:U31)</f>
        <v>0</v>
      </c>
      <c r="V11" s="29">
        <f>SUM(V12:V31)</f>
        <v>0</v>
      </c>
      <c r="W11" s="24" t="e">
        <f t="shared" si="4"/>
        <v>#DIV/0!</v>
      </c>
      <c r="X11" s="29">
        <f>SUM(X12:X31)</f>
        <v>0</v>
      </c>
    </row>
    <row r="12" spans="1:24" s="6" customFormat="1" ht="9.9499999999999993" customHeight="1" x14ac:dyDescent="0.2">
      <c r="A12" s="178" t="s">
        <v>8</v>
      </c>
      <c r="B12" s="827" t="s">
        <v>28</v>
      </c>
      <c r="C12" s="828"/>
      <c r="D12" s="179" t="s">
        <v>25</v>
      </c>
      <c r="E12" s="32">
        <f t="shared" ref="E12:I29" si="6">SUM(J12,O12)</f>
        <v>1351365</v>
      </c>
      <c r="F12" s="33">
        <f t="shared" si="6"/>
        <v>1573165</v>
      </c>
      <c r="G12" s="33">
        <f t="shared" si="6"/>
        <v>1569445</v>
      </c>
      <c r="H12" s="9">
        <f t="shared" si="0"/>
        <v>99.76353402217822</v>
      </c>
      <c r="I12" s="34">
        <f t="shared" si="6"/>
        <v>1549010</v>
      </c>
      <c r="J12" s="108">
        <v>1112000</v>
      </c>
      <c r="K12" s="47">
        <v>1330000</v>
      </c>
      <c r="L12" s="47">
        <v>1324967</v>
      </c>
      <c r="M12" s="9">
        <f t="shared" si="2"/>
        <v>99.62157894736842</v>
      </c>
      <c r="N12" s="48">
        <v>1263247</v>
      </c>
      <c r="O12" s="49">
        <v>239365</v>
      </c>
      <c r="P12" s="47">
        <v>243165</v>
      </c>
      <c r="Q12" s="47">
        <v>244478</v>
      </c>
      <c r="R12" s="9">
        <f t="shared" si="3"/>
        <v>100.53996257685111</v>
      </c>
      <c r="S12" s="50">
        <v>285763</v>
      </c>
      <c r="T12" s="49"/>
      <c r="U12" s="47"/>
      <c r="V12" s="47"/>
      <c r="W12" s="9" t="e">
        <f t="shared" si="4"/>
        <v>#DIV/0!</v>
      </c>
      <c r="X12" s="51"/>
    </row>
    <row r="13" spans="1:24" s="6" customFormat="1" ht="9.9499999999999993" customHeight="1" x14ac:dyDescent="0.2">
      <c r="A13" s="180" t="s">
        <v>10</v>
      </c>
      <c r="B13" s="820" t="s">
        <v>29</v>
      </c>
      <c r="C13" s="821"/>
      <c r="D13" s="172" t="s">
        <v>25</v>
      </c>
      <c r="E13" s="38">
        <f t="shared" si="6"/>
        <v>565600</v>
      </c>
      <c r="F13" s="39">
        <f t="shared" si="6"/>
        <v>500900</v>
      </c>
      <c r="G13" s="39">
        <f t="shared" si="6"/>
        <v>498687</v>
      </c>
      <c r="H13" s="10">
        <f t="shared" si="0"/>
        <v>99.558195248552607</v>
      </c>
      <c r="I13" s="40">
        <f t="shared" si="6"/>
        <v>334440</v>
      </c>
      <c r="J13" s="208">
        <v>560000</v>
      </c>
      <c r="K13" s="157">
        <v>495000</v>
      </c>
      <c r="L13" s="157">
        <v>492851</v>
      </c>
      <c r="M13" s="158">
        <f t="shared" si="2"/>
        <v>99.565858585858592</v>
      </c>
      <c r="N13" s="198">
        <v>329140</v>
      </c>
      <c r="O13" s="156">
        <v>5600</v>
      </c>
      <c r="P13" s="157">
        <v>5900</v>
      </c>
      <c r="Q13" s="157">
        <v>5836</v>
      </c>
      <c r="R13" s="158">
        <f t="shared" si="3"/>
        <v>98.915254237288124</v>
      </c>
      <c r="S13" s="198">
        <v>5300</v>
      </c>
      <c r="T13" s="156"/>
      <c r="U13" s="157"/>
      <c r="V13" s="157"/>
      <c r="W13" s="158" t="e">
        <f t="shared" si="4"/>
        <v>#DIV/0!</v>
      </c>
      <c r="X13" s="159"/>
    </row>
    <row r="14" spans="1:24" s="6" customFormat="1" ht="9.9499999999999993" customHeight="1" x14ac:dyDescent="0.2">
      <c r="A14" s="180" t="s">
        <v>11</v>
      </c>
      <c r="B14" s="181" t="s">
        <v>60</v>
      </c>
      <c r="C14" s="182"/>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136000</v>
      </c>
      <c r="F15" s="39">
        <f t="shared" si="6"/>
        <v>178000</v>
      </c>
      <c r="G15" s="39">
        <f t="shared" si="6"/>
        <v>175630</v>
      </c>
      <c r="H15" s="10">
        <f t="shared" si="0"/>
        <v>98.668539325842701</v>
      </c>
      <c r="I15" s="40">
        <f t="shared" si="6"/>
        <v>126706</v>
      </c>
      <c r="J15" s="208">
        <v>136000</v>
      </c>
      <c r="K15" s="157">
        <v>178000</v>
      </c>
      <c r="L15" s="157">
        <v>175630</v>
      </c>
      <c r="M15" s="158">
        <f t="shared" si="2"/>
        <v>98.668539325842701</v>
      </c>
      <c r="N15" s="198">
        <v>126706</v>
      </c>
      <c r="O15" s="156"/>
      <c r="P15" s="157"/>
      <c r="Q15" s="157"/>
      <c r="R15" s="158" t="e">
        <f t="shared" si="3"/>
        <v>#DIV/0!</v>
      </c>
      <c r="S15" s="198"/>
      <c r="T15" s="156"/>
      <c r="U15" s="157"/>
      <c r="V15" s="157"/>
      <c r="W15" s="158" t="e">
        <f t="shared" si="4"/>
        <v>#DIV/0!</v>
      </c>
      <c r="X15" s="159"/>
    </row>
    <row r="16" spans="1:24" s="6" customFormat="1" ht="9.9499999999999993" customHeight="1" x14ac:dyDescent="0.2">
      <c r="A16" s="180" t="s">
        <v>13</v>
      </c>
      <c r="B16" s="820" t="s">
        <v>30</v>
      </c>
      <c r="C16" s="821"/>
      <c r="D16" s="172" t="s">
        <v>25</v>
      </c>
      <c r="E16" s="38">
        <f t="shared" si="6"/>
        <v>38500</v>
      </c>
      <c r="F16" s="39">
        <f t="shared" si="6"/>
        <v>32000</v>
      </c>
      <c r="G16" s="39">
        <f t="shared" si="6"/>
        <v>28040</v>
      </c>
      <c r="H16" s="10">
        <f t="shared" si="0"/>
        <v>87.625</v>
      </c>
      <c r="I16" s="40">
        <f t="shared" si="6"/>
        <v>37138</v>
      </c>
      <c r="J16" s="208">
        <v>20000</v>
      </c>
      <c r="K16" s="157">
        <v>19000</v>
      </c>
      <c r="L16" s="157">
        <v>15125</v>
      </c>
      <c r="M16" s="158">
        <f t="shared" si="2"/>
        <v>79.60526315789474</v>
      </c>
      <c r="N16" s="198">
        <v>18893</v>
      </c>
      <c r="O16" s="156">
        <v>18500</v>
      </c>
      <c r="P16" s="157">
        <v>13000</v>
      </c>
      <c r="Q16" s="157">
        <v>12915</v>
      </c>
      <c r="R16" s="158">
        <f t="shared" si="3"/>
        <v>99.346153846153854</v>
      </c>
      <c r="S16" s="198">
        <v>18245</v>
      </c>
      <c r="T16" s="156"/>
      <c r="U16" s="157"/>
      <c r="V16" s="157"/>
      <c r="W16" s="158" t="e">
        <f t="shared" si="4"/>
        <v>#DIV/0!</v>
      </c>
      <c r="X16" s="159"/>
    </row>
    <row r="17" spans="1:24" s="6" customFormat="1" ht="9.9499999999999993" customHeight="1" x14ac:dyDescent="0.2">
      <c r="A17" s="180" t="s">
        <v>14</v>
      </c>
      <c r="B17" s="181" t="s">
        <v>46</v>
      </c>
      <c r="C17" s="182"/>
      <c r="D17" s="172" t="s">
        <v>25</v>
      </c>
      <c r="E17" s="38">
        <f t="shared" si="6"/>
        <v>3000</v>
      </c>
      <c r="F17" s="39">
        <f t="shared" si="6"/>
        <v>3000</v>
      </c>
      <c r="G17" s="39">
        <f t="shared" si="6"/>
        <v>2871</v>
      </c>
      <c r="H17" s="10">
        <f t="shared" si="0"/>
        <v>95.7</v>
      </c>
      <c r="I17" s="40">
        <f t="shared" si="6"/>
        <v>6819</v>
      </c>
      <c r="J17" s="208">
        <v>3000</v>
      </c>
      <c r="K17" s="157">
        <v>3000</v>
      </c>
      <c r="L17" s="157">
        <v>2871</v>
      </c>
      <c r="M17" s="158">
        <f t="shared" si="2"/>
        <v>95.7</v>
      </c>
      <c r="N17" s="198">
        <v>6819</v>
      </c>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627500</v>
      </c>
      <c r="F18" s="39">
        <f t="shared" si="6"/>
        <v>568500</v>
      </c>
      <c r="G18" s="39">
        <f t="shared" si="6"/>
        <v>544363</v>
      </c>
      <c r="H18" s="10">
        <f t="shared" si="0"/>
        <v>95.754265611257694</v>
      </c>
      <c r="I18" s="40">
        <f t="shared" si="6"/>
        <v>559207</v>
      </c>
      <c r="J18" s="208">
        <v>613000</v>
      </c>
      <c r="K18" s="157">
        <v>553000</v>
      </c>
      <c r="L18" s="157">
        <v>528866</v>
      </c>
      <c r="M18" s="158">
        <f t="shared" si="2"/>
        <v>95.635804701627492</v>
      </c>
      <c r="N18" s="198">
        <v>540142</v>
      </c>
      <c r="O18" s="156">
        <v>14500</v>
      </c>
      <c r="P18" s="157">
        <v>15500</v>
      </c>
      <c r="Q18" s="157">
        <v>15497</v>
      </c>
      <c r="R18" s="158">
        <f t="shared" si="3"/>
        <v>99.980645161290326</v>
      </c>
      <c r="S18" s="198">
        <v>19065</v>
      </c>
      <c r="T18" s="156"/>
      <c r="U18" s="157"/>
      <c r="V18" s="157"/>
      <c r="W18" s="158" t="e">
        <f t="shared" si="4"/>
        <v>#DIV/0!</v>
      </c>
      <c r="X18" s="159"/>
    </row>
    <row r="19" spans="1:24" s="11" customFormat="1" ht="9.9499999999999993" customHeight="1" x14ac:dyDescent="0.2">
      <c r="A19" s="180" t="s">
        <v>16</v>
      </c>
      <c r="B19" s="820" t="s">
        <v>32</v>
      </c>
      <c r="C19" s="821"/>
      <c r="D19" s="172" t="s">
        <v>25</v>
      </c>
      <c r="E19" s="38">
        <f t="shared" si="6"/>
        <v>5215000</v>
      </c>
      <c r="F19" s="39">
        <f t="shared" si="6"/>
        <v>5215000</v>
      </c>
      <c r="G19" s="39">
        <f t="shared" si="6"/>
        <v>5213901</v>
      </c>
      <c r="H19" s="10">
        <f t="shared" si="0"/>
        <v>99.978926174496635</v>
      </c>
      <c r="I19" s="40">
        <f t="shared" si="6"/>
        <v>5081904</v>
      </c>
      <c r="J19" s="209">
        <v>4197000</v>
      </c>
      <c r="K19" s="157">
        <v>4197000</v>
      </c>
      <c r="L19" s="157">
        <v>4195951</v>
      </c>
      <c r="M19" s="158">
        <f t="shared" si="2"/>
        <v>99.975005956635684</v>
      </c>
      <c r="N19" s="198">
        <v>4093750</v>
      </c>
      <c r="O19" s="156">
        <v>1018000</v>
      </c>
      <c r="P19" s="157">
        <v>1018000</v>
      </c>
      <c r="Q19" s="157">
        <v>1017950</v>
      </c>
      <c r="R19" s="158">
        <f t="shared" si="3"/>
        <v>99.995088408644406</v>
      </c>
      <c r="S19" s="198">
        <v>988154</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6"/>
        <v>1774200</v>
      </c>
      <c r="F20" s="39">
        <f t="shared" si="6"/>
        <v>1774200</v>
      </c>
      <c r="G20" s="39">
        <f t="shared" si="6"/>
        <v>1755511</v>
      </c>
      <c r="H20" s="10">
        <f t="shared" si="0"/>
        <v>98.946623830458805</v>
      </c>
      <c r="I20" s="40">
        <f t="shared" si="6"/>
        <v>1731502</v>
      </c>
      <c r="J20" s="208">
        <v>1426000</v>
      </c>
      <c r="K20" s="157">
        <v>1426000</v>
      </c>
      <c r="L20" s="157">
        <v>1408430</v>
      </c>
      <c r="M20" s="158">
        <f t="shared" si="2"/>
        <v>98.767882187938298</v>
      </c>
      <c r="N20" s="198">
        <v>1392784</v>
      </c>
      <c r="O20" s="156">
        <v>348200</v>
      </c>
      <c r="P20" s="157">
        <v>348200</v>
      </c>
      <c r="Q20" s="157">
        <v>347081</v>
      </c>
      <c r="R20" s="158">
        <f t="shared" si="3"/>
        <v>99.678632969557725</v>
      </c>
      <c r="S20" s="198">
        <v>338718</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6"/>
        <v>159500</v>
      </c>
      <c r="F21" s="39">
        <f t="shared" si="6"/>
        <v>159900</v>
      </c>
      <c r="G21" s="39">
        <f t="shared" si="6"/>
        <v>151954</v>
      </c>
      <c r="H21" s="10">
        <f t="shared" si="0"/>
        <v>95.030644152595372</v>
      </c>
      <c r="I21" s="40">
        <f t="shared" si="6"/>
        <v>150739</v>
      </c>
      <c r="J21" s="208">
        <v>142000</v>
      </c>
      <c r="K21" s="157">
        <v>142000</v>
      </c>
      <c r="L21" s="157">
        <v>134046</v>
      </c>
      <c r="M21" s="158">
        <f t="shared" si="2"/>
        <v>94.398591549295773</v>
      </c>
      <c r="N21" s="198">
        <v>133634</v>
      </c>
      <c r="O21" s="156">
        <v>17500</v>
      </c>
      <c r="P21" s="157">
        <v>17900</v>
      </c>
      <c r="Q21" s="157">
        <v>17908</v>
      </c>
      <c r="R21" s="158">
        <f t="shared" si="3"/>
        <v>100.04469273743017</v>
      </c>
      <c r="S21" s="198">
        <v>17105</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6"/>
        <v>50</v>
      </c>
      <c r="F22" s="674">
        <f t="shared" si="6"/>
        <v>0</v>
      </c>
      <c r="G22" s="674">
        <f t="shared" si="6"/>
        <v>0</v>
      </c>
      <c r="H22" s="675" t="e">
        <f t="shared" si="0"/>
        <v>#DIV/0!</v>
      </c>
      <c r="I22" s="676">
        <f t="shared" si="6"/>
        <v>14</v>
      </c>
      <c r="J22" s="208">
        <v>50</v>
      </c>
      <c r="K22" s="157"/>
      <c r="L22" s="157"/>
      <c r="M22" s="158" t="e">
        <f t="shared" si="2"/>
        <v>#DIV/0!</v>
      </c>
      <c r="N22" s="198">
        <v>14</v>
      </c>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0</v>
      </c>
      <c r="J25" s="208"/>
      <c r="K25" s="213"/>
      <c r="L25" s="213"/>
      <c r="M25" s="158" t="e">
        <f t="shared" si="2"/>
        <v>#DIV/0!</v>
      </c>
      <c r="N25" s="214"/>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37000</v>
      </c>
      <c r="F26" s="674">
        <f t="shared" si="6"/>
        <v>313300</v>
      </c>
      <c r="G26" s="674">
        <f t="shared" si="6"/>
        <v>313091</v>
      </c>
      <c r="H26" s="675">
        <f t="shared" si="0"/>
        <v>99.933290775614424</v>
      </c>
      <c r="I26" s="676">
        <f t="shared" si="6"/>
        <v>50932</v>
      </c>
      <c r="J26" s="208">
        <v>37000</v>
      </c>
      <c r="K26" s="197">
        <v>313300</v>
      </c>
      <c r="L26" s="197">
        <v>313091</v>
      </c>
      <c r="M26" s="158">
        <f t="shared" si="2"/>
        <v>99.933290775614424</v>
      </c>
      <c r="N26" s="198">
        <v>50932</v>
      </c>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181" t="s">
        <v>64</v>
      </c>
      <c r="C27" s="182"/>
      <c r="D27" s="172" t="s">
        <v>25</v>
      </c>
      <c r="E27" s="38">
        <f t="shared" si="6"/>
        <v>4000</v>
      </c>
      <c r="F27" s="39">
        <f t="shared" si="6"/>
        <v>5000</v>
      </c>
      <c r="G27" s="39">
        <f t="shared" si="6"/>
        <v>4240</v>
      </c>
      <c r="H27" s="14">
        <f t="shared" si="0"/>
        <v>84.8</v>
      </c>
      <c r="I27" s="40">
        <f t="shared" si="6"/>
        <v>4900</v>
      </c>
      <c r="J27" s="208">
        <v>4000</v>
      </c>
      <c r="K27" s="197">
        <v>5000</v>
      </c>
      <c r="L27" s="197">
        <v>4240</v>
      </c>
      <c r="M27" s="158">
        <f t="shared" si="2"/>
        <v>84.8</v>
      </c>
      <c r="N27" s="214">
        <v>4900</v>
      </c>
      <c r="O27" s="218"/>
      <c r="P27" s="197"/>
      <c r="Q27" s="197"/>
      <c r="R27" s="158" t="e">
        <f t="shared" si="3"/>
        <v>#DIV/0!</v>
      </c>
      <c r="S27" s="214"/>
      <c r="T27" s="236"/>
      <c r="U27" s="220"/>
      <c r="V27" s="220"/>
      <c r="W27" s="158" t="e">
        <f t="shared" si="4"/>
        <v>#DIV/0!</v>
      </c>
      <c r="X27" s="237"/>
    </row>
    <row r="28" spans="1:24" s="13" customFormat="1" ht="9.9499999999999993" customHeight="1" x14ac:dyDescent="0.2">
      <c r="A28" s="180" t="s">
        <v>49</v>
      </c>
      <c r="B28" s="181" t="s">
        <v>92</v>
      </c>
      <c r="C28" s="182"/>
      <c r="D28" s="172" t="s">
        <v>25</v>
      </c>
      <c r="E28" s="38">
        <f>SUM(J28,O28)</f>
        <v>54000</v>
      </c>
      <c r="F28" s="39">
        <f>SUM(K28,P28)</f>
        <v>255062</v>
      </c>
      <c r="G28" s="39">
        <f>SUM(L28,Q28)</f>
        <v>247143</v>
      </c>
      <c r="H28" s="14">
        <f>G28/F28*100</f>
        <v>96.89526468074429</v>
      </c>
      <c r="I28" s="40">
        <f>SUM(N28,S28)</f>
        <v>208471</v>
      </c>
      <c r="J28" s="208">
        <v>20000</v>
      </c>
      <c r="K28" s="197">
        <v>221062</v>
      </c>
      <c r="L28" s="197">
        <v>213143</v>
      </c>
      <c r="M28" s="158">
        <f t="shared" si="2"/>
        <v>96.41774705738662</v>
      </c>
      <c r="N28" s="214">
        <v>148471</v>
      </c>
      <c r="O28" s="218">
        <v>34000</v>
      </c>
      <c r="P28" s="197">
        <v>34000</v>
      </c>
      <c r="Q28" s="197">
        <v>34000</v>
      </c>
      <c r="R28" s="158">
        <f t="shared" si="3"/>
        <v>100</v>
      </c>
      <c r="S28" s="214">
        <v>60000</v>
      </c>
      <c r="T28" s="236"/>
      <c r="U28" s="220"/>
      <c r="V28" s="220"/>
      <c r="W28" s="158" t="e">
        <f t="shared" si="4"/>
        <v>#DIV/0!</v>
      </c>
      <c r="X28" s="237"/>
    </row>
    <row r="29" spans="1:24" s="15" customFormat="1" ht="9.9499999999999993" customHeight="1" x14ac:dyDescent="0.2">
      <c r="A29" s="180" t="s">
        <v>50</v>
      </c>
      <c r="B29" s="820" t="s">
        <v>65</v>
      </c>
      <c r="C29" s="821"/>
      <c r="D29" s="172" t="s">
        <v>25</v>
      </c>
      <c r="E29" s="38">
        <f t="shared" si="6"/>
        <v>950</v>
      </c>
      <c r="F29" s="39">
        <f t="shared" si="6"/>
        <v>1000</v>
      </c>
      <c r="G29" s="39">
        <f t="shared" si="6"/>
        <v>850</v>
      </c>
      <c r="H29" s="14">
        <f t="shared" si="0"/>
        <v>85</v>
      </c>
      <c r="I29" s="40">
        <f t="shared" si="6"/>
        <v>849</v>
      </c>
      <c r="J29" s="208">
        <v>950</v>
      </c>
      <c r="K29" s="197">
        <v>1000</v>
      </c>
      <c r="L29" s="197">
        <v>850</v>
      </c>
      <c r="M29" s="158">
        <f t="shared" si="2"/>
        <v>85</v>
      </c>
      <c r="N29" s="214">
        <v>849</v>
      </c>
      <c r="O29" s="218"/>
      <c r="P29" s="197"/>
      <c r="Q29" s="197"/>
      <c r="R29" s="158" t="e">
        <f t="shared" si="3"/>
        <v>#DIV/0!</v>
      </c>
      <c r="S29" s="214"/>
      <c r="T29" s="236"/>
      <c r="U29" s="220"/>
      <c r="V29" s="220"/>
      <c r="W29" s="158" t="e">
        <f t="shared" si="4"/>
        <v>#DIV/0!</v>
      </c>
      <c r="X29" s="237"/>
    </row>
    <row r="30" spans="1:24" s="6" customFormat="1" ht="9.75" x14ac:dyDescent="0.2">
      <c r="A30" s="180" t="s">
        <v>52</v>
      </c>
      <c r="B30" s="181" t="s">
        <v>51</v>
      </c>
      <c r="C30" s="182"/>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656" t="s">
        <v>66</v>
      </c>
      <c r="C31" s="657"/>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113038</v>
      </c>
      <c r="H33" s="25" t="e">
        <f t="shared" si="0"/>
        <v>#DIV/0!</v>
      </c>
      <c r="I33" s="29">
        <f>I6-I11</f>
        <v>145408</v>
      </c>
      <c r="J33" s="29">
        <f t="shared" ref="J33:L33" si="8">J6-J11</f>
        <v>0</v>
      </c>
      <c r="K33" s="29">
        <f t="shared" si="8"/>
        <v>0</v>
      </c>
      <c r="L33" s="29">
        <f t="shared" si="8"/>
        <v>113038</v>
      </c>
      <c r="M33" s="19" t="e">
        <f t="shared" si="2"/>
        <v>#DIV/0!</v>
      </c>
      <c r="N33" s="29">
        <f t="shared" ref="N33:Q33" si="9">N6-N11</f>
        <v>145408</v>
      </c>
      <c r="O33" s="29">
        <f t="shared" si="9"/>
        <v>0</v>
      </c>
      <c r="P33" s="29">
        <f t="shared" si="9"/>
        <v>0</v>
      </c>
      <c r="Q33" s="29">
        <f t="shared" si="9"/>
        <v>0</v>
      </c>
      <c r="R33" s="19" t="e">
        <f t="shared" si="3"/>
        <v>#DIV/0!</v>
      </c>
      <c r="S33" s="29">
        <f t="shared" ref="S33:V33" si="10">S6-S11</f>
        <v>0</v>
      </c>
      <c r="T33" s="29">
        <f t="shared" si="10"/>
        <v>0</v>
      </c>
      <c r="U33" s="29">
        <f t="shared" si="10"/>
        <v>0</v>
      </c>
      <c r="V33" s="29">
        <f t="shared" si="10"/>
        <v>0</v>
      </c>
      <c r="W33" s="19" t="e">
        <f t="shared" si="4"/>
        <v>#DIV/0!</v>
      </c>
      <c r="X33" s="29">
        <f>X6-X11</f>
        <v>0</v>
      </c>
    </row>
    <row r="34" spans="1:24" s="4" customFormat="1" ht="9" x14ac:dyDescent="0.2">
      <c r="A34" s="187" t="s">
        <v>56</v>
      </c>
      <c r="B34" s="841" t="s">
        <v>24</v>
      </c>
      <c r="C34" s="842"/>
      <c r="D34" s="188" t="s">
        <v>25</v>
      </c>
      <c r="E34" s="142">
        <v>18991</v>
      </c>
      <c r="F34" s="143">
        <v>18991</v>
      </c>
      <c r="G34" s="143">
        <v>19009</v>
      </c>
      <c r="H34" s="12">
        <f t="shared" si="0"/>
        <v>100.09478173871832</v>
      </c>
      <c r="I34" s="247">
        <v>18649</v>
      </c>
      <c r="J34" s="833"/>
      <c r="K34" s="834"/>
      <c r="L34" s="834"/>
      <c r="M34" s="834"/>
      <c r="N34" s="834"/>
      <c r="O34" s="834"/>
      <c r="P34" s="834"/>
      <c r="Q34" s="834"/>
      <c r="R34" s="834"/>
      <c r="S34" s="834"/>
      <c r="T34" s="834"/>
      <c r="U34" s="834"/>
      <c r="V34" s="834"/>
      <c r="W34" s="834"/>
      <c r="X34" s="835"/>
    </row>
    <row r="35" spans="1:24" s="4" customFormat="1" ht="9" x14ac:dyDescent="0.2">
      <c r="A35" s="189" t="s">
        <v>57</v>
      </c>
      <c r="B35" s="829" t="s">
        <v>33</v>
      </c>
      <c r="C35" s="830"/>
      <c r="D35" s="190" t="s">
        <v>26</v>
      </c>
      <c r="E35" s="144">
        <v>18</v>
      </c>
      <c r="F35" s="145">
        <v>18</v>
      </c>
      <c r="G35" s="145">
        <v>18</v>
      </c>
      <c r="H35" s="232">
        <f t="shared" si="0"/>
        <v>100</v>
      </c>
      <c r="I35" s="248">
        <v>18</v>
      </c>
      <c r="J35" s="833"/>
      <c r="K35" s="834"/>
      <c r="L35" s="834"/>
      <c r="M35" s="834"/>
      <c r="N35" s="834"/>
      <c r="O35" s="834"/>
      <c r="P35" s="834"/>
      <c r="Q35" s="834"/>
      <c r="R35" s="834"/>
      <c r="S35" s="834"/>
      <c r="T35" s="834"/>
      <c r="U35" s="834"/>
      <c r="V35" s="834"/>
      <c r="W35" s="834"/>
      <c r="X35" s="835"/>
    </row>
    <row r="36" spans="1:24" s="4" customFormat="1" ht="9" x14ac:dyDescent="0.2">
      <c r="A36" s="191" t="s">
        <v>58</v>
      </c>
      <c r="B36" s="831" t="s">
        <v>27</v>
      </c>
      <c r="C36" s="832"/>
      <c r="D36" s="192" t="s">
        <v>26</v>
      </c>
      <c r="E36" s="146">
        <v>22</v>
      </c>
      <c r="F36" s="249">
        <v>22</v>
      </c>
      <c r="G36" s="249">
        <v>22</v>
      </c>
      <c r="H36" s="233">
        <f t="shared" si="0"/>
        <v>100</v>
      </c>
      <c r="I36" s="250">
        <v>22</v>
      </c>
      <c r="J36" s="836"/>
      <c r="K36" s="837"/>
      <c r="L36" s="837"/>
      <c r="M36" s="837"/>
      <c r="N36" s="837"/>
      <c r="O36" s="837"/>
      <c r="P36" s="837"/>
      <c r="Q36" s="837"/>
      <c r="R36" s="837"/>
      <c r="S36" s="837"/>
      <c r="T36" s="837"/>
      <c r="U36" s="837"/>
      <c r="V36" s="837"/>
      <c r="W36" s="837"/>
      <c r="X36" s="838"/>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B34:C34"/>
    <mergeCell ref="J34:X36"/>
    <mergeCell ref="B35:C35"/>
    <mergeCell ref="B36:C36"/>
    <mergeCell ref="B18:C18"/>
    <mergeCell ref="B19:C19"/>
    <mergeCell ref="B20:C20"/>
    <mergeCell ref="B22:C22"/>
    <mergeCell ref="B26:C26"/>
    <mergeCell ref="B29:C29"/>
    <mergeCell ref="B6:C6"/>
    <mergeCell ref="J4:J5"/>
    <mergeCell ref="K4:M4"/>
    <mergeCell ref="N4:N5"/>
    <mergeCell ref="B21:C21"/>
    <mergeCell ref="B7:C7"/>
    <mergeCell ref="B3:C5"/>
    <mergeCell ref="E3:I3"/>
    <mergeCell ref="B8:C8"/>
    <mergeCell ref="B10:C10"/>
    <mergeCell ref="B11:C11"/>
    <mergeCell ref="I4:I5"/>
    <mergeCell ref="B12:C12"/>
    <mergeCell ref="B13:C13"/>
    <mergeCell ref="B15:C15"/>
    <mergeCell ref="B16:C16"/>
    <mergeCell ref="A1:X1"/>
    <mergeCell ref="T4:T5"/>
    <mergeCell ref="U4:W4"/>
    <mergeCell ref="X4:X5"/>
    <mergeCell ref="T3:X3"/>
    <mergeCell ref="E4:E5"/>
    <mergeCell ref="A3:A5"/>
    <mergeCell ref="P4:R4"/>
    <mergeCell ref="J3:N3"/>
    <mergeCell ref="F4:H4"/>
    <mergeCell ref="O4:O5"/>
    <mergeCell ref="D3:D5"/>
    <mergeCell ref="S4:S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1" enableFormatConditionsCalculation="0">
    <tabColor rgb="FF92D050"/>
  </sheetPr>
  <dimension ref="A1:X68"/>
  <sheetViews>
    <sheetView tabSelected="1" zoomScaleNormal="100" workbookViewId="0"/>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799" t="s">
        <v>75</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11816458</v>
      </c>
      <c r="F6" s="29">
        <f>SUM(F7:F9)</f>
        <v>12203663</v>
      </c>
      <c r="G6" s="29">
        <f>SUM(G7:G9)</f>
        <v>12162738.609999999</v>
      </c>
      <c r="H6" s="24">
        <f t="shared" ref="H6:H36" si="0">G6/F6*100</f>
        <v>99.664654866329883</v>
      </c>
      <c r="I6" s="29">
        <f>SUM(I7:I9)</f>
        <v>11583785</v>
      </c>
      <c r="J6" s="29">
        <f>SUM(J7:J9)</f>
        <v>3033900</v>
      </c>
      <c r="K6" s="29">
        <f t="shared" ref="K6:X6" si="1">SUM(K7:K9)</f>
        <v>3421105</v>
      </c>
      <c r="L6" s="29">
        <f t="shared" si="1"/>
        <v>3380180.6100000003</v>
      </c>
      <c r="M6" s="24">
        <f t="shared" ref="M6:M33" si="2">L6/K6*100</f>
        <v>98.803766911568061</v>
      </c>
      <c r="N6" s="30">
        <f t="shared" si="1"/>
        <v>3147197</v>
      </c>
      <c r="O6" s="29">
        <f t="shared" si="1"/>
        <v>8782558</v>
      </c>
      <c r="P6" s="29">
        <f t="shared" si="1"/>
        <v>8782558</v>
      </c>
      <c r="Q6" s="29">
        <f t="shared" si="1"/>
        <v>8782558</v>
      </c>
      <c r="R6" s="24">
        <f t="shared" ref="R6:R33" si="3">Q6/P6*100</f>
        <v>100</v>
      </c>
      <c r="S6" s="29">
        <f t="shared" si="1"/>
        <v>8436588</v>
      </c>
      <c r="T6" s="29">
        <f t="shared" si="1"/>
        <v>0</v>
      </c>
      <c r="U6" s="29">
        <f t="shared" si="1"/>
        <v>0</v>
      </c>
      <c r="V6" s="29">
        <f t="shared" si="1"/>
        <v>0</v>
      </c>
      <c r="W6" s="24" t="e">
        <f t="shared" ref="W6:W33" si="4">V6/U6*100</f>
        <v>#DIV/0!</v>
      </c>
      <c r="X6" s="29">
        <f t="shared" si="1"/>
        <v>0</v>
      </c>
    </row>
    <row r="7" spans="1:24" s="6" customFormat="1" ht="9.9499999999999993" customHeight="1" x14ac:dyDescent="0.2">
      <c r="A7" s="169" t="s">
        <v>2</v>
      </c>
      <c r="B7" s="823" t="s">
        <v>44</v>
      </c>
      <c r="C7" s="824"/>
      <c r="D7" s="238" t="s">
        <v>25</v>
      </c>
      <c r="E7" s="32">
        <f t="shared" ref="E7:G10" si="5">SUM(J7,O7)</f>
        <v>1115000</v>
      </c>
      <c r="F7" s="33">
        <f t="shared" si="5"/>
        <v>1205205</v>
      </c>
      <c r="G7" s="33">
        <f t="shared" si="5"/>
        <v>1162311</v>
      </c>
      <c r="H7" s="9">
        <f t="shared" si="0"/>
        <v>96.440937433880549</v>
      </c>
      <c r="I7" s="34">
        <f>SUM(N7,S7)</f>
        <v>1033898</v>
      </c>
      <c r="J7" s="193">
        <v>1115000</v>
      </c>
      <c r="K7" s="35">
        <v>1205205</v>
      </c>
      <c r="L7" s="35">
        <v>1162311</v>
      </c>
      <c r="M7" s="9">
        <f t="shared" si="2"/>
        <v>96.440937433880549</v>
      </c>
      <c r="N7" s="36">
        <v>1033898</v>
      </c>
      <c r="O7" s="195">
        <v>0</v>
      </c>
      <c r="P7" s="35">
        <v>0</v>
      </c>
      <c r="Q7" s="35">
        <v>0</v>
      </c>
      <c r="R7" s="9" t="e">
        <f t="shared" si="3"/>
        <v>#DIV/0!</v>
      </c>
      <c r="S7" s="36">
        <v>0</v>
      </c>
      <c r="T7" s="195"/>
      <c r="U7" s="35"/>
      <c r="V7" s="35"/>
      <c r="W7" s="9" t="e">
        <f t="shared" si="4"/>
        <v>#DIV/0!</v>
      </c>
      <c r="X7" s="59"/>
    </row>
    <row r="8" spans="1:24" s="6" customFormat="1" ht="9.9499999999999993" customHeight="1" x14ac:dyDescent="0.2">
      <c r="A8" s="171" t="s">
        <v>3</v>
      </c>
      <c r="B8" s="825" t="s">
        <v>45</v>
      </c>
      <c r="C8" s="826"/>
      <c r="D8" s="172" t="s">
        <v>25</v>
      </c>
      <c r="E8" s="38">
        <f t="shared" si="5"/>
        <v>1000</v>
      </c>
      <c r="F8" s="39">
        <f t="shared" si="5"/>
        <v>1000</v>
      </c>
      <c r="G8" s="39">
        <f t="shared" si="5"/>
        <v>2969.61</v>
      </c>
      <c r="H8" s="10">
        <f t="shared" si="0"/>
        <v>296.96100000000001</v>
      </c>
      <c r="I8" s="40">
        <f>SUM(N8,S8)</f>
        <v>131399</v>
      </c>
      <c r="J8" s="196">
        <v>1000</v>
      </c>
      <c r="K8" s="157">
        <v>1000</v>
      </c>
      <c r="L8" s="157">
        <v>2969.61</v>
      </c>
      <c r="M8" s="158">
        <f t="shared" si="2"/>
        <v>296.96100000000001</v>
      </c>
      <c r="N8" s="198">
        <v>131399</v>
      </c>
      <c r="O8" s="156">
        <v>0</v>
      </c>
      <c r="P8" s="157">
        <v>0</v>
      </c>
      <c r="Q8" s="157">
        <v>0</v>
      </c>
      <c r="R8" s="158" t="e">
        <f t="shared" si="3"/>
        <v>#DIV/0!</v>
      </c>
      <c r="S8" s="198">
        <v>0</v>
      </c>
      <c r="T8" s="156"/>
      <c r="U8" s="157"/>
      <c r="V8" s="157"/>
      <c r="W8" s="158" t="e">
        <f t="shared" si="4"/>
        <v>#DIV/0!</v>
      </c>
      <c r="X8" s="159"/>
    </row>
    <row r="9" spans="1:24" s="6" customFormat="1" ht="9.9499999999999993" customHeight="1" x14ac:dyDescent="0.2">
      <c r="A9" s="173" t="s">
        <v>4</v>
      </c>
      <c r="B9" s="174" t="s">
        <v>59</v>
      </c>
      <c r="C9" s="175"/>
      <c r="D9" s="186" t="s">
        <v>25</v>
      </c>
      <c r="E9" s="42">
        <f t="shared" si="5"/>
        <v>10700458</v>
      </c>
      <c r="F9" s="43">
        <f t="shared" si="5"/>
        <v>10997458</v>
      </c>
      <c r="G9" s="43">
        <f t="shared" si="5"/>
        <v>10997458</v>
      </c>
      <c r="H9" s="26">
        <f t="shared" si="0"/>
        <v>100</v>
      </c>
      <c r="I9" s="44">
        <f>SUM(N9,S9)</f>
        <v>10418488</v>
      </c>
      <c r="J9" s="199">
        <v>1917900</v>
      </c>
      <c r="K9" s="203">
        <v>2214900</v>
      </c>
      <c r="L9" s="203">
        <v>2214900</v>
      </c>
      <c r="M9" s="201">
        <f t="shared" si="2"/>
        <v>100</v>
      </c>
      <c r="N9" s="202">
        <v>1981900</v>
      </c>
      <c r="O9" s="160">
        <v>8782558</v>
      </c>
      <c r="P9" s="203">
        <v>8782558</v>
      </c>
      <c r="Q9" s="203">
        <v>8782558</v>
      </c>
      <c r="R9" s="201">
        <f t="shared" si="3"/>
        <v>100</v>
      </c>
      <c r="S9" s="202">
        <v>8436588</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140000</v>
      </c>
      <c r="G10" s="45">
        <f t="shared" si="5"/>
        <v>140000</v>
      </c>
      <c r="H10" s="24">
        <f t="shared" si="0"/>
        <v>100</v>
      </c>
      <c r="I10" s="46">
        <f>SUM(N10,S10)</f>
        <v>0</v>
      </c>
      <c r="J10" s="31"/>
      <c r="K10" s="45">
        <v>140000</v>
      </c>
      <c r="L10" s="45">
        <v>140000</v>
      </c>
      <c r="M10" s="24">
        <f t="shared" si="2"/>
        <v>100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11816458</v>
      </c>
      <c r="F11" s="29">
        <f>SUM(F12:F31)</f>
        <v>12203663</v>
      </c>
      <c r="G11" s="29">
        <f>SUM(G12:G31)</f>
        <v>12003581</v>
      </c>
      <c r="H11" s="24">
        <f t="shared" si="0"/>
        <v>98.360475866958964</v>
      </c>
      <c r="I11" s="30">
        <f>SUM(I12:I31)</f>
        <v>11480080</v>
      </c>
      <c r="J11" s="29">
        <f>SUM(J12:J31)</f>
        <v>3033900</v>
      </c>
      <c r="K11" s="29">
        <f>SUM(K12:K31)</f>
        <v>3421105</v>
      </c>
      <c r="L11" s="29">
        <f>SUM(L12:L31)</f>
        <v>3221023</v>
      </c>
      <c r="M11" s="24">
        <f t="shared" si="2"/>
        <v>94.151538757214411</v>
      </c>
      <c r="N11" s="30">
        <f>SUM(N12:N31)</f>
        <v>3043492</v>
      </c>
      <c r="O11" s="29">
        <f>SUM(O12:O31)</f>
        <v>8782558</v>
      </c>
      <c r="P11" s="29">
        <f>SUM(P12:P31)</f>
        <v>8782558</v>
      </c>
      <c r="Q11" s="29">
        <f>SUM(Q12:Q31)</f>
        <v>8782558</v>
      </c>
      <c r="R11" s="24">
        <f t="shared" si="3"/>
        <v>100</v>
      </c>
      <c r="S11" s="30">
        <f>SUM(S12:S31)</f>
        <v>8436588</v>
      </c>
      <c r="T11" s="29">
        <f>SUM(T12:T31)</f>
        <v>0</v>
      </c>
      <c r="U11" s="29">
        <f>SUM(U12:U31)</f>
        <v>0</v>
      </c>
      <c r="V11" s="29">
        <f>SUM(V12:V31)</f>
        <v>0</v>
      </c>
      <c r="W11" s="24" t="e">
        <f t="shared" si="4"/>
        <v>#DIV/0!</v>
      </c>
      <c r="X11" s="29">
        <f>SUM(X12:X31)</f>
        <v>0</v>
      </c>
    </row>
    <row r="12" spans="1:24" s="6" customFormat="1" ht="9.9499999999999993" customHeight="1" x14ac:dyDescent="0.2">
      <c r="A12" s="178" t="s">
        <v>8</v>
      </c>
      <c r="B12" s="827" t="s">
        <v>28</v>
      </c>
      <c r="C12" s="828"/>
      <c r="D12" s="238" t="s">
        <v>25</v>
      </c>
      <c r="E12" s="32">
        <f t="shared" ref="E12:I29" si="6">SUM(J12,O12)</f>
        <v>757578</v>
      </c>
      <c r="F12" s="33">
        <f t="shared" si="6"/>
        <v>897783</v>
      </c>
      <c r="G12" s="33">
        <f t="shared" si="6"/>
        <v>753299</v>
      </c>
      <c r="H12" s="9">
        <f t="shared" si="0"/>
        <v>83.906578761237398</v>
      </c>
      <c r="I12" s="34">
        <f t="shared" si="6"/>
        <v>718008</v>
      </c>
      <c r="J12" s="204">
        <v>755670</v>
      </c>
      <c r="K12" s="47">
        <v>895875</v>
      </c>
      <c r="L12" s="47">
        <v>751391</v>
      </c>
      <c r="M12" s="9">
        <f t="shared" si="2"/>
        <v>83.872303613785405</v>
      </c>
      <c r="N12" s="48">
        <v>693792</v>
      </c>
      <c r="O12" s="206">
        <v>1908</v>
      </c>
      <c r="P12" s="47">
        <v>1908</v>
      </c>
      <c r="Q12" s="47">
        <v>1908</v>
      </c>
      <c r="R12" s="9">
        <f t="shared" si="3"/>
        <v>100</v>
      </c>
      <c r="S12" s="50">
        <v>24216</v>
      </c>
      <c r="T12" s="206"/>
      <c r="U12" s="47"/>
      <c r="V12" s="47"/>
      <c r="W12" s="9" t="e">
        <f t="shared" si="4"/>
        <v>#DIV/0!</v>
      </c>
      <c r="X12" s="51"/>
    </row>
    <row r="13" spans="1:24" s="6" customFormat="1" ht="9.9499999999999993" customHeight="1" x14ac:dyDescent="0.2">
      <c r="A13" s="180" t="s">
        <v>10</v>
      </c>
      <c r="B13" s="820" t="s">
        <v>29</v>
      </c>
      <c r="C13" s="821"/>
      <c r="D13" s="172" t="s">
        <v>25</v>
      </c>
      <c r="E13" s="38">
        <f t="shared" si="6"/>
        <v>1160000</v>
      </c>
      <c r="F13" s="39">
        <f t="shared" si="6"/>
        <v>970000</v>
      </c>
      <c r="G13" s="39">
        <f t="shared" si="6"/>
        <v>952457</v>
      </c>
      <c r="H13" s="10">
        <f t="shared" si="0"/>
        <v>98.191443298969077</v>
      </c>
      <c r="I13" s="40">
        <f t="shared" si="6"/>
        <v>1068675</v>
      </c>
      <c r="J13" s="208">
        <v>1160000</v>
      </c>
      <c r="K13" s="157">
        <v>970000</v>
      </c>
      <c r="L13" s="157">
        <v>952457</v>
      </c>
      <c r="M13" s="158">
        <f t="shared" si="2"/>
        <v>98.191443298969077</v>
      </c>
      <c r="N13" s="198">
        <v>1068675</v>
      </c>
      <c r="O13" s="156"/>
      <c r="P13" s="157"/>
      <c r="Q13" s="157"/>
      <c r="R13" s="158" t="e">
        <f t="shared" si="3"/>
        <v>#DIV/0!</v>
      </c>
      <c r="S13" s="198"/>
      <c r="T13" s="156"/>
      <c r="U13" s="157"/>
      <c r="V13" s="157"/>
      <c r="W13" s="158" t="e">
        <f t="shared" si="4"/>
        <v>#DIV/0!</v>
      </c>
      <c r="X13" s="159"/>
    </row>
    <row r="14" spans="1:24" s="6" customFormat="1" ht="9.9499999999999993" customHeight="1" x14ac:dyDescent="0.2">
      <c r="A14" s="180" t="s">
        <v>11</v>
      </c>
      <c r="B14" s="251" t="s">
        <v>60</v>
      </c>
      <c r="C14" s="252"/>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395000</v>
      </c>
      <c r="F15" s="39">
        <f t="shared" si="6"/>
        <v>415000</v>
      </c>
      <c r="G15" s="39">
        <f t="shared" si="6"/>
        <v>403594</v>
      </c>
      <c r="H15" s="10">
        <f t="shared" si="0"/>
        <v>97.251566265060234</v>
      </c>
      <c r="I15" s="40">
        <f t="shared" si="6"/>
        <v>498873</v>
      </c>
      <c r="J15" s="208">
        <v>395000</v>
      </c>
      <c r="K15" s="157">
        <v>415000</v>
      </c>
      <c r="L15" s="157">
        <v>403594</v>
      </c>
      <c r="M15" s="158">
        <f t="shared" si="2"/>
        <v>97.251566265060234</v>
      </c>
      <c r="N15" s="198">
        <v>498873</v>
      </c>
      <c r="O15" s="156"/>
      <c r="P15" s="157"/>
      <c r="Q15" s="157"/>
      <c r="R15" s="158" t="e">
        <f t="shared" si="3"/>
        <v>#DIV/0!</v>
      </c>
      <c r="S15" s="198"/>
      <c r="T15" s="156"/>
      <c r="U15" s="157"/>
      <c r="V15" s="157"/>
      <c r="W15" s="158" t="e">
        <f t="shared" si="4"/>
        <v>#DIV/0!</v>
      </c>
      <c r="X15" s="159"/>
    </row>
    <row r="16" spans="1:24" s="6" customFormat="1" ht="9.9499999999999993" customHeight="1" x14ac:dyDescent="0.2">
      <c r="A16" s="180" t="s">
        <v>13</v>
      </c>
      <c r="B16" s="820" t="s">
        <v>30</v>
      </c>
      <c r="C16" s="821"/>
      <c r="D16" s="172" t="s">
        <v>25</v>
      </c>
      <c r="E16" s="38">
        <f t="shared" si="6"/>
        <v>1000</v>
      </c>
      <c r="F16" s="39">
        <f t="shared" si="6"/>
        <v>1000</v>
      </c>
      <c r="G16" s="39">
        <f t="shared" si="6"/>
        <v>918</v>
      </c>
      <c r="H16" s="10">
        <f t="shared" si="0"/>
        <v>91.8</v>
      </c>
      <c r="I16" s="40">
        <f t="shared" si="6"/>
        <v>853</v>
      </c>
      <c r="J16" s="208">
        <v>1000</v>
      </c>
      <c r="K16" s="157">
        <v>1000</v>
      </c>
      <c r="L16" s="157">
        <v>918</v>
      </c>
      <c r="M16" s="158">
        <f t="shared" si="2"/>
        <v>91.8</v>
      </c>
      <c r="N16" s="198">
        <v>853</v>
      </c>
      <c r="O16" s="156"/>
      <c r="P16" s="157"/>
      <c r="Q16" s="157"/>
      <c r="R16" s="158" t="e">
        <f t="shared" si="3"/>
        <v>#DIV/0!</v>
      </c>
      <c r="S16" s="198"/>
      <c r="T16" s="156"/>
      <c r="U16" s="157"/>
      <c r="V16" s="157"/>
      <c r="W16" s="158" t="e">
        <f t="shared" si="4"/>
        <v>#DIV/0!</v>
      </c>
      <c r="X16" s="159"/>
    </row>
    <row r="17" spans="1:24" s="6" customFormat="1" ht="9.9499999999999993" customHeight="1" x14ac:dyDescent="0.2">
      <c r="A17" s="180" t="s">
        <v>14</v>
      </c>
      <c r="B17" s="251" t="s">
        <v>46</v>
      </c>
      <c r="C17" s="252"/>
      <c r="D17" s="172" t="s">
        <v>25</v>
      </c>
      <c r="E17" s="38">
        <f t="shared" si="6"/>
        <v>2000</v>
      </c>
      <c r="F17" s="39">
        <f t="shared" si="6"/>
        <v>2000</v>
      </c>
      <c r="G17" s="39">
        <f t="shared" si="6"/>
        <v>571</v>
      </c>
      <c r="H17" s="10">
        <f t="shared" si="0"/>
        <v>28.549999999999997</v>
      </c>
      <c r="I17" s="40">
        <f t="shared" si="6"/>
        <v>780</v>
      </c>
      <c r="J17" s="208">
        <v>2000</v>
      </c>
      <c r="K17" s="157">
        <v>2000</v>
      </c>
      <c r="L17" s="157">
        <v>571</v>
      </c>
      <c r="M17" s="158">
        <f t="shared" si="2"/>
        <v>28.549999999999997</v>
      </c>
      <c r="N17" s="198"/>
      <c r="O17" s="156"/>
      <c r="P17" s="157"/>
      <c r="Q17" s="157"/>
      <c r="R17" s="158" t="e">
        <f t="shared" si="3"/>
        <v>#DIV/0!</v>
      </c>
      <c r="S17" s="198">
        <v>780</v>
      </c>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350000</v>
      </c>
      <c r="F18" s="39">
        <f t="shared" si="6"/>
        <v>363705</v>
      </c>
      <c r="G18" s="39">
        <f t="shared" si="6"/>
        <v>344589</v>
      </c>
      <c r="H18" s="10">
        <f t="shared" si="0"/>
        <v>94.744092052625064</v>
      </c>
      <c r="I18" s="40">
        <f t="shared" si="6"/>
        <v>383761</v>
      </c>
      <c r="J18" s="208">
        <v>350000</v>
      </c>
      <c r="K18" s="157">
        <v>363705</v>
      </c>
      <c r="L18" s="157">
        <v>344589</v>
      </c>
      <c r="M18" s="158">
        <f t="shared" si="2"/>
        <v>94.744092052625064</v>
      </c>
      <c r="N18" s="198">
        <v>383761</v>
      </c>
      <c r="O18" s="156"/>
      <c r="P18" s="157"/>
      <c r="Q18" s="157"/>
      <c r="R18" s="158" t="e">
        <f t="shared" si="3"/>
        <v>#DIV/0!</v>
      </c>
      <c r="S18" s="198"/>
      <c r="T18" s="156"/>
      <c r="U18" s="157"/>
      <c r="V18" s="157"/>
      <c r="W18" s="158" t="e">
        <f t="shared" si="4"/>
        <v>#DIV/0!</v>
      </c>
      <c r="X18" s="159"/>
    </row>
    <row r="19" spans="1:24" s="11" customFormat="1" ht="9.9499999999999993" customHeight="1" x14ac:dyDescent="0.2">
      <c r="A19" s="180" t="s">
        <v>16</v>
      </c>
      <c r="B19" s="820" t="s">
        <v>32</v>
      </c>
      <c r="C19" s="821"/>
      <c r="D19" s="172" t="s">
        <v>25</v>
      </c>
      <c r="E19" s="38">
        <f t="shared" si="6"/>
        <v>6477176</v>
      </c>
      <c r="F19" s="39">
        <f t="shared" si="6"/>
        <v>6477176</v>
      </c>
      <c r="G19" s="39">
        <f t="shared" si="6"/>
        <v>6477176</v>
      </c>
      <c r="H19" s="10">
        <f t="shared" si="0"/>
        <v>100</v>
      </c>
      <c r="I19" s="40">
        <f t="shared" si="6"/>
        <v>6228534</v>
      </c>
      <c r="J19" s="209"/>
      <c r="K19" s="157"/>
      <c r="L19" s="157"/>
      <c r="M19" s="158" t="e">
        <f t="shared" si="2"/>
        <v>#DIV/0!</v>
      </c>
      <c r="N19" s="198">
        <v>30000</v>
      </c>
      <c r="O19" s="156">
        <v>6477176</v>
      </c>
      <c r="P19" s="157">
        <v>6477176</v>
      </c>
      <c r="Q19" s="157">
        <v>6477176</v>
      </c>
      <c r="R19" s="158">
        <f t="shared" si="3"/>
        <v>100</v>
      </c>
      <c r="S19" s="198">
        <v>6198534</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6"/>
        <v>2220464</v>
      </c>
      <c r="F20" s="39">
        <f t="shared" si="6"/>
        <v>2220464</v>
      </c>
      <c r="G20" s="39">
        <f t="shared" si="6"/>
        <v>2220464</v>
      </c>
      <c r="H20" s="10">
        <f t="shared" si="0"/>
        <v>100</v>
      </c>
      <c r="I20" s="40">
        <f t="shared" si="6"/>
        <v>2145356</v>
      </c>
      <c r="J20" s="208"/>
      <c r="K20" s="157"/>
      <c r="L20" s="157"/>
      <c r="M20" s="158" t="e">
        <f t="shared" si="2"/>
        <v>#DIV/0!</v>
      </c>
      <c r="N20" s="198">
        <v>10213</v>
      </c>
      <c r="O20" s="156">
        <v>2220464</v>
      </c>
      <c r="P20" s="157">
        <v>2220464</v>
      </c>
      <c r="Q20" s="157">
        <v>2220464</v>
      </c>
      <c r="R20" s="158">
        <f t="shared" si="3"/>
        <v>100</v>
      </c>
      <c r="S20" s="198">
        <v>2135143</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6"/>
        <v>83010</v>
      </c>
      <c r="F21" s="39">
        <f t="shared" si="6"/>
        <v>83010</v>
      </c>
      <c r="G21" s="39">
        <f t="shared" si="6"/>
        <v>83010</v>
      </c>
      <c r="H21" s="10">
        <f t="shared" si="0"/>
        <v>100</v>
      </c>
      <c r="I21" s="40">
        <f t="shared" si="6"/>
        <v>91023</v>
      </c>
      <c r="J21" s="208"/>
      <c r="K21" s="157"/>
      <c r="L21" s="157"/>
      <c r="M21" s="158" t="e">
        <f t="shared" si="2"/>
        <v>#DIV/0!</v>
      </c>
      <c r="N21" s="198">
        <v>15074</v>
      </c>
      <c r="O21" s="156">
        <v>83010</v>
      </c>
      <c r="P21" s="157">
        <v>83010</v>
      </c>
      <c r="Q21" s="157">
        <v>83010</v>
      </c>
      <c r="R21" s="158">
        <f t="shared" si="3"/>
        <v>100</v>
      </c>
      <c r="S21" s="198">
        <v>75949</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0</v>
      </c>
      <c r="J23" s="208"/>
      <c r="K23" s="157"/>
      <c r="L23" s="157"/>
      <c r="M23" s="158" t="e">
        <f t="shared" si="2"/>
        <v>#DIV/0!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662</v>
      </c>
      <c r="J25" s="208"/>
      <c r="K25" s="213"/>
      <c r="L25" s="213"/>
      <c r="M25" s="158" t="e">
        <f t="shared" si="2"/>
        <v>#DIV/0!</v>
      </c>
      <c r="N25" s="214">
        <v>662</v>
      </c>
      <c r="O25" s="215"/>
      <c r="P25" s="213"/>
      <c r="Q25" s="213"/>
      <c r="R25" s="158" t="e">
        <f t="shared" si="3"/>
        <v>#DIV/0!</v>
      </c>
      <c r="S25" s="216"/>
      <c r="T25" s="215"/>
      <c r="U25" s="213"/>
      <c r="V25" s="213"/>
      <c r="W25" s="158" t="e">
        <f t="shared" si="4"/>
        <v>#DIV/0!</v>
      </c>
      <c r="X25" s="217"/>
    </row>
    <row r="26" spans="1:24" s="6" customFormat="1" ht="9.9499999999999993" customHeight="1" x14ac:dyDescent="0.2">
      <c r="A26" s="671" t="s">
        <v>23</v>
      </c>
      <c r="B26" s="839" t="s">
        <v>63</v>
      </c>
      <c r="C26" s="840"/>
      <c r="D26" s="672" t="s">
        <v>25</v>
      </c>
      <c r="E26" s="673">
        <f t="shared" si="6"/>
        <v>49000</v>
      </c>
      <c r="F26" s="674">
        <f t="shared" si="6"/>
        <v>346000</v>
      </c>
      <c r="G26" s="674">
        <f t="shared" si="6"/>
        <v>344659</v>
      </c>
      <c r="H26" s="675">
        <f t="shared" si="0"/>
        <v>99.612427745664746</v>
      </c>
      <c r="I26" s="676">
        <f t="shared" si="6"/>
        <v>40168</v>
      </c>
      <c r="J26" s="208">
        <v>49000</v>
      </c>
      <c r="K26" s="197">
        <v>346000</v>
      </c>
      <c r="L26" s="197">
        <v>344659</v>
      </c>
      <c r="M26" s="158">
        <f t="shared" si="2"/>
        <v>99.612427745664746</v>
      </c>
      <c r="N26" s="198">
        <v>40168</v>
      </c>
      <c r="O26" s="218"/>
      <c r="P26" s="197"/>
      <c r="Q26" s="197"/>
      <c r="R26" s="158" t="e">
        <f t="shared" si="3"/>
        <v>#DIV/0!</v>
      </c>
      <c r="S26" s="214"/>
      <c r="T26" s="236"/>
      <c r="U26" s="220"/>
      <c r="V26" s="220"/>
      <c r="W26" s="158" t="e">
        <f t="shared" si="4"/>
        <v>#DIV/0!</v>
      </c>
      <c r="X26" s="237"/>
    </row>
    <row r="27" spans="1:24" s="13" customFormat="1" ht="9.9499999999999993" customHeight="1" x14ac:dyDescent="0.2">
      <c r="A27" s="180" t="s">
        <v>43</v>
      </c>
      <c r="B27" s="251" t="s">
        <v>64</v>
      </c>
      <c r="C27" s="252"/>
      <c r="D27" s="172" t="s">
        <v>25</v>
      </c>
      <c r="E27" s="38">
        <f t="shared" si="6"/>
        <v>0</v>
      </c>
      <c r="F27" s="39">
        <f t="shared" si="6"/>
        <v>0</v>
      </c>
      <c r="G27" s="39">
        <f t="shared" si="6"/>
        <v>0</v>
      </c>
      <c r="H27" s="14" t="e">
        <f t="shared" si="0"/>
        <v>#DIV/0!</v>
      </c>
      <c r="I27" s="40">
        <f t="shared" si="6"/>
        <v>0</v>
      </c>
      <c r="J27" s="208"/>
      <c r="K27" s="197"/>
      <c r="L27" s="197"/>
      <c r="M27" s="158" t="e">
        <f t="shared" si="2"/>
        <v>#DIV/0!</v>
      </c>
      <c r="N27" s="214"/>
      <c r="O27" s="218"/>
      <c r="P27" s="197"/>
      <c r="Q27" s="197"/>
      <c r="R27" s="158" t="e">
        <f t="shared" si="3"/>
        <v>#DIV/0!</v>
      </c>
      <c r="S27" s="214"/>
      <c r="T27" s="236"/>
      <c r="U27" s="220"/>
      <c r="V27" s="220"/>
      <c r="W27" s="158" t="e">
        <f t="shared" si="4"/>
        <v>#DIV/0!</v>
      </c>
      <c r="X27" s="237"/>
    </row>
    <row r="28" spans="1:24" s="13" customFormat="1" ht="9.9499999999999993" customHeight="1" x14ac:dyDescent="0.2">
      <c r="A28" s="180" t="s">
        <v>49</v>
      </c>
      <c r="B28" s="251" t="s">
        <v>92</v>
      </c>
      <c r="C28" s="252"/>
      <c r="D28" s="172" t="s">
        <v>25</v>
      </c>
      <c r="E28" s="38">
        <f>SUM(J28,O28)</f>
        <v>321000</v>
      </c>
      <c r="F28" s="39">
        <f>SUM(K28,P28)</f>
        <v>421000</v>
      </c>
      <c r="G28" s="39">
        <f>SUM(L28,Q28)</f>
        <v>416321</v>
      </c>
      <c r="H28" s="14">
        <f>G28/F28*100</f>
        <v>98.888598574821856</v>
      </c>
      <c r="I28" s="40">
        <f>SUM(N28,S28)</f>
        <v>303158</v>
      </c>
      <c r="J28" s="208">
        <v>321000</v>
      </c>
      <c r="K28" s="197">
        <v>421000</v>
      </c>
      <c r="L28" s="197">
        <v>416321</v>
      </c>
      <c r="M28" s="158">
        <f t="shared" si="2"/>
        <v>98.888598574821856</v>
      </c>
      <c r="N28" s="214">
        <v>301192</v>
      </c>
      <c r="O28" s="218"/>
      <c r="P28" s="197"/>
      <c r="Q28" s="197"/>
      <c r="R28" s="158" t="e">
        <f t="shared" si="3"/>
        <v>#DIV/0!</v>
      </c>
      <c r="S28" s="214">
        <v>1966</v>
      </c>
      <c r="T28" s="236"/>
      <c r="U28" s="220"/>
      <c r="V28" s="220"/>
      <c r="W28" s="158" t="e">
        <f t="shared" si="4"/>
        <v>#DIV/0!</v>
      </c>
      <c r="X28" s="237"/>
    </row>
    <row r="29" spans="1:24" s="15" customFormat="1" ht="9.9499999999999993" customHeight="1" x14ac:dyDescent="0.2">
      <c r="A29" s="180" t="s">
        <v>50</v>
      </c>
      <c r="B29" s="820" t="s">
        <v>65</v>
      </c>
      <c r="C29" s="821"/>
      <c r="D29" s="172" t="s">
        <v>25</v>
      </c>
      <c r="E29" s="38">
        <f t="shared" si="6"/>
        <v>230</v>
      </c>
      <c r="F29" s="39">
        <f t="shared" si="6"/>
        <v>6525</v>
      </c>
      <c r="G29" s="39">
        <f t="shared" si="6"/>
        <v>6523</v>
      </c>
      <c r="H29" s="14">
        <f t="shared" si="0"/>
        <v>99.969348659003828</v>
      </c>
      <c r="I29" s="40">
        <f t="shared" si="6"/>
        <v>229</v>
      </c>
      <c r="J29" s="208">
        <v>230</v>
      </c>
      <c r="K29" s="197">
        <v>6525</v>
      </c>
      <c r="L29" s="197">
        <v>6523</v>
      </c>
      <c r="M29" s="158">
        <f t="shared" si="2"/>
        <v>99.969348659003828</v>
      </c>
      <c r="N29" s="214">
        <v>229</v>
      </c>
      <c r="O29" s="218"/>
      <c r="P29" s="197"/>
      <c r="Q29" s="197"/>
      <c r="R29" s="158" t="e">
        <f t="shared" si="3"/>
        <v>#DIV/0!</v>
      </c>
      <c r="S29" s="214"/>
      <c r="T29" s="236"/>
      <c r="U29" s="220"/>
      <c r="V29" s="220"/>
      <c r="W29" s="158" t="e">
        <f t="shared" si="4"/>
        <v>#DIV/0!</v>
      </c>
      <c r="X29" s="237"/>
    </row>
    <row r="30" spans="1:24" s="6" customFormat="1" ht="9.75" x14ac:dyDescent="0.2">
      <c r="A30" s="180" t="s">
        <v>52</v>
      </c>
      <c r="B30" s="251" t="s">
        <v>51</v>
      </c>
      <c r="C30" s="252"/>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37"/>
    </row>
    <row r="31" spans="1:24" s="23" customFormat="1" ht="9.75" x14ac:dyDescent="0.2">
      <c r="A31" s="180" t="s">
        <v>53</v>
      </c>
      <c r="B31" s="251" t="s">
        <v>66</v>
      </c>
      <c r="C31" s="252"/>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159157.6099999994</v>
      </c>
      <c r="H33" s="25" t="e">
        <f t="shared" si="0"/>
        <v>#DIV/0!</v>
      </c>
      <c r="I33" s="29">
        <f>I6-I11</f>
        <v>103705</v>
      </c>
      <c r="J33" s="29">
        <f t="shared" ref="J33:L33" si="8">J6-J11</f>
        <v>0</v>
      </c>
      <c r="K33" s="29">
        <f t="shared" si="8"/>
        <v>0</v>
      </c>
      <c r="L33" s="29">
        <f t="shared" si="8"/>
        <v>159157.61000000034</v>
      </c>
      <c r="M33" s="19" t="e">
        <f t="shared" si="2"/>
        <v>#DIV/0!</v>
      </c>
      <c r="N33" s="29">
        <f t="shared" ref="N33:Q33" si="9">N6-N11</f>
        <v>103705</v>
      </c>
      <c r="O33" s="29">
        <f t="shared" si="9"/>
        <v>0</v>
      </c>
      <c r="P33" s="29">
        <f t="shared" si="9"/>
        <v>0</v>
      </c>
      <c r="Q33" s="29">
        <f t="shared" si="9"/>
        <v>0</v>
      </c>
      <c r="R33" s="19" t="e">
        <f t="shared" si="3"/>
        <v>#DIV/0!</v>
      </c>
      <c r="S33" s="29">
        <f t="shared" ref="S33:V33" si="10">S6-S11</f>
        <v>0</v>
      </c>
      <c r="T33" s="29">
        <f t="shared" si="10"/>
        <v>0</v>
      </c>
      <c r="U33" s="29">
        <f t="shared" si="10"/>
        <v>0</v>
      </c>
      <c r="V33" s="29">
        <f t="shared" si="10"/>
        <v>0</v>
      </c>
      <c r="W33" s="19" t="e">
        <f t="shared" si="4"/>
        <v>#DIV/0!</v>
      </c>
      <c r="X33" s="29">
        <f>X6-X11</f>
        <v>0</v>
      </c>
    </row>
    <row r="34" spans="1:24" ht="9" x14ac:dyDescent="0.2">
      <c r="A34" s="187" t="s">
        <v>56</v>
      </c>
      <c r="B34" s="841" t="s">
        <v>24</v>
      </c>
      <c r="C34" s="842"/>
      <c r="D34" s="188" t="s">
        <v>25</v>
      </c>
      <c r="E34" s="142">
        <v>17241</v>
      </c>
      <c r="F34" s="143">
        <v>17241</v>
      </c>
      <c r="G34" s="143">
        <v>18620</v>
      </c>
      <c r="H34" s="12">
        <f t="shared" si="0"/>
        <v>107.99837596427122</v>
      </c>
      <c r="I34" s="247">
        <v>17812</v>
      </c>
      <c r="J34" s="833"/>
      <c r="K34" s="834"/>
      <c r="L34" s="834"/>
      <c r="M34" s="834"/>
      <c r="N34" s="834"/>
      <c r="O34" s="834"/>
      <c r="P34" s="834"/>
      <c r="Q34" s="834"/>
      <c r="R34" s="834"/>
      <c r="S34" s="834"/>
      <c r="T34" s="834"/>
      <c r="U34" s="834"/>
      <c r="V34" s="834"/>
      <c r="W34" s="834"/>
      <c r="X34" s="835"/>
    </row>
    <row r="35" spans="1:24" ht="9" x14ac:dyDescent="0.2">
      <c r="A35" s="189" t="s">
        <v>57</v>
      </c>
      <c r="B35" s="829" t="s">
        <v>33</v>
      </c>
      <c r="C35" s="830"/>
      <c r="D35" s="190" t="s">
        <v>26</v>
      </c>
      <c r="E35" s="144">
        <v>27.513000000000002</v>
      </c>
      <c r="F35" s="145">
        <v>28</v>
      </c>
      <c r="G35" s="145">
        <v>28</v>
      </c>
      <c r="H35" s="232">
        <f t="shared" si="0"/>
        <v>100</v>
      </c>
      <c r="I35" s="248">
        <v>26</v>
      </c>
      <c r="J35" s="833"/>
      <c r="K35" s="834"/>
      <c r="L35" s="834"/>
      <c r="M35" s="834"/>
      <c r="N35" s="834"/>
      <c r="O35" s="834"/>
      <c r="P35" s="834"/>
      <c r="Q35" s="834"/>
      <c r="R35" s="834"/>
      <c r="S35" s="834"/>
      <c r="T35" s="834"/>
      <c r="U35" s="834"/>
      <c r="V35" s="834"/>
      <c r="W35" s="834"/>
      <c r="X35" s="835"/>
    </row>
    <row r="36" spans="1:24" ht="9" x14ac:dyDescent="0.2">
      <c r="A36" s="191" t="s">
        <v>58</v>
      </c>
      <c r="B36" s="831" t="s">
        <v>27</v>
      </c>
      <c r="C36" s="832"/>
      <c r="D36" s="192" t="s">
        <v>26</v>
      </c>
      <c r="E36" s="146">
        <v>29</v>
      </c>
      <c r="F36" s="249">
        <v>29</v>
      </c>
      <c r="G36" s="249">
        <v>29</v>
      </c>
      <c r="H36" s="233">
        <f t="shared" si="0"/>
        <v>100</v>
      </c>
      <c r="I36" s="250">
        <v>29</v>
      </c>
      <c r="J36" s="836"/>
      <c r="K36" s="837"/>
      <c r="L36" s="837"/>
      <c r="M36" s="837"/>
      <c r="N36" s="837"/>
      <c r="O36" s="837"/>
      <c r="P36" s="837"/>
      <c r="Q36" s="837"/>
      <c r="R36" s="837"/>
      <c r="S36" s="837"/>
      <c r="T36" s="837"/>
      <c r="U36" s="837"/>
      <c r="V36" s="837"/>
      <c r="W36" s="837"/>
      <c r="X36" s="838"/>
    </row>
    <row r="37" spans="1:24" customFormat="1" x14ac:dyDescent="0.15">
      <c r="A37" s="2"/>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08"/>
  <sheetViews>
    <sheetView tabSelected="1" zoomScaleNormal="100" workbookViewId="0"/>
  </sheetViews>
  <sheetFormatPr defaultRowHeight="12.75" x14ac:dyDescent="0.2"/>
  <cols>
    <col min="1" max="1" width="74.75" style="28" customWidth="1"/>
    <col min="2" max="9" width="23.75" style="28" customWidth="1"/>
    <col min="15" max="15" width="15.5" bestFit="1" customWidth="1"/>
  </cols>
  <sheetData>
    <row r="1" spans="1:9" ht="18.75" x14ac:dyDescent="0.3">
      <c r="A1" s="62" t="s">
        <v>76</v>
      </c>
      <c r="B1" s="27"/>
      <c r="C1" s="27"/>
      <c r="D1" s="27"/>
      <c r="E1" s="27"/>
      <c r="F1" s="27"/>
      <c r="G1" s="27"/>
      <c r="H1" s="27"/>
      <c r="I1" s="27"/>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281" t="s">
        <v>25</v>
      </c>
      <c r="D5" s="788" t="s">
        <v>176</v>
      </c>
      <c r="E5" s="788"/>
      <c r="F5" s="788"/>
      <c r="G5" s="788"/>
      <c r="H5" s="788"/>
      <c r="I5" s="788"/>
    </row>
    <row r="6" spans="1:9" s="87" customFormat="1" ht="11.25" x14ac:dyDescent="0.2">
      <c r="A6" s="792" t="s">
        <v>177</v>
      </c>
      <c r="B6" s="792"/>
      <c r="C6" s="283">
        <f>SUM(C7:C9)</f>
        <v>131318.97</v>
      </c>
      <c r="D6" s="793"/>
      <c r="E6" s="794"/>
      <c r="F6" s="794"/>
      <c r="G6" s="794"/>
      <c r="H6" s="794"/>
      <c r="I6" s="795"/>
    </row>
    <row r="7" spans="1:9" s="87" customFormat="1" ht="11.25" x14ac:dyDescent="0.2">
      <c r="A7" s="796" t="s">
        <v>69</v>
      </c>
      <c r="B7" s="797"/>
      <c r="C7" s="284">
        <v>119588.97</v>
      </c>
      <c r="D7" s="798" t="s">
        <v>236</v>
      </c>
      <c r="E7" s="861"/>
      <c r="F7" s="861"/>
      <c r="G7" s="861"/>
      <c r="H7" s="861"/>
      <c r="I7" s="861"/>
    </row>
    <row r="8" spans="1:9" s="88" customFormat="1" ht="11.25" x14ac:dyDescent="0.15">
      <c r="A8" s="757" t="s">
        <v>178</v>
      </c>
      <c r="B8" s="758"/>
      <c r="C8" s="285">
        <v>11730</v>
      </c>
      <c r="D8" s="737" t="s">
        <v>230</v>
      </c>
      <c r="E8" s="789"/>
      <c r="F8" s="789"/>
      <c r="G8" s="789"/>
      <c r="H8" s="789"/>
      <c r="I8" s="789"/>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281" t="s">
        <v>68</v>
      </c>
      <c r="B13" s="281" t="s">
        <v>181</v>
      </c>
      <c r="C13" s="281"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121318.97</v>
      </c>
      <c r="D15" s="295"/>
      <c r="E15" s="296"/>
      <c r="F15" s="296"/>
      <c r="G15" s="296"/>
      <c r="H15" s="296"/>
      <c r="I15" s="296"/>
    </row>
    <row r="16" spans="1:9" s="87" customFormat="1" ht="11.25" x14ac:dyDescent="0.2">
      <c r="A16" s="763"/>
      <c r="B16" s="297" t="s">
        <v>71</v>
      </c>
      <c r="C16" s="298">
        <v>10000</v>
      </c>
      <c r="D16" s="299"/>
      <c r="E16" s="300"/>
      <c r="F16" s="300"/>
      <c r="G16" s="300"/>
      <c r="H16" s="300"/>
      <c r="I16" s="300"/>
    </row>
    <row r="17" spans="1:9" s="87" customFormat="1" ht="11.25" x14ac:dyDescent="0.2">
      <c r="A17" s="301" t="s">
        <v>177</v>
      </c>
      <c r="B17" s="302"/>
      <c r="C17" s="283">
        <f>SUM(C14:C16)</f>
        <v>131318.97</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08" t="s">
        <v>181</v>
      </c>
      <c r="B21" s="308" t="s">
        <v>185</v>
      </c>
      <c r="C21" s="307" t="s">
        <v>186</v>
      </c>
      <c r="D21" s="308" t="s">
        <v>187</v>
      </c>
      <c r="E21" s="308" t="s">
        <v>188</v>
      </c>
      <c r="F21" s="764" t="s">
        <v>189</v>
      </c>
      <c r="G21" s="764"/>
      <c r="H21" s="764"/>
      <c r="I21" s="764"/>
    </row>
    <row r="22" spans="1:9" s="87" customFormat="1" ht="11.25" x14ac:dyDescent="0.2">
      <c r="A22" s="310" t="s">
        <v>190</v>
      </c>
      <c r="B22" s="124">
        <v>243886.5</v>
      </c>
      <c r="C22" s="124">
        <v>131200.74</v>
      </c>
      <c r="D22" s="124">
        <v>146229</v>
      </c>
      <c r="E22" s="124">
        <f>B22+C22-D22</f>
        <v>228858.23999999999</v>
      </c>
      <c r="F22" s="778" t="s">
        <v>237</v>
      </c>
      <c r="G22" s="746"/>
      <c r="H22" s="746"/>
      <c r="I22" s="775"/>
    </row>
    <row r="23" spans="1:9" s="87" customFormat="1" ht="11.25" x14ac:dyDescent="0.2">
      <c r="A23" s="293" t="s">
        <v>191</v>
      </c>
      <c r="B23" s="125">
        <v>91702.1</v>
      </c>
      <c r="C23" s="125">
        <v>589547</v>
      </c>
      <c r="D23" s="125">
        <v>545382</v>
      </c>
      <c r="E23" s="125">
        <f>B23+C23-D23</f>
        <v>135867.09999999998</v>
      </c>
      <c r="F23" s="781" t="s">
        <v>238</v>
      </c>
      <c r="G23" s="859"/>
      <c r="H23" s="859"/>
      <c r="I23" s="860"/>
    </row>
    <row r="24" spans="1:9" s="87" customFormat="1" ht="11.25" x14ac:dyDescent="0.2">
      <c r="A24" s="293" t="s">
        <v>71</v>
      </c>
      <c r="B24" s="125">
        <v>71930.67</v>
      </c>
      <c r="C24" s="125">
        <v>10000</v>
      </c>
      <c r="D24" s="125">
        <v>6180</v>
      </c>
      <c r="E24" s="125">
        <f>B24+C24-D24</f>
        <v>75750.67</v>
      </c>
      <c r="F24" s="781" t="s">
        <v>239</v>
      </c>
      <c r="G24" s="782"/>
      <c r="H24" s="782"/>
      <c r="I24" s="783"/>
    </row>
    <row r="25" spans="1:9" s="87" customFormat="1" ht="11.25" x14ac:dyDescent="0.2">
      <c r="A25" s="311" t="s">
        <v>193</v>
      </c>
      <c r="B25" s="126">
        <v>104881.23</v>
      </c>
      <c r="C25" s="126">
        <v>92510.8</v>
      </c>
      <c r="D25" s="126">
        <v>80808</v>
      </c>
      <c r="E25" s="126">
        <f>B25+C25-D25</f>
        <v>116584.03</v>
      </c>
      <c r="F25" s="784" t="s">
        <v>240</v>
      </c>
      <c r="G25" s="785"/>
      <c r="H25" s="785"/>
      <c r="I25" s="786"/>
    </row>
    <row r="26" spans="1:9" s="88" customFormat="1" ht="10.5" x14ac:dyDescent="0.15">
      <c r="A26" s="670" t="s">
        <v>34</v>
      </c>
      <c r="B26" s="283">
        <f>SUM(B22:B25)</f>
        <v>512400.49999999994</v>
      </c>
      <c r="C26" s="283">
        <f t="shared" ref="C26:E26" si="0">SUM(C22:C25)</f>
        <v>823258.54</v>
      </c>
      <c r="D26" s="283">
        <f t="shared" si="0"/>
        <v>778599</v>
      </c>
      <c r="E26" s="283">
        <f t="shared" si="0"/>
        <v>557060.03999999992</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281" t="s">
        <v>72</v>
      </c>
      <c r="B30" s="281" t="s">
        <v>25</v>
      </c>
      <c r="C30" s="317" t="s">
        <v>73</v>
      </c>
      <c r="D30" s="788" t="s">
        <v>196</v>
      </c>
      <c r="E30" s="788"/>
      <c r="F30" s="788"/>
      <c r="G30" s="788"/>
      <c r="H30" s="788"/>
      <c r="I30" s="788"/>
    </row>
    <row r="31" spans="1:9" s="87" customFormat="1" ht="11.25" x14ac:dyDescent="0.2">
      <c r="A31" s="313"/>
      <c r="B31" s="131">
        <v>0</v>
      </c>
      <c r="C31" s="314"/>
      <c r="D31" s="778"/>
      <c r="E31" s="746"/>
      <c r="F31" s="746"/>
      <c r="G31" s="746"/>
      <c r="H31" s="746"/>
      <c r="I31" s="775"/>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281" t="s">
        <v>72</v>
      </c>
      <c r="B36" s="281" t="s">
        <v>25</v>
      </c>
      <c r="C36" s="317" t="s">
        <v>73</v>
      </c>
      <c r="D36" s="788" t="s">
        <v>196</v>
      </c>
      <c r="E36" s="788"/>
      <c r="F36" s="788"/>
      <c r="G36" s="788"/>
      <c r="H36" s="788"/>
      <c r="I36" s="788"/>
    </row>
    <row r="37" spans="1:9" s="87" customFormat="1" ht="11.25" x14ac:dyDescent="0.2">
      <c r="A37" s="153"/>
      <c r="B37" s="132">
        <v>0</v>
      </c>
      <c r="C37" s="337"/>
      <c r="D37" s="856"/>
      <c r="E37" s="857"/>
      <c r="F37" s="857"/>
      <c r="G37" s="857"/>
      <c r="H37" s="857"/>
      <c r="I37" s="858"/>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281" t="s">
        <v>25</v>
      </c>
      <c r="B42" s="307" t="s">
        <v>100</v>
      </c>
      <c r="C42" s="765" t="s">
        <v>74</v>
      </c>
      <c r="D42" s="765"/>
      <c r="E42" s="765"/>
      <c r="F42" s="765"/>
      <c r="G42" s="765"/>
      <c r="H42" s="765"/>
      <c r="I42" s="765"/>
    </row>
    <row r="43" spans="1:9" s="87" customFormat="1" ht="11.25" x14ac:dyDescent="0.2">
      <c r="A43" s="124">
        <v>5000</v>
      </c>
      <c r="B43" s="124">
        <v>5000</v>
      </c>
      <c r="C43" s="768" t="s">
        <v>241</v>
      </c>
      <c r="D43" s="769"/>
      <c r="E43" s="769"/>
      <c r="F43" s="769"/>
      <c r="G43" s="769"/>
      <c r="H43" s="769"/>
      <c r="I43" s="769"/>
    </row>
    <row r="44" spans="1:9" s="87" customFormat="1" ht="11.25" x14ac:dyDescent="0.2">
      <c r="A44" s="125">
        <v>4000</v>
      </c>
      <c r="B44" s="125">
        <v>4000</v>
      </c>
      <c r="C44" s="862"/>
      <c r="D44" s="863"/>
      <c r="E44" s="863"/>
      <c r="F44" s="863"/>
      <c r="G44" s="863"/>
      <c r="H44" s="863"/>
      <c r="I44" s="863"/>
    </row>
    <row r="45" spans="1:9" s="87" customFormat="1" ht="11.25" x14ac:dyDescent="0.2">
      <c r="A45" s="125">
        <v>5000</v>
      </c>
      <c r="B45" s="125">
        <v>5000</v>
      </c>
      <c r="C45" s="862"/>
      <c r="D45" s="863"/>
      <c r="E45" s="863"/>
      <c r="F45" s="863"/>
      <c r="G45" s="863"/>
      <c r="H45" s="863"/>
      <c r="I45" s="863"/>
    </row>
    <row r="46" spans="1:9" s="87" customFormat="1" ht="11.25" x14ac:dyDescent="0.2">
      <c r="A46" s="125">
        <v>1500</v>
      </c>
      <c r="B46" s="125">
        <v>1500</v>
      </c>
      <c r="C46" s="862"/>
      <c r="D46" s="863"/>
      <c r="E46" s="863"/>
      <c r="F46" s="863"/>
      <c r="G46" s="863"/>
      <c r="H46" s="863"/>
      <c r="I46" s="863"/>
    </row>
    <row r="47" spans="1:9" s="87" customFormat="1" ht="11.25" x14ac:dyDescent="0.2">
      <c r="A47" s="125">
        <v>2000</v>
      </c>
      <c r="B47" s="125">
        <v>2000</v>
      </c>
      <c r="C47" s="862"/>
      <c r="D47" s="863"/>
      <c r="E47" s="863"/>
      <c r="F47" s="863"/>
      <c r="G47" s="863"/>
      <c r="H47" s="863"/>
      <c r="I47" s="863"/>
    </row>
    <row r="48" spans="1:9" s="87" customFormat="1" ht="11.25" x14ac:dyDescent="0.2">
      <c r="A48" s="125">
        <v>5000</v>
      </c>
      <c r="B48" s="125">
        <v>5000</v>
      </c>
      <c r="C48" s="862"/>
      <c r="D48" s="863"/>
      <c r="E48" s="863"/>
      <c r="F48" s="863"/>
      <c r="G48" s="863"/>
      <c r="H48" s="863"/>
      <c r="I48" s="863"/>
    </row>
    <row r="49" spans="1:9" s="87" customFormat="1" ht="11.25" x14ac:dyDescent="0.2">
      <c r="A49" s="126">
        <v>3000</v>
      </c>
      <c r="B49" s="126">
        <v>3000</v>
      </c>
      <c r="C49" s="864"/>
      <c r="D49" s="865"/>
      <c r="E49" s="865"/>
      <c r="F49" s="865"/>
      <c r="G49" s="865"/>
      <c r="H49" s="865"/>
      <c r="I49" s="865"/>
    </row>
    <row r="50" spans="1:9" s="88" customFormat="1" ht="10.5" x14ac:dyDescent="0.15">
      <c r="A50" s="283">
        <f>SUM(A43:A49)</f>
        <v>25500</v>
      </c>
      <c r="B50" s="283">
        <f>SUM(B43:B49)</f>
        <v>25500</v>
      </c>
      <c r="C50" s="767" t="s">
        <v>34</v>
      </c>
      <c r="D50" s="767"/>
      <c r="E50" s="767"/>
      <c r="F50" s="767"/>
      <c r="G50" s="767"/>
      <c r="H50" s="767"/>
      <c r="I50" s="767"/>
    </row>
    <row r="51" spans="1:9" s="87" customFormat="1" ht="11.25" x14ac:dyDescent="0.2">
      <c r="C51" s="89"/>
    </row>
    <row r="52" spans="1:9" s="87" customFormat="1" ht="11.25" x14ac:dyDescent="0.2">
      <c r="A52" s="742" t="s">
        <v>199</v>
      </c>
      <c r="B52" s="742"/>
      <c r="C52" s="742"/>
      <c r="D52" s="742"/>
      <c r="E52" s="742"/>
      <c r="F52" s="742"/>
      <c r="G52" s="742"/>
      <c r="H52" s="742"/>
      <c r="I52" s="742"/>
    </row>
    <row r="53" spans="1:9" s="87" customFormat="1" ht="11.25" x14ac:dyDescent="0.2">
      <c r="C53" s="89"/>
    </row>
    <row r="54" spans="1:9" s="151" customFormat="1" ht="31.5" x14ac:dyDescent="0.25">
      <c r="A54" s="743" t="s">
        <v>101</v>
      </c>
      <c r="B54" s="744"/>
      <c r="C54" s="308" t="s">
        <v>102</v>
      </c>
      <c r="D54" s="308" t="s">
        <v>103</v>
      </c>
      <c r="E54" s="308" t="s">
        <v>104</v>
      </c>
      <c r="F54" s="308" t="s">
        <v>105</v>
      </c>
      <c r="G54" s="308" t="s">
        <v>94</v>
      </c>
    </row>
    <row r="55" spans="1:9" s="87" customFormat="1" ht="11.25" x14ac:dyDescent="0.2">
      <c r="A55" s="844" t="s">
        <v>1192</v>
      </c>
      <c r="B55" s="780"/>
      <c r="C55" s="322" t="s">
        <v>114</v>
      </c>
      <c r="D55" s="323">
        <v>395910</v>
      </c>
      <c r="E55" s="323"/>
      <c r="F55" s="324">
        <v>42123</v>
      </c>
      <c r="G55" s="324">
        <v>42130</v>
      </c>
    </row>
    <row r="56" spans="1:9" s="87" customFormat="1" ht="11.25" x14ac:dyDescent="0.2">
      <c r="A56" s="843" t="s">
        <v>1193</v>
      </c>
      <c r="B56" s="783"/>
      <c r="C56" s="325" t="s">
        <v>108</v>
      </c>
      <c r="D56" s="326"/>
      <c r="E56" s="326">
        <v>8556</v>
      </c>
      <c r="F56" s="327">
        <v>42123</v>
      </c>
      <c r="G56" s="327">
        <v>42130</v>
      </c>
    </row>
    <row r="57" spans="1:9" s="87" customFormat="1" ht="11.25" x14ac:dyDescent="0.2">
      <c r="A57" s="843" t="s">
        <v>1193</v>
      </c>
      <c r="B57" s="783"/>
      <c r="C57" s="325" t="s">
        <v>108</v>
      </c>
      <c r="D57" s="326"/>
      <c r="E57" s="326">
        <v>387354</v>
      </c>
      <c r="F57" s="327">
        <v>42123</v>
      </c>
      <c r="G57" s="327">
        <v>42130</v>
      </c>
    </row>
    <row r="58" spans="1:9" s="87" customFormat="1" ht="11.25" x14ac:dyDescent="0.2">
      <c r="A58" s="843" t="s">
        <v>1194</v>
      </c>
      <c r="B58" s="783"/>
      <c r="C58" s="325" t="s">
        <v>114</v>
      </c>
      <c r="D58" s="326">
        <v>400000</v>
      </c>
      <c r="E58" s="326"/>
      <c r="F58" s="327">
        <v>42249</v>
      </c>
      <c r="G58" s="327">
        <v>42277</v>
      </c>
    </row>
    <row r="59" spans="1:9" s="87" customFormat="1" ht="12" customHeight="1" x14ac:dyDescent="0.2">
      <c r="A59" s="843" t="s">
        <v>1195</v>
      </c>
      <c r="B59" s="783"/>
      <c r="C59" s="325" t="s">
        <v>107</v>
      </c>
      <c r="D59" s="326"/>
      <c r="E59" s="326">
        <v>254166</v>
      </c>
      <c r="F59" s="327">
        <v>42249</v>
      </c>
      <c r="G59" s="327">
        <v>42277</v>
      </c>
    </row>
    <row r="60" spans="1:9" s="87" customFormat="1" ht="11.25" x14ac:dyDescent="0.2">
      <c r="A60" s="843"/>
      <c r="B60" s="783"/>
      <c r="C60" s="325"/>
      <c r="D60" s="326"/>
      <c r="E60" s="326">
        <v>145834</v>
      </c>
      <c r="F60" s="327">
        <v>42249</v>
      </c>
      <c r="G60" s="327">
        <v>42277</v>
      </c>
    </row>
    <row r="61" spans="1:9" s="87" customFormat="1" ht="11.25" x14ac:dyDescent="0.2">
      <c r="A61" s="843" t="s">
        <v>1196</v>
      </c>
      <c r="B61" s="783"/>
      <c r="C61" s="325" t="s">
        <v>231</v>
      </c>
      <c r="D61" s="326"/>
      <c r="E61" s="326">
        <v>-140000</v>
      </c>
      <c r="F61" s="327">
        <v>42312</v>
      </c>
      <c r="G61" s="327">
        <v>42338</v>
      </c>
    </row>
    <row r="62" spans="1:9" s="87" customFormat="1" ht="12" customHeight="1" x14ac:dyDescent="0.2">
      <c r="A62" s="843" t="s">
        <v>1197</v>
      </c>
      <c r="B62" s="783"/>
      <c r="C62" s="325" t="s">
        <v>232</v>
      </c>
      <c r="D62" s="326"/>
      <c r="E62" s="326">
        <v>140000</v>
      </c>
      <c r="F62" s="327">
        <v>42312</v>
      </c>
      <c r="G62" s="327">
        <v>42338</v>
      </c>
    </row>
    <row r="63" spans="1:9" s="87" customFormat="1" ht="11.25" x14ac:dyDescent="0.2">
      <c r="A63" s="843" t="s">
        <v>1198</v>
      </c>
      <c r="B63" s="783"/>
      <c r="C63" s="325" t="s">
        <v>129</v>
      </c>
      <c r="D63" s="326"/>
      <c r="E63" s="326">
        <v>-3936</v>
      </c>
      <c r="F63" s="327">
        <v>42326</v>
      </c>
      <c r="G63" s="327">
        <v>42338</v>
      </c>
    </row>
    <row r="64" spans="1:9" s="87" customFormat="1" ht="11.25" x14ac:dyDescent="0.2">
      <c r="A64" s="843" t="s">
        <v>1199</v>
      </c>
      <c r="B64" s="783"/>
      <c r="C64" s="325" t="s">
        <v>233</v>
      </c>
      <c r="D64" s="326"/>
      <c r="E64" s="326">
        <v>3936</v>
      </c>
      <c r="F64" s="327">
        <v>42326</v>
      </c>
      <c r="G64" s="327">
        <v>42338</v>
      </c>
    </row>
    <row r="65" spans="1:9" s="87" customFormat="1" ht="11.25" x14ac:dyDescent="0.2">
      <c r="A65" s="843" t="s">
        <v>1200</v>
      </c>
      <c r="B65" s="783"/>
      <c r="C65" s="325" t="s">
        <v>114</v>
      </c>
      <c r="D65" s="326">
        <v>85000</v>
      </c>
      <c r="E65" s="326"/>
      <c r="F65" s="327">
        <v>42338</v>
      </c>
      <c r="G65" s="327">
        <v>42369</v>
      </c>
    </row>
    <row r="66" spans="1:9" s="87" customFormat="1" ht="11.25" x14ac:dyDescent="0.2">
      <c r="A66" s="843" t="s">
        <v>1201</v>
      </c>
      <c r="B66" s="783"/>
      <c r="C66" s="325" t="s">
        <v>113</v>
      </c>
      <c r="D66" s="326"/>
      <c r="E66" s="326">
        <v>40000</v>
      </c>
      <c r="F66" s="327">
        <v>42338</v>
      </c>
      <c r="G66" s="327">
        <v>42369</v>
      </c>
    </row>
    <row r="67" spans="1:9" s="87" customFormat="1" ht="11.25" x14ac:dyDescent="0.2">
      <c r="A67" s="843" t="s">
        <v>1202</v>
      </c>
      <c r="B67" s="783"/>
      <c r="C67" s="325" t="s">
        <v>107</v>
      </c>
      <c r="D67" s="326"/>
      <c r="E67" s="326">
        <v>45000</v>
      </c>
      <c r="F67" s="327">
        <v>42338</v>
      </c>
      <c r="G67" s="327">
        <v>42369</v>
      </c>
    </row>
    <row r="68" spans="1:9" s="87" customFormat="1" ht="11.25" x14ac:dyDescent="0.2">
      <c r="A68" s="843" t="s">
        <v>1203</v>
      </c>
      <c r="B68" s="783"/>
      <c r="C68" s="325" t="s">
        <v>234</v>
      </c>
      <c r="D68" s="326"/>
      <c r="E68" s="326">
        <v>-100000</v>
      </c>
      <c r="F68" s="327">
        <v>42345</v>
      </c>
      <c r="G68" s="327">
        <v>42369</v>
      </c>
    </row>
    <row r="69" spans="1:9" s="87" customFormat="1" ht="11.25" x14ac:dyDescent="0.2">
      <c r="A69" s="848" t="s">
        <v>1204</v>
      </c>
      <c r="B69" s="786"/>
      <c r="C69" s="328" t="s">
        <v>235</v>
      </c>
      <c r="D69" s="329"/>
      <c r="E69" s="329">
        <v>100000</v>
      </c>
      <c r="F69" s="330">
        <v>42345</v>
      </c>
      <c r="G69" s="330">
        <v>42369</v>
      </c>
    </row>
    <row r="70" spans="1:9" s="87" customFormat="1" ht="11.25" x14ac:dyDescent="0.2">
      <c r="A70" s="747" t="s">
        <v>111</v>
      </c>
      <c r="B70" s="748"/>
      <c r="C70" s="320"/>
      <c r="D70" s="90">
        <f>SUM(D55:D69)</f>
        <v>880910</v>
      </c>
      <c r="E70" s="90">
        <f>SUM(E55:E69)</f>
        <v>880910</v>
      </c>
      <c r="F70" s="753"/>
      <c r="G70" s="754"/>
    </row>
    <row r="71" spans="1:9" s="87" customFormat="1" ht="11.25" x14ac:dyDescent="0.2">
      <c r="C71" s="89"/>
    </row>
    <row r="72" spans="1:9" s="87" customFormat="1" ht="11.25" x14ac:dyDescent="0.2">
      <c r="A72" s="742" t="s">
        <v>211</v>
      </c>
      <c r="B72" s="742"/>
      <c r="C72" s="742"/>
      <c r="D72" s="742"/>
      <c r="E72" s="742"/>
      <c r="F72" s="742"/>
      <c r="G72" s="742"/>
      <c r="H72" s="742"/>
      <c r="I72" s="742"/>
    </row>
    <row r="73" spans="1:9" s="87" customFormat="1" ht="11.25" x14ac:dyDescent="0.2">
      <c r="C73" s="89"/>
    </row>
    <row r="74" spans="1:9" s="151" customFormat="1" ht="31.5" x14ac:dyDescent="0.25">
      <c r="A74" s="743" t="s">
        <v>101</v>
      </c>
      <c r="B74" s="744"/>
      <c r="C74" s="308" t="s">
        <v>102</v>
      </c>
      <c r="D74" s="308" t="s">
        <v>103</v>
      </c>
      <c r="E74" s="308" t="s">
        <v>104</v>
      </c>
      <c r="F74" s="308" t="s">
        <v>105</v>
      </c>
      <c r="G74" s="308" t="s">
        <v>94</v>
      </c>
    </row>
    <row r="75" spans="1:9" s="87" customFormat="1" ht="11.25" x14ac:dyDescent="0.2">
      <c r="A75" s="844"/>
      <c r="B75" s="746"/>
      <c r="C75" s="318"/>
      <c r="D75" s="319">
        <v>0</v>
      </c>
      <c r="E75" s="319">
        <v>0</v>
      </c>
      <c r="F75" s="321"/>
      <c r="G75" s="321"/>
    </row>
    <row r="76" spans="1:9" s="87" customFormat="1" ht="11.25" x14ac:dyDescent="0.2">
      <c r="A76" s="747" t="s">
        <v>111</v>
      </c>
      <c r="B76" s="748"/>
      <c r="C76" s="320"/>
      <c r="D76" s="90">
        <f>SUM(D75:D75)</f>
        <v>0</v>
      </c>
      <c r="E76" s="90">
        <f>SUM(E75:E75)</f>
        <v>0</v>
      </c>
      <c r="F76" s="749"/>
      <c r="G76" s="750"/>
    </row>
    <row r="77" spans="1:9" s="87" customFormat="1" ht="11.25" x14ac:dyDescent="0.2">
      <c r="C77" s="89"/>
    </row>
    <row r="78" spans="1:9" s="87" customFormat="1" ht="11.25" x14ac:dyDescent="0.2">
      <c r="A78" s="738" t="s">
        <v>212</v>
      </c>
      <c r="B78" s="738"/>
      <c r="C78" s="738"/>
      <c r="D78" s="738"/>
      <c r="E78" s="738"/>
      <c r="F78" s="738"/>
      <c r="G78" s="738"/>
      <c r="H78" s="738"/>
      <c r="I78" s="738"/>
    </row>
    <row r="79" spans="1:9" s="87" customFormat="1" ht="11.25" x14ac:dyDescent="0.2"/>
    <row r="80" spans="1:9" s="87" customFormat="1" ht="11.25" x14ac:dyDescent="0.2">
      <c r="A80" s="781" t="s">
        <v>242</v>
      </c>
      <c r="B80" s="782"/>
      <c r="C80" s="782"/>
      <c r="D80" s="782"/>
      <c r="E80" s="782"/>
      <c r="F80" s="782"/>
      <c r="G80" s="782"/>
      <c r="H80" s="782"/>
      <c r="I80" s="783"/>
    </row>
    <row r="81" spans="1:9" s="87" customFormat="1" ht="11.25" x14ac:dyDescent="0.2">
      <c r="A81" s="66"/>
      <c r="B81" s="66"/>
      <c r="C81" s="66"/>
      <c r="D81" s="66"/>
      <c r="E81" s="66"/>
      <c r="F81" s="66"/>
      <c r="G81" s="66"/>
      <c r="H81" s="66"/>
      <c r="I81" s="66"/>
    </row>
    <row r="82" spans="1:9" s="88" customFormat="1" ht="10.5" x14ac:dyDescent="0.15">
      <c r="A82" s="738" t="s">
        <v>213</v>
      </c>
      <c r="B82" s="738"/>
      <c r="C82" s="738"/>
      <c r="D82" s="738"/>
      <c r="E82" s="738"/>
      <c r="F82" s="738"/>
      <c r="G82" s="738"/>
      <c r="H82" s="738"/>
      <c r="I82" s="738"/>
    </row>
    <row r="83" spans="1:9" s="87" customFormat="1" ht="11.25" x14ac:dyDescent="0.2">
      <c r="A83" s="66"/>
      <c r="B83" s="66"/>
      <c r="C83" s="66"/>
      <c r="D83" s="66"/>
      <c r="E83" s="66"/>
      <c r="F83" s="66"/>
      <c r="G83" s="66"/>
      <c r="H83" s="66"/>
      <c r="I83" s="66"/>
    </row>
    <row r="84" spans="1:9" ht="46.5" customHeight="1" x14ac:dyDescent="0.15">
      <c r="A84" s="732" t="s">
        <v>243</v>
      </c>
      <c r="B84" s="733"/>
      <c r="C84" s="733"/>
      <c r="D84" s="733"/>
      <c r="E84" s="733"/>
      <c r="F84" s="733"/>
      <c r="G84" s="733"/>
      <c r="H84" s="733"/>
      <c r="I84" s="734"/>
    </row>
    <row r="85" spans="1:9" ht="11.25" x14ac:dyDescent="0.15">
      <c r="A85" s="732" t="s">
        <v>216</v>
      </c>
      <c r="B85" s="733"/>
      <c r="C85" s="733"/>
      <c r="D85" s="733"/>
      <c r="E85" s="733"/>
      <c r="F85" s="733"/>
      <c r="G85" s="733"/>
      <c r="H85" s="733"/>
      <c r="I85" s="734"/>
    </row>
    <row r="86" spans="1:9" s="28" customFormat="1" x14ac:dyDescent="0.2"/>
    <row r="87" spans="1:9" s="28" customFormat="1" x14ac:dyDescent="0.2"/>
    <row r="88" spans="1:9" s="28" customFormat="1" x14ac:dyDescent="0.2"/>
    <row r="89" spans="1:9" s="28" customFormat="1" x14ac:dyDescent="0.2"/>
    <row r="90" spans="1:9" s="28" customFormat="1" x14ac:dyDescent="0.2"/>
    <row r="91" spans="1:9" s="28" customFormat="1" x14ac:dyDescent="0.2"/>
    <row r="92" spans="1:9" s="28" customFormat="1" x14ac:dyDescent="0.2"/>
    <row r="93" spans="1:9" s="28" customFormat="1" x14ac:dyDescent="0.2"/>
    <row r="94" spans="1:9" s="28" customFormat="1" x14ac:dyDescent="0.2"/>
    <row r="95" spans="1:9" s="28" customFormat="1" x14ac:dyDescent="0.2"/>
    <row r="96" spans="1:9" s="28" customFormat="1" x14ac:dyDescent="0.2"/>
    <row r="97" s="28" customFormat="1" x14ac:dyDescent="0.2"/>
    <row r="98" s="28" customFormat="1" x14ac:dyDescent="0.2"/>
    <row r="99" s="28" customFormat="1" x14ac:dyDescent="0.2"/>
    <row r="100" s="28" customFormat="1" x14ac:dyDescent="0.2"/>
    <row r="101" s="28" customFormat="1" x14ac:dyDescent="0.2"/>
    <row r="102" s="28" customFormat="1" x14ac:dyDescent="0.2"/>
    <row r="103" s="28" customFormat="1" x14ac:dyDescent="0.2"/>
    <row r="104" s="28" customFormat="1" x14ac:dyDescent="0.2"/>
    <row r="105" s="28" customFormat="1" x14ac:dyDescent="0.2"/>
    <row r="106" s="28" customFormat="1" x14ac:dyDescent="0.2"/>
    <row r="107" s="28" customFormat="1" x14ac:dyDescent="0.2"/>
    <row r="108" s="28" customFormat="1" x14ac:dyDescent="0.2"/>
    <row r="109" s="28" customFormat="1" x14ac:dyDescent="0.2"/>
    <row r="110" s="28" customFormat="1" x14ac:dyDescent="0.2"/>
    <row r="111" s="28" customFormat="1" x14ac:dyDescent="0.2"/>
    <row r="112" s="28" customFormat="1" x14ac:dyDescent="0.2"/>
    <row r="113" s="28" customFormat="1" x14ac:dyDescent="0.2"/>
    <row r="114" s="28" customFormat="1" x14ac:dyDescent="0.2"/>
    <row r="115" s="28" customFormat="1" x14ac:dyDescent="0.2"/>
    <row r="116" s="28" customFormat="1" x14ac:dyDescent="0.2"/>
    <row r="117" s="28" customFormat="1" x14ac:dyDescent="0.2"/>
    <row r="118" s="28" customFormat="1" x14ac:dyDescent="0.2"/>
    <row r="119" s="28" customFormat="1" x14ac:dyDescent="0.2"/>
    <row r="120" s="28" customFormat="1" x14ac:dyDescent="0.2"/>
    <row r="121" s="28" customFormat="1" x14ac:dyDescent="0.2"/>
    <row r="122" s="28" customFormat="1" x14ac:dyDescent="0.2"/>
    <row r="123" s="28" customFormat="1" x14ac:dyDescent="0.2"/>
    <row r="124" s="28" customFormat="1" x14ac:dyDescent="0.2"/>
    <row r="125" s="28" customFormat="1" x14ac:dyDescent="0.2"/>
    <row r="126" s="28" customFormat="1" x14ac:dyDescent="0.2"/>
    <row r="127" s="28" customFormat="1" x14ac:dyDescent="0.2"/>
    <row r="128" s="28" customFormat="1" x14ac:dyDescent="0.2"/>
    <row r="129" s="28" customFormat="1" x14ac:dyDescent="0.2"/>
    <row r="130" s="28" customFormat="1" x14ac:dyDescent="0.2"/>
    <row r="131" s="28" customFormat="1" x14ac:dyDescent="0.2"/>
    <row r="132" s="28" customFormat="1" x14ac:dyDescent="0.2"/>
    <row r="133" s="28" customFormat="1" x14ac:dyDescent="0.2"/>
    <row r="134" s="28" customFormat="1" x14ac:dyDescent="0.2"/>
    <row r="135" s="28" customFormat="1" x14ac:dyDescent="0.2"/>
    <row r="136" s="28" customFormat="1" x14ac:dyDescent="0.2"/>
    <row r="137" s="28" customFormat="1" x14ac:dyDescent="0.2"/>
    <row r="138" s="28" customFormat="1" x14ac:dyDescent="0.2"/>
    <row r="139" s="28" customFormat="1" x14ac:dyDescent="0.2"/>
    <row r="140" s="28" customFormat="1" x14ac:dyDescent="0.2"/>
    <row r="141" s="28" customFormat="1" x14ac:dyDescent="0.2"/>
    <row r="142" s="28" customFormat="1" x14ac:dyDescent="0.2"/>
    <row r="143" s="28" customFormat="1" x14ac:dyDescent="0.2"/>
    <row r="144" s="28" customFormat="1" x14ac:dyDescent="0.2"/>
    <row r="145" s="28" customFormat="1" x14ac:dyDescent="0.2"/>
    <row r="146" s="28" customFormat="1" x14ac:dyDescent="0.2"/>
    <row r="147" s="28" customFormat="1" x14ac:dyDescent="0.2"/>
    <row r="148" s="28" customFormat="1" x14ac:dyDescent="0.2"/>
    <row r="149" s="28" customFormat="1" x14ac:dyDescent="0.2"/>
    <row r="150" s="28" customFormat="1" x14ac:dyDescent="0.2"/>
    <row r="151" s="28" customFormat="1" x14ac:dyDescent="0.2"/>
    <row r="152" s="28" customFormat="1" x14ac:dyDescent="0.2"/>
    <row r="153" s="28" customFormat="1" x14ac:dyDescent="0.2"/>
    <row r="154" s="28" customFormat="1" x14ac:dyDescent="0.2"/>
    <row r="155" s="28" customFormat="1" x14ac:dyDescent="0.2"/>
    <row r="156" s="28" customFormat="1" x14ac:dyDescent="0.2"/>
    <row r="157" s="28" customFormat="1" x14ac:dyDescent="0.2"/>
    <row r="158" s="28" customFormat="1" x14ac:dyDescent="0.2"/>
    <row r="159" s="28" customFormat="1" x14ac:dyDescent="0.2"/>
    <row r="160" s="28" customFormat="1" x14ac:dyDescent="0.2"/>
    <row r="161" s="28" customFormat="1" x14ac:dyDescent="0.2"/>
    <row r="162" s="28" customFormat="1" x14ac:dyDescent="0.2"/>
    <row r="163" s="28" customFormat="1" x14ac:dyDescent="0.2"/>
    <row r="164" s="28" customFormat="1" x14ac:dyDescent="0.2"/>
    <row r="165" s="28" customFormat="1" x14ac:dyDescent="0.2"/>
    <row r="166" s="28" customFormat="1" x14ac:dyDescent="0.2"/>
    <row r="167" s="28" customFormat="1" x14ac:dyDescent="0.2"/>
    <row r="168" s="28" customFormat="1" x14ac:dyDescent="0.2"/>
    <row r="169" s="28" customFormat="1" x14ac:dyDescent="0.2"/>
    <row r="170" s="28" customFormat="1" x14ac:dyDescent="0.2"/>
    <row r="171" s="28" customFormat="1" x14ac:dyDescent="0.2"/>
    <row r="172" s="28" customFormat="1" x14ac:dyDescent="0.2"/>
    <row r="173" s="28" customFormat="1" x14ac:dyDescent="0.2"/>
    <row r="174" s="28" customFormat="1" x14ac:dyDescent="0.2"/>
    <row r="175" s="28" customFormat="1" x14ac:dyDescent="0.2"/>
    <row r="176" s="28" customFormat="1" x14ac:dyDescent="0.2"/>
    <row r="177" s="28" customFormat="1" x14ac:dyDescent="0.2"/>
    <row r="178" s="28" customFormat="1" x14ac:dyDescent="0.2"/>
    <row r="179" s="28" customFormat="1" x14ac:dyDescent="0.2"/>
    <row r="180" s="28" customFormat="1" x14ac:dyDescent="0.2"/>
    <row r="181" s="28" customFormat="1" x14ac:dyDescent="0.2"/>
    <row r="182" s="28" customFormat="1" x14ac:dyDescent="0.2"/>
    <row r="183" s="28" customFormat="1" x14ac:dyDescent="0.2"/>
    <row r="184" s="28" customFormat="1" x14ac:dyDescent="0.2"/>
    <row r="185" s="28" customFormat="1" x14ac:dyDescent="0.2"/>
    <row r="186" s="28" customFormat="1" x14ac:dyDescent="0.2"/>
    <row r="187" s="28" customFormat="1" x14ac:dyDescent="0.2"/>
    <row r="188" s="28" customFormat="1" x14ac:dyDescent="0.2"/>
    <row r="189" s="28" customFormat="1" x14ac:dyDescent="0.2"/>
    <row r="190" s="28" customFormat="1" x14ac:dyDescent="0.2"/>
    <row r="191" s="28" customFormat="1" x14ac:dyDescent="0.2"/>
    <row r="192" s="28" customFormat="1" x14ac:dyDescent="0.2"/>
    <row r="193" s="28" customFormat="1" x14ac:dyDescent="0.2"/>
    <row r="194" s="28" customFormat="1" x14ac:dyDescent="0.2"/>
    <row r="195" s="28" customFormat="1" x14ac:dyDescent="0.2"/>
    <row r="196" s="28" customFormat="1" x14ac:dyDescent="0.2"/>
    <row r="197" s="28" customFormat="1" x14ac:dyDescent="0.2"/>
    <row r="198" s="28" customFormat="1" x14ac:dyDescent="0.2"/>
    <row r="199" s="28" customFormat="1" x14ac:dyDescent="0.2"/>
    <row r="200" s="28" customFormat="1" x14ac:dyDescent="0.2"/>
    <row r="201" s="28" customFormat="1" x14ac:dyDescent="0.2"/>
    <row r="202" s="28" customFormat="1" x14ac:dyDescent="0.2"/>
    <row r="203" s="28" customFormat="1" x14ac:dyDescent="0.2"/>
    <row r="204" s="28" customFormat="1" x14ac:dyDescent="0.2"/>
    <row r="205" s="28" customFormat="1" x14ac:dyDescent="0.2"/>
    <row r="206" s="28" customFormat="1" x14ac:dyDescent="0.2"/>
    <row r="207" s="28" customFormat="1" x14ac:dyDescent="0.2"/>
    <row r="208" s="28" customFormat="1" x14ac:dyDescent="0.2"/>
  </sheetData>
  <mergeCells count="60">
    <mergeCell ref="A84:I84"/>
    <mergeCell ref="A85:I85"/>
    <mergeCell ref="C43:I49"/>
    <mergeCell ref="A56:B56"/>
    <mergeCell ref="A57:B57"/>
    <mergeCell ref="A59:B60"/>
    <mergeCell ref="A61:B61"/>
    <mergeCell ref="A62:B62"/>
    <mergeCell ref="A58:B58"/>
    <mergeCell ref="A63:B63"/>
    <mergeCell ref="A64:B64"/>
    <mergeCell ref="A65:B65"/>
    <mergeCell ref="A66:B66"/>
    <mergeCell ref="A67:B67"/>
    <mergeCell ref="A68:B68"/>
    <mergeCell ref="A69:B69"/>
    <mergeCell ref="A78:I78"/>
    <mergeCell ref="A80:I80"/>
    <mergeCell ref="A82:I82"/>
    <mergeCell ref="A72:I72"/>
    <mergeCell ref="A74:B74"/>
    <mergeCell ref="A75:B75"/>
    <mergeCell ref="A76:B76"/>
    <mergeCell ref="F76:G76"/>
    <mergeCell ref="A52:I52"/>
    <mergeCell ref="A54:B54"/>
    <mergeCell ref="A55:B55"/>
    <mergeCell ref="A70:B70"/>
    <mergeCell ref="F70:G70"/>
    <mergeCell ref="A40:I40"/>
    <mergeCell ref="C42:I42"/>
    <mergeCell ref="C50:I50"/>
    <mergeCell ref="A28:I28"/>
    <mergeCell ref="D30:I30"/>
    <mergeCell ref="D31:I31"/>
    <mergeCell ref="A34:I34"/>
    <mergeCell ref="C32:I32"/>
    <mergeCell ref="A3:I3"/>
    <mergeCell ref="A5:B5"/>
    <mergeCell ref="D5:I5"/>
    <mergeCell ref="A6:B6"/>
    <mergeCell ref="D6:I6"/>
    <mergeCell ref="A7:B7"/>
    <mergeCell ref="D7:I7"/>
    <mergeCell ref="A19:I19"/>
    <mergeCell ref="A8:B8"/>
    <mergeCell ref="D8:I8"/>
    <mergeCell ref="A9:B9"/>
    <mergeCell ref="D9:I9"/>
    <mergeCell ref="A11:I11"/>
    <mergeCell ref="A15:A16"/>
    <mergeCell ref="F26:I26"/>
    <mergeCell ref="D36:I36"/>
    <mergeCell ref="D37:I37"/>
    <mergeCell ref="C38:I38"/>
    <mergeCell ref="F21:I21"/>
    <mergeCell ref="F22:I22"/>
    <mergeCell ref="F23:I23"/>
    <mergeCell ref="F24:I24"/>
    <mergeCell ref="F25:I25"/>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1" enableFormatConditionsCalculation="0">
    <tabColor rgb="FF92D050"/>
  </sheetPr>
  <dimension ref="A1:X68"/>
  <sheetViews>
    <sheetView tabSelected="1" zoomScaleNormal="100" workbookViewId="0"/>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799" t="s">
        <v>76</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16932037</v>
      </c>
      <c r="F6" s="29">
        <f>SUM(F7:F9)</f>
        <v>17948277</v>
      </c>
      <c r="G6" s="29">
        <f>SUM(G7:G9)</f>
        <v>17989162</v>
      </c>
      <c r="H6" s="24">
        <f t="shared" ref="H6:H33" si="0">G6/F6*100</f>
        <v>100.22779345337717</v>
      </c>
      <c r="I6" s="29">
        <f>SUM(I7:I9)</f>
        <v>16640104</v>
      </c>
      <c r="J6" s="29">
        <f>SUM(J7:J9)</f>
        <v>4447200</v>
      </c>
      <c r="K6" s="29">
        <f t="shared" ref="K6:X6" si="1">SUM(K7:K9)</f>
        <v>5463440</v>
      </c>
      <c r="L6" s="29">
        <f t="shared" si="1"/>
        <v>5504325</v>
      </c>
      <c r="M6" s="24">
        <f t="shared" ref="M6:M33" si="2">L6/K6*100</f>
        <v>100.74833804343051</v>
      </c>
      <c r="N6" s="30">
        <f t="shared" si="1"/>
        <v>4704947</v>
      </c>
      <c r="O6" s="29">
        <f t="shared" si="1"/>
        <v>12484837</v>
      </c>
      <c r="P6" s="29">
        <f t="shared" si="1"/>
        <v>12484837</v>
      </c>
      <c r="Q6" s="29">
        <f t="shared" si="1"/>
        <v>12484837</v>
      </c>
      <c r="R6" s="24">
        <f t="shared" ref="R6:R33" si="3">Q6/P6*100</f>
        <v>100</v>
      </c>
      <c r="S6" s="29">
        <f t="shared" si="1"/>
        <v>11935157</v>
      </c>
      <c r="T6" s="29">
        <f t="shared" si="1"/>
        <v>83100</v>
      </c>
      <c r="U6" s="29">
        <f t="shared" si="1"/>
        <v>83100</v>
      </c>
      <c r="V6" s="29">
        <f t="shared" si="1"/>
        <v>14408</v>
      </c>
      <c r="W6" s="24">
        <f t="shared" ref="W6:W33" si="4">V6/U6*100</f>
        <v>17.338146811070999</v>
      </c>
      <c r="X6" s="29">
        <f t="shared" si="1"/>
        <v>86114</v>
      </c>
    </row>
    <row r="7" spans="1:24" s="6" customFormat="1" ht="9.9499999999999993" customHeight="1" x14ac:dyDescent="0.2">
      <c r="A7" s="169" t="s">
        <v>2</v>
      </c>
      <c r="B7" s="823" t="s">
        <v>44</v>
      </c>
      <c r="C7" s="824"/>
      <c r="D7" s="238" t="s">
        <v>25</v>
      </c>
      <c r="E7" s="32">
        <f t="shared" ref="E7:G10" si="5">SUM(J7,O7)</f>
        <v>1740000</v>
      </c>
      <c r="F7" s="33">
        <f t="shared" si="5"/>
        <v>1874614</v>
      </c>
      <c r="G7" s="33">
        <f t="shared" si="5"/>
        <v>1914592</v>
      </c>
      <c r="H7" s="9">
        <f t="shared" si="0"/>
        <v>102.13259903105384</v>
      </c>
      <c r="I7" s="34">
        <f>SUM(N7,S7)</f>
        <v>1897902</v>
      </c>
      <c r="J7" s="193">
        <v>1740000</v>
      </c>
      <c r="K7" s="35">
        <v>1874614</v>
      </c>
      <c r="L7" s="35">
        <v>1914592</v>
      </c>
      <c r="M7" s="9">
        <f t="shared" si="2"/>
        <v>102.13259903105384</v>
      </c>
      <c r="N7" s="36">
        <v>1897902</v>
      </c>
      <c r="O7" s="195"/>
      <c r="P7" s="35"/>
      <c r="Q7" s="35"/>
      <c r="R7" s="158" t="e">
        <f t="shared" si="3"/>
        <v>#DIV/0!</v>
      </c>
      <c r="S7" s="36"/>
      <c r="T7" s="195"/>
      <c r="U7" s="35"/>
      <c r="V7" s="35"/>
      <c r="W7" s="158" t="e">
        <f t="shared" si="4"/>
        <v>#DIV/0!</v>
      </c>
      <c r="X7" s="59"/>
    </row>
    <row r="8" spans="1:24" s="6" customFormat="1" ht="9.9499999999999993" customHeight="1" x14ac:dyDescent="0.2">
      <c r="A8" s="171" t="s">
        <v>3</v>
      </c>
      <c r="B8" s="825" t="s">
        <v>45</v>
      </c>
      <c r="C8" s="826"/>
      <c r="D8" s="172" t="s">
        <v>25</v>
      </c>
      <c r="E8" s="38">
        <f t="shared" si="5"/>
        <v>200</v>
      </c>
      <c r="F8" s="39">
        <f t="shared" si="5"/>
        <v>916</v>
      </c>
      <c r="G8" s="39">
        <f t="shared" si="5"/>
        <v>1823</v>
      </c>
      <c r="H8" s="10">
        <f t="shared" si="0"/>
        <v>199.0174672489083</v>
      </c>
      <c r="I8" s="40">
        <f>SUM(N8,S8)</f>
        <v>45</v>
      </c>
      <c r="J8" s="196">
        <v>200</v>
      </c>
      <c r="K8" s="157">
        <v>916</v>
      </c>
      <c r="L8" s="157">
        <v>1823</v>
      </c>
      <c r="M8" s="158">
        <f t="shared" si="2"/>
        <v>199.0174672489083</v>
      </c>
      <c r="N8" s="198">
        <v>45</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15191837</v>
      </c>
      <c r="F9" s="43">
        <f t="shared" si="5"/>
        <v>16072747</v>
      </c>
      <c r="G9" s="43">
        <f t="shared" si="5"/>
        <v>16072747</v>
      </c>
      <c r="H9" s="26">
        <f t="shared" si="0"/>
        <v>100</v>
      </c>
      <c r="I9" s="44">
        <f>SUM(N9,S9)</f>
        <v>14742157</v>
      </c>
      <c r="J9" s="199">
        <v>2707000</v>
      </c>
      <c r="K9" s="203">
        <v>3587910</v>
      </c>
      <c r="L9" s="203">
        <v>3587910</v>
      </c>
      <c r="M9" s="201">
        <f t="shared" si="2"/>
        <v>100</v>
      </c>
      <c r="N9" s="202">
        <v>2807000</v>
      </c>
      <c r="O9" s="160">
        <v>12484837</v>
      </c>
      <c r="P9" s="203">
        <v>12484837</v>
      </c>
      <c r="Q9" s="203">
        <v>12484837</v>
      </c>
      <c r="R9" s="158">
        <f t="shared" si="3"/>
        <v>100</v>
      </c>
      <c r="S9" s="202">
        <v>11935157</v>
      </c>
      <c r="T9" s="160">
        <v>83100</v>
      </c>
      <c r="U9" s="203">
        <v>83100</v>
      </c>
      <c r="V9" s="203">
        <v>14408</v>
      </c>
      <c r="W9" s="158">
        <f t="shared" si="4"/>
        <v>17.338146811070999</v>
      </c>
      <c r="X9" s="161">
        <v>86114</v>
      </c>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16932037</v>
      </c>
      <c r="F11" s="29">
        <f>SUM(F12:F31)</f>
        <v>17948277</v>
      </c>
      <c r="G11" s="29">
        <f>SUM(G12:G31)</f>
        <v>17869573</v>
      </c>
      <c r="H11" s="24">
        <f t="shared" si="0"/>
        <v>99.561495512911918</v>
      </c>
      <c r="I11" s="30">
        <f>SUM(I12:I31)</f>
        <v>16601633</v>
      </c>
      <c r="J11" s="29">
        <f>SUM(J12:J31)</f>
        <v>4447200</v>
      </c>
      <c r="K11" s="29">
        <f>SUM(K12:K31)</f>
        <v>5463440</v>
      </c>
      <c r="L11" s="29">
        <f>SUM(L12:L31)</f>
        <v>5384736</v>
      </c>
      <c r="M11" s="24">
        <f t="shared" si="2"/>
        <v>98.559442402588843</v>
      </c>
      <c r="N11" s="30">
        <f>SUM(N12:N31)</f>
        <v>4666476</v>
      </c>
      <c r="O11" s="29">
        <f>SUM(O12:O31)</f>
        <v>12484837</v>
      </c>
      <c r="P11" s="29">
        <f>SUM(P12:P31)</f>
        <v>12484837</v>
      </c>
      <c r="Q11" s="29">
        <f>SUM(Q12:Q31)</f>
        <v>12484837</v>
      </c>
      <c r="R11" s="24">
        <f t="shared" si="3"/>
        <v>100</v>
      </c>
      <c r="S11" s="30">
        <f>SUM(S12:S31)</f>
        <v>11935157</v>
      </c>
      <c r="T11" s="29">
        <f>SUM(T12:T31)</f>
        <v>10000</v>
      </c>
      <c r="U11" s="29">
        <f>SUM(U12:U31)</f>
        <v>10000</v>
      </c>
      <c r="V11" s="29">
        <f>SUM(V12:V31)</f>
        <v>2678</v>
      </c>
      <c r="W11" s="24">
        <f t="shared" si="4"/>
        <v>26.779999999999998</v>
      </c>
      <c r="X11" s="29">
        <f>SUM(X12:X31)</f>
        <v>8885</v>
      </c>
    </row>
    <row r="12" spans="1:24" s="6" customFormat="1" ht="9.9499999999999993" customHeight="1" x14ac:dyDescent="0.2">
      <c r="A12" s="178" t="s">
        <v>8</v>
      </c>
      <c r="B12" s="827" t="s">
        <v>28</v>
      </c>
      <c r="C12" s="828"/>
      <c r="D12" s="238" t="s">
        <v>25</v>
      </c>
      <c r="E12" s="32">
        <f t="shared" ref="E12:I29" si="6">SUM(J12,O12)</f>
        <v>1450957</v>
      </c>
      <c r="F12" s="33">
        <f t="shared" si="6"/>
        <v>2075957</v>
      </c>
      <c r="G12" s="33">
        <f t="shared" si="6"/>
        <v>2071822</v>
      </c>
      <c r="H12" s="9">
        <f t="shared" si="0"/>
        <v>99.800814756760374</v>
      </c>
      <c r="I12" s="34">
        <f t="shared" si="6"/>
        <v>1716008</v>
      </c>
      <c r="J12" s="204">
        <v>1395000</v>
      </c>
      <c r="K12" s="47">
        <v>2020000</v>
      </c>
      <c r="L12" s="47">
        <v>2015865</v>
      </c>
      <c r="M12" s="158">
        <f t="shared" si="2"/>
        <v>99.795297029702965</v>
      </c>
      <c r="N12" s="48">
        <v>1636738</v>
      </c>
      <c r="O12" s="206">
        <v>55957</v>
      </c>
      <c r="P12" s="47">
        <v>55957</v>
      </c>
      <c r="Q12" s="47">
        <v>55957</v>
      </c>
      <c r="R12" s="158">
        <f t="shared" si="3"/>
        <v>100</v>
      </c>
      <c r="S12" s="50">
        <v>79270</v>
      </c>
      <c r="T12" s="206"/>
      <c r="U12" s="47"/>
      <c r="V12" s="47"/>
      <c r="W12" s="158" t="e">
        <f t="shared" si="4"/>
        <v>#DIV/0!</v>
      </c>
      <c r="X12" s="51"/>
    </row>
    <row r="13" spans="1:24" s="6" customFormat="1" ht="9.9499999999999993" customHeight="1" x14ac:dyDescent="0.2">
      <c r="A13" s="180" t="s">
        <v>10</v>
      </c>
      <c r="B13" s="820" t="s">
        <v>29</v>
      </c>
      <c r="C13" s="821"/>
      <c r="D13" s="172" t="s">
        <v>25</v>
      </c>
      <c r="E13" s="38">
        <f t="shared" si="6"/>
        <v>1700000</v>
      </c>
      <c r="F13" s="39">
        <f t="shared" si="6"/>
        <v>1460000</v>
      </c>
      <c r="G13" s="39">
        <f t="shared" si="6"/>
        <v>1431263</v>
      </c>
      <c r="H13" s="10">
        <f t="shared" si="0"/>
        <v>98.031712328767128</v>
      </c>
      <c r="I13" s="40">
        <f t="shared" si="6"/>
        <v>1488844</v>
      </c>
      <c r="J13" s="208">
        <v>1700000</v>
      </c>
      <c r="K13" s="157">
        <v>1460000</v>
      </c>
      <c r="L13" s="157">
        <v>1431263</v>
      </c>
      <c r="M13" s="158">
        <f t="shared" si="2"/>
        <v>98.031712328767128</v>
      </c>
      <c r="N13" s="198">
        <v>1488844</v>
      </c>
      <c r="O13" s="156"/>
      <c r="P13" s="157"/>
      <c r="Q13" s="157"/>
      <c r="R13" s="158" t="e">
        <f t="shared" si="3"/>
        <v>#DIV/0!</v>
      </c>
      <c r="S13" s="198"/>
      <c r="T13" s="156"/>
      <c r="U13" s="157"/>
      <c r="V13" s="157">
        <v>30</v>
      </c>
      <c r="W13" s="158" t="e">
        <f t="shared" si="4"/>
        <v>#DIV/0!</v>
      </c>
      <c r="X13" s="159">
        <v>3014</v>
      </c>
    </row>
    <row r="14" spans="1:24" s="6" customFormat="1" ht="9.9499999999999993" customHeight="1" x14ac:dyDescent="0.2">
      <c r="A14" s="180" t="s">
        <v>11</v>
      </c>
      <c r="B14" s="255" t="s">
        <v>60</v>
      </c>
      <c r="C14" s="256"/>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440000</v>
      </c>
      <c r="F15" s="39">
        <f t="shared" si="6"/>
        <v>440000</v>
      </c>
      <c r="G15" s="39">
        <f t="shared" si="6"/>
        <v>431035</v>
      </c>
      <c r="H15" s="10">
        <f t="shared" si="0"/>
        <v>97.962499999999991</v>
      </c>
      <c r="I15" s="40">
        <f t="shared" si="6"/>
        <v>533546</v>
      </c>
      <c r="J15" s="208">
        <v>440000</v>
      </c>
      <c r="K15" s="157">
        <v>440000</v>
      </c>
      <c r="L15" s="157">
        <v>431035</v>
      </c>
      <c r="M15" s="158">
        <f t="shared" si="2"/>
        <v>97.962499999999991</v>
      </c>
      <c r="N15" s="198">
        <v>533546</v>
      </c>
      <c r="O15" s="156"/>
      <c r="P15" s="157"/>
      <c r="Q15" s="157"/>
      <c r="R15" s="158" t="e">
        <f t="shared" si="3"/>
        <v>#DIV/0!</v>
      </c>
      <c r="S15" s="198"/>
      <c r="T15" s="156">
        <v>5000</v>
      </c>
      <c r="U15" s="157">
        <v>5000</v>
      </c>
      <c r="V15" s="157">
        <v>700</v>
      </c>
      <c r="W15" s="158">
        <f t="shared" si="4"/>
        <v>14.000000000000002</v>
      </c>
      <c r="X15" s="159">
        <v>4709</v>
      </c>
    </row>
    <row r="16" spans="1:24" s="6" customFormat="1" ht="9.9499999999999993" customHeight="1" x14ac:dyDescent="0.2">
      <c r="A16" s="180" t="s">
        <v>13</v>
      </c>
      <c r="B16" s="820" t="s">
        <v>30</v>
      </c>
      <c r="C16" s="821"/>
      <c r="D16" s="172" t="s">
        <v>25</v>
      </c>
      <c r="E16" s="38">
        <f t="shared" si="6"/>
        <v>3000</v>
      </c>
      <c r="F16" s="39">
        <f t="shared" si="6"/>
        <v>0</v>
      </c>
      <c r="G16" s="39">
        <f t="shared" si="6"/>
        <v>0</v>
      </c>
      <c r="H16" s="10" t="e">
        <f t="shared" si="0"/>
        <v>#DIV/0!</v>
      </c>
      <c r="I16" s="40">
        <f t="shared" si="6"/>
        <v>866</v>
      </c>
      <c r="J16" s="208">
        <v>3000</v>
      </c>
      <c r="K16" s="157"/>
      <c r="L16" s="157"/>
      <c r="M16" s="158" t="e">
        <f t="shared" si="2"/>
        <v>#DIV/0!</v>
      </c>
      <c r="N16" s="198">
        <v>866</v>
      </c>
      <c r="O16" s="156"/>
      <c r="P16" s="157"/>
      <c r="Q16" s="157"/>
      <c r="R16" s="158" t="e">
        <f t="shared" si="3"/>
        <v>#DIV/0!</v>
      </c>
      <c r="S16" s="198"/>
      <c r="T16" s="156"/>
      <c r="U16" s="157"/>
      <c r="V16" s="157"/>
      <c r="W16" s="158" t="e">
        <f t="shared" si="4"/>
        <v>#DIV/0!</v>
      </c>
      <c r="X16" s="159"/>
    </row>
    <row r="17" spans="1:24" s="6" customFormat="1" ht="9.9499999999999993" customHeight="1" x14ac:dyDescent="0.2">
      <c r="A17" s="180" t="s">
        <v>14</v>
      </c>
      <c r="B17" s="255" t="s">
        <v>46</v>
      </c>
      <c r="C17" s="256"/>
      <c r="D17" s="172" t="s">
        <v>25</v>
      </c>
      <c r="E17" s="38">
        <f t="shared" si="6"/>
        <v>0</v>
      </c>
      <c r="F17" s="39">
        <f t="shared" si="6"/>
        <v>0</v>
      </c>
      <c r="G17" s="39">
        <f t="shared" si="6"/>
        <v>0</v>
      </c>
      <c r="H17" s="10" t="e">
        <f t="shared" si="0"/>
        <v>#DIV/0!</v>
      </c>
      <c r="I17" s="40">
        <f t="shared" si="6"/>
        <v>0</v>
      </c>
      <c r="J17" s="208"/>
      <c r="K17" s="157"/>
      <c r="L17" s="157"/>
      <c r="M17" s="158" t="e">
        <f t="shared" si="2"/>
        <v>#DIV/0!</v>
      </c>
      <c r="N17" s="198"/>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490000</v>
      </c>
      <c r="F18" s="39">
        <f t="shared" si="6"/>
        <v>490000</v>
      </c>
      <c r="G18" s="39">
        <f t="shared" si="6"/>
        <v>485368</v>
      </c>
      <c r="H18" s="10">
        <f t="shared" si="0"/>
        <v>99.054693877551031</v>
      </c>
      <c r="I18" s="40">
        <f t="shared" si="6"/>
        <v>442201</v>
      </c>
      <c r="J18" s="208">
        <v>490000</v>
      </c>
      <c r="K18" s="157">
        <v>490000</v>
      </c>
      <c r="L18" s="157">
        <v>485368</v>
      </c>
      <c r="M18" s="158">
        <f t="shared" si="2"/>
        <v>99.054693877551031</v>
      </c>
      <c r="N18" s="198">
        <v>442201</v>
      </c>
      <c r="O18" s="156"/>
      <c r="P18" s="157"/>
      <c r="Q18" s="157"/>
      <c r="R18" s="158" t="e">
        <f t="shared" si="3"/>
        <v>#DIV/0!</v>
      </c>
      <c r="S18" s="198"/>
      <c r="T18" s="156">
        <v>5000</v>
      </c>
      <c r="U18" s="157">
        <v>5000</v>
      </c>
      <c r="V18" s="157">
        <v>1948</v>
      </c>
      <c r="W18" s="261">
        <f t="shared" si="4"/>
        <v>38.96</v>
      </c>
      <c r="X18" s="159">
        <v>1162</v>
      </c>
    </row>
    <row r="19" spans="1:24" s="11" customFormat="1" ht="9.9499999999999993" customHeight="1" x14ac:dyDescent="0.2">
      <c r="A19" s="180" t="s">
        <v>16</v>
      </c>
      <c r="B19" s="820" t="s">
        <v>32</v>
      </c>
      <c r="C19" s="821"/>
      <c r="D19" s="172" t="s">
        <v>25</v>
      </c>
      <c r="E19" s="38">
        <f t="shared" si="6"/>
        <v>9234948</v>
      </c>
      <c r="F19" s="39">
        <f t="shared" si="6"/>
        <v>9244858</v>
      </c>
      <c r="G19" s="39">
        <f t="shared" si="6"/>
        <v>9244858</v>
      </c>
      <c r="H19" s="10">
        <f t="shared" si="0"/>
        <v>100</v>
      </c>
      <c r="I19" s="40">
        <f t="shared" si="6"/>
        <v>8863174</v>
      </c>
      <c r="J19" s="209">
        <v>61500</v>
      </c>
      <c r="K19" s="157">
        <v>71410</v>
      </c>
      <c r="L19" s="157">
        <v>71410</v>
      </c>
      <c r="M19" s="158">
        <f t="shared" si="2"/>
        <v>100</v>
      </c>
      <c r="N19" s="198">
        <v>108122</v>
      </c>
      <c r="O19" s="156">
        <v>9173448</v>
      </c>
      <c r="P19" s="157">
        <v>9173448</v>
      </c>
      <c r="Q19" s="157">
        <v>9173448</v>
      </c>
      <c r="R19" s="158">
        <f t="shared" si="3"/>
        <v>100</v>
      </c>
      <c r="S19" s="198">
        <v>8755052</v>
      </c>
      <c r="T19" s="156"/>
      <c r="U19" s="157"/>
      <c r="V19" s="157"/>
      <c r="W19" s="261" t="e">
        <f t="shared" si="4"/>
        <v>#DIV/0!</v>
      </c>
      <c r="X19" s="159"/>
    </row>
    <row r="20" spans="1:24" s="6" customFormat="1" ht="9.9499999999999993" customHeight="1" x14ac:dyDescent="0.2">
      <c r="A20" s="180" t="s">
        <v>17</v>
      </c>
      <c r="B20" s="820" t="s">
        <v>47</v>
      </c>
      <c r="C20" s="821"/>
      <c r="D20" s="172" t="s">
        <v>25</v>
      </c>
      <c r="E20" s="38">
        <f t="shared" si="6"/>
        <v>3167860</v>
      </c>
      <c r="F20" s="39">
        <f t="shared" si="6"/>
        <v>3168280</v>
      </c>
      <c r="G20" s="39">
        <f t="shared" si="6"/>
        <v>3168276</v>
      </c>
      <c r="H20" s="10">
        <f t="shared" si="0"/>
        <v>99.999873748532337</v>
      </c>
      <c r="I20" s="40">
        <f t="shared" si="6"/>
        <v>3040510</v>
      </c>
      <c r="J20" s="208">
        <v>17500</v>
      </c>
      <c r="K20" s="157">
        <v>17920</v>
      </c>
      <c r="L20" s="157">
        <v>17916</v>
      </c>
      <c r="M20" s="158">
        <f t="shared" si="2"/>
        <v>99.977678571428569</v>
      </c>
      <c r="N20" s="198">
        <v>33470</v>
      </c>
      <c r="O20" s="156">
        <v>3150360</v>
      </c>
      <c r="P20" s="157">
        <v>3150360</v>
      </c>
      <c r="Q20" s="157">
        <v>3150360</v>
      </c>
      <c r="R20" s="158">
        <f t="shared" si="3"/>
        <v>100</v>
      </c>
      <c r="S20" s="198">
        <v>3007040</v>
      </c>
      <c r="T20" s="156"/>
      <c r="U20" s="157"/>
      <c r="V20" s="157"/>
      <c r="W20" s="261" t="e">
        <f t="shared" si="4"/>
        <v>#DIV/0!</v>
      </c>
      <c r="X20" s="159"/>
    </row>
    <row r="21" spans="1:24" s="6" customFormat="1" ht="9.9499999999999993" customHeight="1" x14ac:dyDescent="0.2">
      <c r="A21" s="180" t="s">
        <v>18</v>
      </c>
      <c r="B21" s="820" t="s">
        <v>48</v>
      </c>
      <c r="C21" s="821"/>
      <c r="D21" s="172" t="s">
        <v>25</v>
      </c>
      <c r="E21" s="38">
        <f t="shared" si="6"/>
        <v>120072</v>
      </c>
      <c r="F21" s="39">
        <f t="shared" si="6"/>
        <v>120072</v>
      </c>
      <c r="G21" s="39">
        <f t="shared" si="6"/>
        <v>119561</v>
      </c>
      <c r="H21" s="10">
        <f t="shared" si="0"/>
        <v>99.574422013458602</v>
      </c>
      <c r="I21" s="40">
        <f t="shared" si="6"/>
        <v>108451</v>
      </c>
      <c r="J21" s="208">
        <v>15000</v>
      </c>
      <c r="K21" s="157">
        <v>15000</v>
      </c>
      <c r="L21" s="157">
        <v>14489</v>
      </c>
      <c r="M21" s="158">
        <f t="shared" si="2"/>
        <v>96.593333333333334</v>
      </c>
      <c r="N21" s="198">
        <v>14656</v>
      </c>
      <c r="O21" s="156">
        <v>105072</v>
      </c>
      <c r="P21" s="157">
        <v>105072</v>
      </c>
      <c r="Q21" s="157">
        <v>105072</v>
      </c>
      <c r="R21" s="158">
        <f t="shared" si="3"/>
        <v>100</v>
      </c>
      <c r="S21" s="198">
        <v>93795</v>
      </c>
      <c r="T21" s="156"/>
      <c r="U21" s="157"/>
      <c r="V21" s="157"/>
      <c r="W21" s="261" t="e">
        <f t="shared" si="4"/>
        <v>#DIV/0!</v>
      </c>
      <c r="X21" s="159"/>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261" t="e">
        <f t="shared" si="4"/>
        <v>#DIV/0!</v>
      </c>
      <c r="X22" s="159"/>
    </row>
    <row r="23" spans="1:24" s="6" customFormat="1" ht="9.9499999999999993" customHeight="1" x14ac:dyDescent="0.2">
      <c r="A23" s="671" t="s">
        <v>20</v>
      </c>
      <c r="B23" s="677" t="s">
        <v>172</v>
      </c>
      <c r="C23" s="678"/>
      <c r="D23" s="672" t="s">
        <v>25</v>
      </c>
      <c r="E23" s="673">
        <f t="shared" si="6"/>
        <v>0</v>
      </c>
      <c r="F23" s="674">
        <f t="shared" si="6"/>
        <v>0</v>
      </c>
      <c r="G23" s="674">
        <f t="shared" si="6"/>
        <v>0</v>
      </c>
      <c r="H23" s="675" t="e">
        <f t="shared" si="0"/>
        <v>#DIV/0!</v>
      </c>
      <c r="I23" s="676">
        <f t="shared" si="6"/>
        <v>859</v>
      </c>
      <c r="J23" s="208"/>
      <c r="K23" s="157"/>
      <c r="L23" s="157"/>
      <c r="M23" s="158" t="e">
        <f t="shared" si="2"/>
        <v>#DIV/0!</v>
      </c>
      <c r="N23" s="198">
        <v>859</v>
      </c>
      <c r="O23" s="156"/>
      <c r="P23" s="157"/>
      <c r="Q23" s="157"/>
      <c r="R23" s="158" t="e">
        <f t="shared" si="3"/>
        <v>#DIV/0!</v>
      </c>
      <c r="S23" s="198"/>
      <c r="T23" s="156"/>
      <c r="U23" s="157"/>
      <c r="V23" s="157"/>
      <c r="W23" s="261"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0</v>
      </c>
      <c r="J24" s="208"/>
      <c r="K24" s="157"/>
      <c r="L24" s="157"/>
      <c r="M24" s="158" t="e">
        <f t="shared" si="2"/>
        <v>#DIV/0!</v>
      </c>
      <c r="N24" s="198"/>
      <c r="O24" s="156"/>
      <c r="P24" s="157"/>
      <c r="Q24" s="157"/>
      <c r="R24" s="158" t="e">
        <f t="shared" si="3"/>
        <v>#DIV/0!</v>
      </c>
      <c r="S24" s="198"/>
      <c r="T24" s="156"/>
      <c r="U24" s="157"/>
      <c r="V24" s="157"/>
      <c r="W24" s="261"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0</v>
      </c>
      <c r="J25" s="208"/>
      <c r="K25" s="213"/>
      <c r="L25" s="213"/>
      <c r="M25" s="158" t="e">
        <f t="shared" si="2"/>
        <v>#DIV/0!</v>
      </c>
      <c r="N25" s="214"/>
      <c r="O25" s="215"/>
      <c r="P25" s="213"/>
      <c r="Q25" s="213"/>
      <c r="R25" s="158" t="e">
        <f t="shared" si="3"/>
        <v>#DIV/0!</v>
      </c>
      <c r="S25" s="216"/>
      <c r="T25" s="218"/>
      <c r="U25" s="197"/>
      <c r="V25" s="197"/>
      <c r="W25" s="261" t="e">
        <f t="shared" si="4"/>
        <v>#DIV/0!</v>
      </c>
      <c r="X25" s="219"/>
    </row>
    <row r="26" spans="1:24" s="6" customFormat="1" ht="9.9499999999999993" customHeight="1" x14ac:dyDescent="0.2">
      <c r="A26" s="671" t="s">
        <v>23</v>
      </c>
      <c r="B26" s="839" t="s">
        <v>63</v>
      </c>
      <c r="C26" s="840"/>
      <c r="D26" s="672" t="s">
        <v>25</v>
      </c>
      <c r="E26" s="673">
        <f t="shared" si="6"/>
        <v>90322</v>
      </c>
      <c r="F26" s="674">
        <f t="shared" si="6"/>
        <v>490168</v>
      </c>
      <c r="G26" s="674">
        <f t="shared" si="6"/>
        <v>489547</v>
      </c>
      <c r="H26" s="675">
        <f t="shared" si="0"/>
        <v>99.873308743124809</v>
      </c>
      <c r="I26" s="676">
        <f t="shared" si="6"/>
        <v>87446</v>
      </c>
      <c r="J26" s="208">
        <v>90322</v>
      </c>
      <c r="K26" s="197">
        <v>490168</v>
      </c>
      <c r="L26" s="197">
        <v>489547</v>
      </c>
      <c r="M26" s="158">
        <f t="shared" si="2"/>
        <v>99.873308743124809</v>
      </c>
      <c r="N26" s="198">
        <v>87446</v>
      </c>
      <c r="O26" s="218"/>
      <c r="P26" s="197"/>
      <c r="Q26" s="197"/>
      <c r="R26" s="158" t="e">
        <f t="shared" si="3"/>
        <v>#DIV/0!</v>
      </c>
      <c r="S26" s="214"/>
      <c r="T26" s="218"/>
      <c r="U26" s="197"/>
      <c r="V26" s="197"/>
      <c r="W26" s="261" t="e">
        <f t="shared" si="4"/>
        <v>#DIV/0!</v>
      </c>
      <c r="X26" s="219"/>
    </row>
    <row r="27" spans="1:24" s="13" customFormat="1" ht="9.9499999999999993" customHeight="1" x14ac:dyDescent="0.2">
      <c r="A27" s="180" t="s">
        <v>43</v>
      </c>
      <c r="B27" s="255" t="s">
        <v>64</v>
      </c>
      <c r="C27" s="256"/>
      <c r="D27" s="172" t="s">
        <v>25</v>
      </c>
      <c r="E27" s="38">
        <f t="shared" si="6"/>
        <v>0</v>
      </c>
      <c r="F27" s="39">
        <f t="shared" si="6"/>
        <v>0</v>
      </c>
      <c r="G27" s="39">
        <f t="shared" si="6"/>
        <v>0</v>
      </c>
      <c r="H27" s="14" t="e">
        <f t="shared" si="0"/>
        <v>#DIV/0!</v>
      </c>
      <c r="I27" s="40">
        <f t="shared" si="6"/>
        <v>0</v>
      </c>
      <c r="J27" s="208"/>
      <c r="K27" s="197"/>
      <c r="L27" s="197"/>
      <c r="M27" s="158" t="e">
        <f t="shared" si="2"/>
        <v>#DIV/0!</v>
      </c>
      <c r="N27" s="214"/>
      <c r="O27" s="218"/>
      <c r="P27" s="197"/>
      <c r="Q27" s="197"/>
      <c r="R27" s="158" t="e">
        <f t="shared" si="3"/>
        <v>#DIV/0!</v>
      </c>
      <c r="S27" s="214"/>
      <c r="T27" s="218"/>
      <c r="U27" s="197"/>
      <c r="V27" s="197"/>
      <c r="W27" s="261" t="e">
        <f t="shared" si="4"/>
        <v>#DIV/0!</v>
      </c>
      <c r="X27" s="219"/>
    </row>
    <row r="28" spans="1:24" s="13" customFormat="1" ht="9.9499999999999993" customHeight="1" x14ac:dyDescent="0.2">
      <c r="A28" s="180" t="s">
        <v>49</v>
      </c>
      <c r="B28" s="255" t="s">
        <v>92</v>
      </c>
      <c r="C28" s="256"/>
      <c r="D28" s="172" t="s">
        <v>25</v>
      </c>
      <c r="E28" s="38">
        <f>SUM(J28,O28)</f>
        <v>200000</v>
      </c>
      <c r="F28" s="39">
        <f>SUM(K28,P28)</f>
        <v>428000</v>
      </c>
      <c r="G28" s="39">
        <f>SUM(L28,Q28)</f>
        <v>427452</v>
      </c>
      <c r="H28" s="14">
        <f>G28/F28*100</f>
        <v>99.871962616822429</v>
      </c>
      <c r="I28" s="40">
        <f>SUM(N28,S28)</f>
        <v>319728</v>
      </c>
      <c r="J28" s="208">
        <v>200000</v>
      </c>
      <c r="K28" s="197">
        <v>428000</v>
      </c>
      <c r="L28" s="197">
        <v>427452</v>
      </c>
      <c r="M28" s="158">
        <f t="shared" si="2"/>
        <v>99.871962616822429</v>
      </c>
      <c r="N28" s="214">
        <v>319728</v>
      </c>
      <c r="O28" s="218"/>
      <c r="P28" s="197"/>
      <c r="Q28" s="197"/>
      <c r="R28" s="158" t="e">
        <f t="shared" si="3"/>
        <v>#DIV/0!</v>
      </c>
      <c r="S28" s="214"/>
      <c r="T28" s="218"/>
      <c r="U28" s="197"/>
      <c r="V28" s="197"/>
      <c r="W28" s="261" t="e">
        <f t="shared" si="4"/>
        <v>#DIV/0!</v>
      </c>
      <c r="X28" s="219"/>
    </row>
    <row r="29" spans="1:24" s="15" customFormat="1" ht="9.9499999999999993" customHeight="1" x14ac:dyDescent="0.2">
      <c r="A29" s="180" t="s">
        <v>50</v>
      </c>
      <c r="B29" s="820" t="s">
        <v>65</v>
      </c>
      <c r="C29" s="821"/>
      <c r="D29" s="172" t="s">
        <v>25</v>
      </c>
      <c r="E29" s="38">
        <f t="shared" si="6"/>
        <v>34878</v>
      </c>
      <c r="F29" s="39">
        <f t="shared" si="6"/>
        <v>30942</v>
      </c>
      <c r="G29" s="39">
        <f t="shared" si="6"/>
        <v>391</v>
      </c>
      <c r="H29" s="14">
        <f t="shared" si="0"/>
        <v>1.263654579535906</v>
      </c>
      <c r="I29" s="40">
        <f t="shared" si="6"/>
        <v>0</v>
      </c>
      <c r="J29" s="208">
        <v>34878</v>
      </c>
      <c r="K29" s="197">
        <v>30942</v>
      </c>
      <c r="L29" s="197">
        <v>391</v>
      </c>
      <c r="M29" s="158">
        <f t="shared" si="2"/>
        <v>1.263654579535906</v>
      </c>
      <c r="N29" s="214"/>
      <c r="O29" s="218"/>
      <c r="P29" s="197"/>
      <c r="Q29" s="197"/>
      <c r="R29" s="158" t="e">
        <f t="shared" si="3"/>
        <v>#DIV/0!</v>
      </c>
      <c r="S29" s="214"/>
      <c r="T29" s="218"/>
      <c r="U29" s="197"/>
      <c r="V29" s="197"/>
      <c r="W29" s="261" t="e">
        <f t="shared" si="4"/>
        <v>#DIV/0!</v>
      </c>
      <c r="X29" s="219"/>
    </row>
    <row r="30" spans="1:24" s="6" customFormat="1" ht="9.75" x14ac:dyDescent="0.2">
      <c r="A30" s="180" t="s">
        <v>52</v>
      </c>
      <c r="B30" s="255" t="s">
        <v>51</v>
      </c>
      <c r="C30" s="256"/>
      <c r="D30" s="172" t="s">
        <v>25</v>
      </c>
      <c r="E30" s="38">
        <f t="shared" ref="E30:G31" si="7">SUM(J30,O30)</f>
        <v>0</v>
      </c>
      <c r="F30" s="39">
        <f t="shared" si="7"/>
        <v>0</v>
      </c>
      <c r="G30" s="39">
        <f t="shared" si="7"/>
        <v>0</v>
      </c>
      <c r="H30" s="14" t="e">
        <f t="shared" si="0"/>
        <v>#DIV/0!</v>
      </c>
      <c r="I30" s="40">
        <f>SUM(N30,S30)</f>
        <v>0</v>
      </c>
      <c r="J30" s="208"/>
      <c r="K30" s="197"/>
      <c r="L30" s="197"/>
      <c r="M30" s="158" t="e">
        <f t="shared" si="2"/>
        <v>#DIV/0!</v>
      </c>
      <c r="N30" s="214"/>
      <c r="O30" s="218"/>
      <c r="P30" s="197"/>
      <c r="Q30" s="197"/>
      <c r="R30" s="158" t="e">
        <f t="shared" si="3"/>
        <v>#DIV/0!</v>
      </c>
      <c r="S30" s="214"/>
      <c r="T30" s="218"/>
      <c r="U30" s="197"/>
      <c r="V30" s="197"/>
      <c r="W30" s="261" t="e">
        <f t="shared" si="4"/>
        <v>#DIV/0!</v>
      </c>
      <c r="X30" s="219"/>
    </row>
    <row r="31" spans="1:24" s="23" customFormat="1" ht="9.75" x14ac:dyDescent="0.2">
      <c r="A31" s="180" t="s">
        <v>53</v>
      </c>
      <c r="B31" s="255" t="s">
        <v>66</v>
      </c>
      <c r="C31" s="256"/>
      <c r="D31" s="172" t="s">
        <v>25</v>
      </c>
      <c r="E31" s="38">
        <f t="shared" si="7"/>
        <v>0</v>
      </c>
      <c r="F31" s="39">
        <f t="shared" si="7"/>
        <v>0</v>
      </c>
      <c r="G31" s="39">
        <f t="shared" si="7"/>
        <v>0</v>
      </c>
      <c r="H31" s="14" t="e">
        <f t="shared" si="0"/>
        <v>#DIV/0!</v>
      </c>
      <c r="I31" s="40">
        <f>SUM(N31,S31)</f>
        <v>0</v>
      </c>
      <c r="J31" s="208"/>
      <c r="K31" s="224"/>
      <c r="L31" s="224"/>
      <c r="M31" s="158" t="e">
        <f t="shared" si="2"/>
        <v>#DIV/0!</v>
      </c>
      <c r="N31" s="225"/>
      <c r="O31" s="226"/>
      <c r="P31" s="224"/>
      <c r="Q31" s="224"/>
      <c r="R31" s="158" t="e">
        <f t="shared" si="3"/>
        <v>#DIV/0!</v>
      </c>
      <c r="S31" s="225"/>
      <c r="T31" s="226"/>
      <c r="U31" s="224"/>
      <c r="V31" s="224"/>
      <c r="W31" s="261" t="e">
        <f t="shared" si="4"/>
        <v>#DIV/0!</v>
      </c>
      <c r="X31" s="265"/>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158" t="e">
        <f t="shared" si="2"/>
        <v>#DIV/0!</v>
      </c>
      <c r="N32" s="231"/>
      <c r="O32" s="221"/>
      <c r="P32" s="222"/>
      <c r="Q32" s="222"/>
      <c r="R32" s="158" t="e">
        <f t="shared" si="3"/>
        <v>#DIV/0!</v>
      </c>
      <c r="S32" s="231"/>
      <c r="T32" s="260"/>
      <c r="U32" s="259"/>
      <c r="V32" s="259"/>
      <c r="W32" s="261" t="e">
        <f t="shared" si="4"/>
        <v>#DIV/0!</v>
      </c>
      <c r="X32" s="263"/>
    </row>
    <row r="33" spans="1:24" s="23" customFormat="1" ht="9.75" x14ac:dyDescent="0.2">
      <c r="A33" s="168" t="s">
        <v>55</v>
      </c>
      <c r="B33" s="21" t="s">
        <v>174</v>
      </c>
      <c r="C33" s="22"/>
      <c r="D33" s="20" t="s">
        <v>25</v>
      </c>
      <c r="E33" s="29">
        <f>E6-E11</f>
        <v>0</v>
      </c>
      <c r="F33" s="29">
        <f>F6-F11</f>
        <v>0</v>
      </c>
      <c r="G33" s="29">
        <f>G6-G11</f>
        <v>119589</v>
      </c>
      <c r="H33" s="25" t="e">
        <f t="shared" si="0"/>
        <v>#DIV/0!</v>
      </c>
      <c r="I33" s="29">
        <f>I6-I11</f>
        <v>38471</v>
      </c>
      <c r="J33" s="29">
        <f t="shared" ref="J33:L33" si="8">J6-J11</f>
        <v>0</v>
      </c>
      <c r="K33" s="29">
        <f t="shared" si="8"/>
        <v>0</v>
      </c>
      <c r="L33" s="29">
        <f t="shared" si="8"/>
        <v>119589</v>
      </c>
      <c r="M33" s="24" t="e">
        <f t="shared" si="2"/>
        <v>#DIV/0!</v>
      </c>
      <c r="N33" s="29">
        <f t="shared" ref="N33:Q33" si="9">N6-N11</f>
        <v>38471</v>
      </c>
      <c r="O33" s="29">
        <f t="shared" si="9"/>
        <v>0</v>
      </c>
      <c r="P33" s="29">
        <f t="shared" si="9"/>
        <v>0</v>
      </c>
      <c r="Q33" s="29">
        <f t="shared" si="9"/>
        <v>0</v>
      </c>
      <c r="R33" s="24" t="e">
        <f t="shared" si="3"/>
        <v>#DIV/0!</v>
      </c>
      <c r="S33" s="29">
        <f t="shared" ref="S33:V33" si="10">S6-S11</f>
        <v>0</v>
      </c>
      <c r="T33" s="31">
        <f t="shared" si="10"/>
        <v>73100</v>
      </c>
      <c r="U33" s="31">
        <f t="shared" si="10"/>
        <v>73100</v>
      </c>
      <c r="V33" s="31">
        <f t="shared" si="10"/>
        <v>11730</v>
      </c>
      <c r="W33" s="264">
        <f t="shared" si="4"/>
        <v>16.046511627906977</v>
      </c>
      <c r="X33" s="31">
        <f>X6-X11</f>
        <v>77229</v>
      </c>
    </row>
    <row r="34" spans="1:24" ht="9" x14ac:dyDescent="0.2">
      <c r="A34" s="187" t="s">
        <v>56</v>
      </c>
      <c r="B34" s="841" t="s">
        <v>24</v>
      </c>
      <c r="C34" s="842"/>
      <c r="D34" s="188" t="s">
        <v>25</v>
      </c>
      <c r="E34" s="77">
        <v>18777</v>
      </c>
      <c r="F34" s="78">
        <v>18361</v>
      </c>
      <c r="G34" s="78">
        <v>19048</v>
      </c>
      <c r="H34" s="12">
        <v>103.74</v>
      </c>
      <c r="I34" s="79">
        <v>18784</v>
      </c>
      <c r="J34" s="833"/>
      <c r="K34" s="834"/>
      <c r="L34" s="834"/>
      <c r="M34" s="834"/>
      <c r="N34" s="834"/>
      <c r="O34" s="834"/>
      <c r="P34" s="834"/>
      <c r="Q34" s="834"/>
      <c r="R34" s="834"/>
      <c r="S34" s="834"/>
      <c r="T34" s="834"/>
      <c r="U34" s="834"/>
      <c r="V34" s="834"/>
      <c r="W34" s="834"/>
      <c r="X34" s="835"/>
    </row>
    <row r="35" spans="1:24" ht="9" x14ac:dyDescent="0.2">
      <c r="A35" s="189" t="s">
        <v>57</v>
      </c>
      <c r="B35" s="829" t="s">
        <v>33</v>
      </c>
      <c r="C35" s="830"/>
      <c r="D35" s="190" t="s">
        <v>26</v>
      </c>
      <c r="E35" s="80">
        <v>39</v>
      </c>
      <c r="F35" s="81">
        <v>39</v>
      </c>
      <c r="G35" s="81">
        <v>40</v>
      </c>
      <c r="H35" s="14">
        <v>102.36</v>
      </c>
      <c r="I35" s="82">
        <v>39</v>
      </c>
      <c r="J35" s="833"/>
      <c r="K35" s="834"/>
      <c r="L35" s="834"/>
      <c r="M35" s="834"/>
      <c r="N35" s="834"/>
      <c r="O35" s="834"/>
      <c r="P35" s="834"/>
      <c r="Q35" s="834"/>
      <c r="R35" s="834"/>
      <c r="S35" s="834"/>
      <c r="T35" s="834"/>
      <c r="U35" s="834"/>
      <c r="V35" s="834"/>
      <c r="W35" s="834"/>
      <c r="X35" s="835"/>
    </row>
    <row r="36" spans="1:24" ht="9" x14ac:dyDescent="0.2">
      <c r="A36" s="191" t="s">
        <v>58</v>
      </c>
      <c r="B36" s="831" t="s">
        <v>27</v>
      </c>
      <c r="C36" s="832"/>
      <c r="D36" s="192" t="s">
        <v>26</v>
      </c>
      <c r="E36" s="83">
        <v>45</v>
      </c>
      <c r="F36" s="84">
        <v>45</v>
      </c>
      <c r="G36" s="84">
        <v>48</v>
      </c>
      <c r="H36" s="16">
        <v>106.67</v>
      </c>
      <c r="I36" s="85">
        <v>45</v>
      </c>
      <c r="J36" s="836"/>
      <c r="K36" s="837"/>
      <c r="L36" s="837"/>
      <c r="M36" s="837"/>
      <c r="N36" s="837"/>
      <c r="O36" s="837"/>
      <c r="P36" s="837"/>
      <c r="Q36" s="837"/>
      <c r="R36" s="837"/>
      <c r="S36" s="837"/>
      <c r="T36" s="837"/>
      <c r="U36" s="837"/>
      <c r="V36" s="837"/>
      <c r="W36" s="837"/>
      <c r="X36" s="838"/>
    </row>
    <row r="37" spans="1:24" customFormat="1" x14ac:dyDescent="0.15">
      <c r="A37" s="2"/>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J4:J5"/>
    <mergeCell ref="K4:M4"/>
    <mergeCell ref="N4:N5"/>
    <mergeCell ref="S4:S5"/>
    <mergeCell ref="B20:C20"/>
    <mergeCell ref="B6:C6"/>
    <mergeCell ref="B7:C7"/>
    <mergeCell ref="B8:C8"/>
    <mergeCell ref="B10:C10"/>
    <mergeCell ref="B11:C11"/>
    <mergeCell ref="B12:C12"/>
    <mergeCell ref="B13:C13"/>
    <mergeCell ref="B15:C15"/>
    <mergeCell ref="B16:C16"/>
    <mergeCell ref="B18:C18"/>
    <mergeCell ref="B19:C19"/>
    <mergeCell ref="A1:X1"/>
    <mergeCell ref="T4:T5"/>
    <mergeCell ref="U4:W4"/>
    <mergeCell ref="X4:X5"/>
    <mergeCell ref="T3:X3"/>
    <mergeCell ref="B3:C5"/>
    <mergeCell ref="E4:E5"/>
    <mergeCell ref="J3:N3"/>
    <mergeCell ref="D3:D5"/>
    <mergeCell ref="F4:H4"/>
    <mergeCell ref="A3:A5"/>
    <mergeCell ref="O4:O5"/>
    <mergeCell ref="E3:I3"/>
    <mergeCell ref="P4:R4"/>
    <mergeCell ref="I4:I5"/>
    <mergeCell ref="O3:S3"/>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5"/>
  <sheetViews>
    <sheetView tabSelected="1" topLeftCell="A70" zoomScaleNormal="100" workbookViewId="0"/>
  </sheetViews>
  <sheetFormatPr defaultRowHeight="12.75" x14ac:dyDescent="0.2"/>
  <cols>
    <col min="1" max="1" width="74.75" style="61" customWidth="1"/>
    <col min="2" max="9" width="23.75" style="61" customWidth="1"/>
  </cols>
  <sheetData>
    <row r="1" spans="1:9" s="63" customFormat="1" ht="18.75" x14ac:dyDescent="0.3">
      <c r="A1" s="60" t="s">
        <v>77</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281" t="s">
        <v>25</v>
      </c>
      <c r="D5" s="788" t="s">
        <v>176</v>
      </c>
      <c r="E5" s="788"/>
      <c r="F5" s="788"/>
      <c r="G5" s="788"/>
      <c r="H5" s="788"/>
      <c r="I5" s="788"/>
    </row>
    <row r="6" spans="1:9" s="87" customFormat="1" ht="11.25" x14ac:dyDescent="0.2">
      <c r="A6" s="792" t="s">
        <v>177</v>
      </c>
      <c r="B6" s="792"/>
      <c r="C6" s="283">
        <f>SUM(C7:C9)</f>
        <v>207208.69</v>
      </c>
      <c r="D6" s="793"/>
      <c r="E6" s="794"/>
      <c r="F6" s="794"/>
      <c r="G6" s="794"/>
      <c r="H6" s="794"/>
      <c r="I6" s="795"/>
    </row>
    <row r="7" spans="1:9" s="87" customFormat="1" ht="11.25" x14ac:dyDescent="0.2">
      <c r="A7" s="796" t="s">
        <v>69</v>
      </c>
      <c r="B7" s="797"/>
      <c r="C7" s="284">
        <v>201195.69</v>
      </c>
      <c r="D7" s="798" t="s">
        <v>258</v>
      </c>
      <c r="E7" s="861"/>
      <c r="F7" s="861"/>
      <c r="G7" s="861"/>
      <c r="H7" s="861"/>
      <c r="I7" s="861"/>
    </row>
    <row r="8" spans="1:9" s="88" customFormat="1" ht="11.25" x14ac:dyDescent="0.15">
      <c r="A8" s="757" t="s">
        <v>178</v>
      </c>
      <c r="B8" s="758"/>
      <c r="C8" s="285">
        <v>6013</v>
      </c>
      <c r="D8" s="737" t="s">
        <v>259</v>
      </c>
      <c r="E8" s="737"/>
      <c r="F8" s="737"/>
      <c r="G8" s="737"/>
      <c r="H8" s="737"/>
      <c r="I8" s="737"/>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281" t="s">
        <v>68</v>
      </c>
      <c r="B13" s="281" t="s">
        <v>181</v>
      </c>
      <c r="C13" s="281"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207208.69</v>
      </c>
      <c r="D15" s="295"/>
      <c r="E15" s="296"/>
      <c r="F15" s="296"/>
      <c r="G15" s="296"/>
      <c r="H15" s="296"/>
      <c r="I15" s="296"/>
    </row>
    <row r="16" spans="1:9" s="87" customFormat="1" ht="11.25" x14ac:dyDescent="0.2">
      <c r="A16" s="763"/>
      <c r="B16" s="297" t="s">
        <v>71</v>
      </c>
      <c r="C16" s="298">
        <v>0</v>
      </c>
      <c r="D16" s="299"/>
      <c r="E16" s="300"/>
      <c r="F16" s="300"/>
      <c r="G16" s="300"/>
      <c r="H16" s="300"/>
      <c r="I16" s="300"/>
    </row>
    <row r="17" spans="1:9" s="87" customFormat="1" ht="11.25" x14ac:dyDescent="0.2">
      <c r="A17" s="301" t="s">
        <v>177</v>
      </c>
      <c r="B17" s="302"/>
      <c r="C17" s="283">
        <f>SUM(C14:C16)</f>
        <v>207208.69</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08" t="s">
        <v>181</v>
      </c>
      <c r="B21" s="308" t="s">
        <v>185</v>
      </c>
      <c r="C21" s="307" t="s">
        <v>186</v>
      </c>
      <c r="D21" s="308" t="s">
        <v>187</v>
      </c>
      <c r="E21" s="308" t="s">
        <v>188</v>
      </c>
      <c r="F21" s="764" t="s">
        <v>189</v>
      </c>
      <c r="G21" s="764"/>
      <c r="H21" s="764"/>
      <c r="I21" s="764"/>
    </row>
    <row r="22" spans="1:9" s="87" customFormat="1" ht="11.25" x14ac:dyDescent="0.2">
      <c r="A22" s="310" t="s">
        <v>190</v>
      </c>
      <c r="B22" s="124">
        <v>122113.27</v>
      </c>
      <c r="C22" s="124">
        <v>189152.28</v>
      </c>
      <c r="D22" s="124">
        <v>287615.90000000002</v>
      </c>
      <c r="E22" s="124">
        <v>23649.65</v>
      </c>
      <c r="F22" s="778" t="s">
        <v>263</v>
      </c>
      <c r="G22" s="779"/>
      <c r="H22" s="779"/>
      <c r="I22" s="780"/>
    </row>
    <row r="23" spans="1:9" s="87" customFormat="1" ht="11.25" x14ac:dyDescent="0.2">
      <c r="A23" s="293" t="s">
        <v>191</v>
      </c>
      <c r="B23" s="125">
        <v>318696.74</v>
      </c>
      <c r="C23" s="125">
        <v>644009</v>
      </c>
      <c r="D23" s="125">
        <v>823316</v>
      </c>
      <c r="E23" s="125">
        <f t="shared" ref="E23:E25" si="0">B23+C23-D23</f>
        <v>139389.74</v>
      </c>
      <c r="F23" s="781" t="s">
        <v>260</v>
      </c>
      <c r="G23" s="782"/>
      <c r="H23" s="782"/>
      <c r="I23" s="783"/>
    </row>
    <row r="24" spans="1:9" s="87" customFormat="1" ht="11.25" x14ac:dyDescent="0.2">
      <c r="A24" s="293" t="s">
        <v>71</v>
      </c>
      <c r="B24" s="125">
        <v>53277</v>
      </c>
      <c r="C24" s="125">
        <v>10000</v>
      </c>
      <c r="D24" s="125">
        <v>3700</v>
      </c>
      <c r="E24" s="125">
        <f t="shared" si="0"/>
        <v>59577</v>
      </c>
      <c r="F24" s="781" t="s">
        <v>261</v>
      </c>
      <c r="G24" s="782"/>
      <c r="H24" s="782"/>
      <c r="I24" s="783"/>
    </row>
    <row r="25" spans="1:9" s="87" customFormat="1" ht="11.25" x14ac:dyDescent="0.2">
      <c r="A25" s="311" t="s">
        <v>193</v>
      </c>
      <c r="B25" s="126">
        <v>7385.77</v>
      </c>
      <c r="C25" s="126">
        <v>51659.46</v>
      </c>
      <c r="D25" s="126">
        <v>51240</v>
      </c>
      <c r="E25" s="126">
        <f t="shared" si="0"/>
        <v>7805.2299999999959</v>
      </c>
      <c r="F25" s="784" t="s">
        <v>262</v>
      </c>
      <c r="G25" s="785"/>
      <c r="H25" s="785"/>
      <c r="I25" s="786"/>
    </row>
    <row r="26" spans="1:9" s="88" customFormat="1" ht="10.5" x14ac:dyDescent="0.15">
      <c r="A26" s="670" t="s">
        <v>34</v>
      </c>
      <c r="B26" s="283">
        <f>SUM(B22:B25)</f>
        <v>501472.78</v>
      </c>
      <c r="C26" s="283">
        <f t="shared" ref="C26:E26" si="1">SUM(C22:C25)</f>
        <v>894820.74</v>
      </c>
      <c r="D26" s="283">
        <f t="shared" si="1"/>
        <v>1165871.8999999999</v>
      </c>
      <c r="E26" s="283">
        <f t="shared" si="1"/>
        <v>230421.62</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281" t="s">
        <v>72</v>
      </c>
      <c r="B30" s="281" t="s">
        <v>25</v>
      </c>
      <c r="C30" s="317" t="s">
        <v>73</v>
      </c>
      <c r="D30" s="788" t="s">
        <v>196</v>
      </c>
      <c r="E30" s="788"/>
      <c r="F30" s="788"/>
      <c r="G30" s="788"/>
      <c r="H30" s="788"/>
      <c r="I30" s="788"/>
    </row>
    <row r="31" spans="1:9" s="87" customFormat="1" ht="11.25" x14ac:dyDescent="0.2">
      <c r="A31" s="343"/>
      <c r="B31" s="132">
        <v>0</v>
      </c>
      <c r="C31" s="337"/>
      <c r="D31" s="856"/>
      <c r="E31" s="857"/>
      <c r="F31" s="857"/>
      <c r="G31" s="857"/>
      <c r="H31" s="857"/>
      <c r="I31" s="858"/>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281" t="s">
        <v>72</v>
      </c>
      <c r="B36" s="281" t="s">
        <v>25</v>
      </c>
      <c r="C36" s="317" t="s">
        <v>73</v>
      </c>
      <c r="D36" s="788" t="s">
        <v>196</v>
      </c>
      <c r="E36" s="788"/>
      <c r="F36" s="788"/>
      <c r="G36" s="788"/>
      <c r="H36" s="788"/>
      <c r="I36" s="788"/>
    </row>
    <row r="37" spans="1:9" s="87" customFormat="1" ht="11.25" x14ac:dyDescent="0.2">
      <c r="A37" s="343"/>
      <c r="B37" s="132">
        <v>0</v>
      </c>
      <c r="C37" s="337"/>
      <c r="D37" s="784"/>
      <c r="E37" s="785"/>
      <c r="F37" s="785"/>
      <c r="G37" s="785"/>
      <c r="H37" s="785"/>
      <c r="I37" s="786"/>
    </row>
    <row r="38" spans="1:9" s="88" customFormat="1" ht="10.5" x14ac:dyDescent="0.15">
      <c r="A38" s="315" t="s">
        <v>34</v>
      </c>
      <c r="B38" s="316">
        <f>SUM(B37:B37)</f>
        <v>0</v>
      </c>
      <c r="C38" s="776"/>
      <c r="D38" s="776"/>
      <c r="E38" s="776"/>
      <c r="F38" s="776"/>
      <c r="G38" s="776"/>
      <c r="H38" s="776"/>
      <c r="I38" s="776"/>
    </row>
    <row r="39" spans="1:9" s="87" customFormat="1" ht="11.25" x14ac:dyDescent="0.2">
      <c r="C39" s="89"/>
    </row>
    <row r="40" spans="1:9" s="87" customFormat="1" ht="11.25" x14ac:dyDescent="0.2">
      <c r="A40" s="742" t="s">
        <v>198</v>
      </c>
      <c r="B40" s="742"/>
      <c r="C40" s="742"/>
      <c r="D40" s="742"/>
      <c r="E40" s="742"/>
      <c r="F40" s="742"/>
      <c r="G40" s="742"/>
      <c r="H40" s="742"/>
      <c r="I40" s="742"/>
    </row>
    <row r="41" spans="1:9" s="87" customFormat="1" ht="11.25" x14ac:dyDescent="0.2">
      <c r="C41" s="89"/>
    </row>
    <row r="42" spans="1:9" s="87" customFormat="1" ht="21" x14ac:dyDescent="0.2">
      <c r="A42" s="281" t="s">
        <v>25</v>
      </c>
      <c r="B42" s="344" t="s">
        <v>100</v>
      </c>
      <c r="C42" s="765" t="s">
        <v>74</v>
      </c>
      <c r="D42" s="765"/>
      <c r="E42" s="765"/>
      <c r="F42" s="765"/>
      <c r="G42" s="765"/>
      <c r="H42" s="765"/>
      <c r="I42" s="765"/>
    </row>
    <row r="43" spans="1:9" s="87" customFormat="1" ht="11.25" x14ac:dyDescent="0.2">
      <c r="A43" s="126">
        <v>0</v>
      </c>
      <c r="B43" s="126">
        <v>0</v>
      </c>
      <c r="C43" s="846"/>
      <c r="D43" s="846"/>
      <c r="E43" s="846"/>
      <c r="F43" s="846"/>
      <c r="G43" s="846"/>
      <c r="H43" s="846"/>
      <c r="I43" s="846"/>
    </row>
    <row r="44" spans="1:9" s="88" customFormat="1" ht="10.5" x14ac:dyDescent="0.15">
      <c r="A44" s="283">
        <f>SUM(A43:A43)</f>
        <v>0</v>
      </c>
      <c r="B44" s="283">
        <f>SUM(B43:B43)</f>
        <v>0</v>
      </c>
      <c r="C44" s="767" t="s">
        <v>34</v>
      </c>
      <c r="D44" s="767"/>
      <c r="E44" s="767"/>
      <c r="F44" s="767"/>
      <c r="G44" s="767"/>
      <c r="H44" s="767"/>
      <c r="I44" s="767"/>
    </row>
    <row r="45" spans="1:9" s="87" customFormat="1" ht="11.25" x14ac:dyDescent="0.2">
      <c r="C45" s="89"/>
    </row>
    <row r="46" spans="1:9" s="87" customFormat="1" ht="11.25" x14ac:dyDescent="0.2">
      <c r="A46" s="742" t="s">
        <v>199</v>
      </c>
      <c r="B46" s="742"/>
      <c r="C46" s="742"/>
      <c r="D46" s="742"/>
      <c r="E46" s="742"/>
      <c r="F46" s="742"/>
      <c r="G46" s="742"/>
      <c r="H46" s="742"/>
      <c r="I46" s="742"/>
    </row>
    <row r="47" spans="1:9" s="87" customFormat="1" ht="11.25" x14ac:dyDescent="0.2">
      <c r="C47" s="89"/>
    </row>
    <row r="48" spans="1:9" s="151" customFormat="1" ht="31.5" x14ac:dyDescent="0.25">
      <c r="A48" s="743" t="s">
        <v>101</v>
      </c>
      <c r="B48" s="744"/>
      <c r="C48" s="308" t="s">
        <v>102</v>
      </c>
      <c r="D48" s="308" t="s">
        <v>103</v>
      </c>
      <c r="E48" s="308" t="s">
        <v>104</v>
      </c>
      <c r="F48" s="308" t="s">
        <v>105</v>
      </c>
      <c r="G48" s="308" t="s">
        <v>94</v>
      </c>
    </row>
    <row r="49" spans="1:7" s="87" customFormat="1" ht="13.5" customHeight="1" x14ac:dyDescent="0.2">
      <c r="A49" s="868" t="s">
        <v>264</v>
      </c>
      <c r="B49" s="868"/>
      <c r="C49" s="348" t="s">
        <v>120</v>
      </c>
      <c r="D49" s="93">
        <v>129833</v>
      </c>
      <c r="E49" s="93"/>
      <c r="F49" s="349">
        <v>42107</v>
      </c>
      <c r="G49" s="349">
        <v>42110</v>
      </c>
    </row>
    <row r="50" spans="1:7" s="87" customFormat="1" ht="11.25" x14ac:dyDescent="0.2">
      <c r="A50" s="866" t="s">
        <v>265</v>
      </c>
      <c r="B50" s="866"/>
      <c r="C50" s="350" t="s">
        <v>108</v>
      </c>
      <c r="D50" s="351"/>
      <c r="E50" s="148">
        <v>129833</v>
      </c>
      <c r="F50" s="352">
        <v>42107</v>
      </c>
      <c r="G50" s="352">
        <v>42110</v>
      </c>
    </row>
    <row r="51" spans="1:7" s="87" customFormat="1" ht="12" customHeight="1" x14ac:dyDescent="0.2">
      <c r="A51" s="867" t="s">
        <v>266</v>
      </c>
      <c r="B51" s="867"/>
      <c r="C51" s="350" t="s">
        <v>120</v>
      </c>
      <c r="D51" s="351">
        <v>99098</v>
      </c>
      <c r="E51" s="148"/>
      <c r="F51" s="352">
        <v>42080</v>
      </c>
      <c r="G51" s="352">
        <v>42083</v>
      </c>
    </row>
    <row r="52" spans="1:7" s="87" customFormat="1" ht="11.25" x14ac:dyDescent="0.2">
      <c r="A52" s="866" t="s">
        <v>267</v>
      </c>
      <c r="B52" s="866"/>
      <c r="C52" s="353" t="s">
        <v>108</v>
      </c>
      <c r="D52" s="148"/>
      <c r="E52" s="148">
        <v>99098</v>
      </c>
      <c r="F52" s="352">
        <v>42080</v>
      </c>
      <c r="G52" s="352" t="s">
        <v>245</v>
      </c>
    </row>
    <row r="53" spans="1:7" s="87" customFormat="1" ht="12" customHeight="1" x14ac:dyDescent="0.2">
      <c r="A53" s="867" t="s">
        <v>268</v>
      </c>
      <c r="B53" s="867"/>
      <c r="C53" s="353" t="s">
        <v>117</v>
      </c>
      <c r="D53" s="148">
        <v>10000</v>
      </c>
      <c r="E53" s="148"/>
      <c r="F53" s="352">
        <v>42115</v>
      </c>
      <c r="G53" s="352">
        <v>42115</v>
      </c>
    </row>
    <row r="54" spans="1:7" s="87" customFormat="1" ht="11.25" x14ac:dyDescent="0.2">
      <c r="A54" s="867" t="s">
        <v>269</v>
      </c>
      <c r="B54" s="867"/>
      <c r="C54" s="353" t="s">
        <v>107</v>
      </c>
      <c r="D54" s="148"/>
      <c r="E54" s="148">
        <v>10000</v>
      </c>
      <c r="F54" s="352">
        <v>42115</v>
      </c>
      <c r="G54" s="352">
        <v>42115</v>
      </c>
    </row>
    <row r="55" spans="1:7" s="87" customFormat="1" ht="11.25" x14ac:dyDescent="0.2">
      <c r="A55" s="867" t="s">
        <v>270</v>
      </c>
      <c r="B55" s="867"/>
      <c r="C55" s="353" t="s">
        <v>117</v>
      </c>
      <c r="D55" s="148">
        <v>779</v>
      </c>
      <c r="E55" s="148"/>
      <c r="F55" s="352">
        <v>42121</v>
      </c>
      <c r="G55" s="352">
        <v>42121</v>
      </c>
    </row>
    <row r="56" spans="1:7" s="87" customFormat="1" ht="11.25" x14ac:dyDescent="0.2">
      <c r="A56" s="866" t="s">
        <v>271</v>
      </c>
      <c r="B56" s="866"/>
      <c r="C56" s="353" t="s">
        <v>246</v>
      </c>
      <c r="D56" s="148"/>
      <c r="E56" s="148">
        <v>779</v>
      </c>
      <c r="F56" s="352">
        <v>42121</v>
      </c>
      <c r="G56" s="352">
        <v>42121</v>
      </c>
    </row>
    <row r="57" spans="1:7" s="87" customFormat="1" ht="11.25" x14ac:dyDescent="0.2">
      <c r="A57" s="867" t="s">
        <v>272</v>
      </c>
      <c r="B57" s="867"/>
      <c r="C57" s="353" t="s">
        <v>117</v>
      </c>
      <c r="D57" s="148">
        <v>3000</v>
      </c>
      <c r="E57" s="148"/>
      <c r="F57" s="352">
        <v>42186</v>
      </c>
      <c r="G57" s="352">
        <v>42190</v>
      </c>
    </row>
    <row r="58" spans="1:7" s="87" customFormat="1" ht="11.25" x14ac:dyDescent="0.2">
      <c r="A58" s="867" t="s">
        <v>272</v>
      </c>
      <c r="B58" s="867"/>
      <c r="C58" s="353" t="s">
        <v>247</v>
      </c>
      <c r="D58" s="148"/>
      <c r="E58" s="148">
        <v>3000</v>
      </c>
      <c r="F58" s="352">
        <v>42186</v>
      </c>
      <c r="G58" s="352">
        <v>42190</v>
      </c>
    </row>
    <row r="59" spans="1:7" s="87" customFormat="1" ht="11.25" x14ac:dyDescent="0.2">
      <c r="A59" s="867" t="s">
        <v>273</v>
      </c>
      <c r="B59" s="867"/>
      <c r="C59" s="353" t="s">
        <v>248</v>
      </c>
      <c r="D59" s="148">
        <v>1020</v>
      </c>
      <c r="E59" s="148"/>
      <c r="F59" s="352">
        <v>42186</v>
      </c>
      <c r="G59" s="352">
        <v>42190</v>
      </c>
    </row>
    <row r="60" spans="1:7" s="87" customFormat="1" ht="11.25" x14ac:dyDescent="0.2">
      <c r="A60" s="866" t="s">
        <v>273</v>
      </c>
      <c r="B60" s="866"/>
      <c r="C60" s="353" t="s">
        <v>249</v>
      </c>
      <c r="D60" s="148"/>
      <c r="E60" s="148">
        <v>1020</v>
      </c>
      <c r="F60" s="352">
        <v>42186</v>
      </c>
      <c r="G60" s="352">
        <v>42190</v>
      </c>
    </row>
    <row r="61" spans="1:7" s="87" customFormat="1" ht="11.25" x14ac:dyDescent="0.2">
      <c r="A61" s="866" t="s">
        <v>296</v>
      </c>
      <c r="B61" s="866"/>
      <c r="C61" s="353" t="s">
        <v>164</v>
      </c>
      <c r="D61" s="148">
        <v>111636</v>
      </c>
      <c r="E61" s="148"/>
      <c r="F61" s="352">
        <v>42185</v>
      </c>
      <c r="G61" s="352">
        <v>42249</v>
      </c>
    </row>
    <row r="62" spans="1:7" s="87" customFormat="1" ht="11.25" x14ac:dyDescent="0.2">
      <c r="A62" s="866" t="s">
        <v>274</v>
      </c>
      <c r="B62" s="866"/>
      <c r="C62" s="353" t="s">
        <v>250</v>
      </c>
      <c r="D62" s="148"/>
      <c r="E62" s="148">
        <v>111636</v>
      </c>
      <c r="F62" s="352">
        <v>42185</v>
      </c>
      <c r="G62" s="352">
        <v>42249</v>
      </c>
    </row>
    <row r="63" spans="1:7" s="87" customFormat="1" ht="11.25" x14ac:dyDescent="0.2">
      <c r="A63" s="867" t="s">
        <v>275</v>
      </c>
      <c r="B63" s="867"/>
      <c r="C63" s="353" t="s">
        <v>117</v>
      </c>
      <c r="D63" s="148">
        <v>700</v>
      </c>
      <c r="E63" s="148"/>
      <c r="F63" s="352">
        <v>42247</v>
      </c>
      <c r="G63" s="352">
        <v>42252</v>
      </c>
    </row>
    <row r="64" spans="1:7" s="87" customFormat="1" ht="11.25" x14ac:dyDescent="0.2">
      <c r="A64" s="867" t="s">
        <v>275</v>
      </c>
      <c r="B64" s="867"/>
      <c r="C64" s="353" t="s">
        <v>247</v>
      </c>
      <c r="D64" s="148"/>
      <c r="E64" s="148">
        <v>700</v>
      </c>
      <c r="F64" s="352">
        <v>42247</v>
      </c>
      <c r="G64" s="352">
        <v>42252</v>
      </c>
    </row>
    <row r="65" spans="1:7" s="87" customFormat="1" ht="11.25" x14ac:dyDescent="0.2">
      <c r="A65" s="867" t="s">
        <v>276</v>
      </c>
      <c r="B65" s="867"/>
      <c r="C65" s="353" t="s">
        <v>248</v>
      </c>
      <c r="D65" s="351">
        <v>238</v>
      </c>
      <c r="E65" s="148"/>
      <c r="F65" s="352">
        <v>42247</v>
      </c>
      <c r="G65" s="352">
        <v>42252</v>
      </c>
    </row>
    <row r="66" spans="1:7" s="87" customFormat="1" ht="11.25" x14ac:dyDescent="0.2">
      <c r="A66" s="866" t="s">
        <v>276</v>
      </c>
      <c r="B66" s="866"/>
      <c r="C66" s="353" t="s">
        <v>249</v>
      </c>
      <c r="D66" s="351"/>
      <c r="E66" s="148">
        <v>238</v>
      </c>
      <c r="F66" s="352">
        <v>42247</v>
      </c>
      <c r="G66" s="352">
        <v>42252</v>
      </c>
    </row>
    <row r="67" spans="1:7" s="87" customFormat="1" ht="11.25" x14ac:dyDescent="0.2">
      <c r="A67" s="866" t="s">
        <v>277</v>
      </c>
      <c r="B67" s="866"/>
      <c r="C67" s="350" t="s">
        <v>251</v>
      </c>
      <c r="D67" s="351"/>
      <c r="E67" s="148">
        <v>-4924</v>
      </c>
      <c r="F67" s="352">
        <v>42285</v>
      </c>
      <c r="G67" s="352">
        <v>42286</v>
      </c>
    </row>
    <row r="68" spans="1:7" s="87" customFormat="1" ht="11.25" x14ac:dyDescent="0.2">
      <c r="A68" s="866" t="s">
        <v>278</v>
      </c>
      <c r="B68" s="866"/>
      <c r="C68" s="350" t="s">
        <v>113</v>
      </c>
      <c r="D68" s="351"/>
      <c r="E68" s="148">
        <v>4924</v>
      </c>
      <c r="F68" s="352">
        <v>42285</v>
      </c>
      <c r="G68" s="352">
        <v>42286</v>
      </c>
    </row>
    <row r="69" spans="1:7" s="87" customFormat="1" ht="11.25" x14ac:dyDescent="0.2">
      <c r="A69" s="866" t="s">
        <v>279</v>
      </c>
      <c r="B69" s="866"/>
      <c r="C69" s="350" t="s">
        <v>231</v>
      </c>
      <c r="D69" s="351"/>
      <c r="E69" s="148">
        <v>-125700</v>
      </c>
      <c r="F69" s="352">
        <v>42319</v>
      </c>
      <c r="G69" s="352">
        <v>42321</v>
      </c>
    </row>
    <row r="70" spans="1:7" s="87" customFormat="1" ht="11.25" x14ac:dyDescent="0.2">
      <c r="A70" s="866" t="s">
        <v>280</v>
      </c>
      <c r="B70" s="866"/>
      <c r="C70" s="350" t="s">
        <v>252</v>
      </c>
      <c r="D70" s="351"/>
      <c r="E70" s="148">
        <v>125700</v>
      </c>
      <c r="F70" s="352">
        <v>42319</v>
      </c>
      <c r="G70" s="352">
        <v>42321</v>
      </c>
    </row>
    <row r="71" spans="1:7" s="87" customFormat="1" ht="11.25" x14ac:dyDescent="0.2">
      <c r="A71" s="866" t="s">
        <v>281</v>
      </c>
      <c r="B71" s="866"/>
      <c r="C71" s="350" t="s">
        <v>231</v>
      </c>
      <c r="D71" s="351"/>
      <c r="E71" s="148">
        <v>-24300</v>
      </c>
      <c r="F71" s="352">
        <v>42346</v>
      </c>
      <c r="G71" s="352">
        <v>42349</v>
      </c>
    </row>
    <row r="72" spans="1:7" s="87" customFormat="1" ht="11.25" x14ac:dyDescent="0.2">
      <c r="A72" s="866" t="s">
        <v>282</v>
      </c>
      <c r="B72" s="866"/>
      <c r="C72" s="350" t="s">
        <v>108</v>
      </c>
      <c r="D72" s="351"/>
      <c r="E72" s="148">
        <v>24300</v>
      </c>
      <c r="F72" s="352">
        <v>42346</v>
      </c>
      <c r="G72" s="352">
        <v>42349</v>
      </c>
    </row>
    <row r="73" spans="1:7" s="87" customFormat="1" ht="11.25" x14ac:dyDescent="0.2">
      <c r="A73" s="866" t="s">
        <v>283</v>
      </c>
      <c r="B73" s="866"/>
      <c r="C73" s="350" t="s">
        <v>231</v>
      </c>
      <c r="D73" s="351"/>
      <c r="E73" s="148">
        <v>-50000</v>
      </c>
      <c r="F73" s="352">
        <v>42353</v>
      </c>
      <c r="G73" s="352">
        <v>42354</v>
      </c>
    </row>
    <row r="74" spans="1:7" s="87" customFormat="1" ht="11.25" x14ac:dyDescent="0.2">
      <c r="A74" s="866" t="s">
        <v>284</v>
      </c>
      <c r="B74" s="866"/>
      <c r="C74" s="350" t="s">
        <v>107</v>
      </c>
      <c r="D74" s="351"/>
      <c r="E74" s="148">
        <v>45000</v>
      </c>
      <c r="F74" s="352">
        <v>42353</v>
      </c>
      <c r="G74" s="352">
        <v>42354</v>
      </c>
    </row>
    <row r="75" spans="1:7" s="87" customFormat="1" ht="11.25" x14ac:dyDescent="0.2">
      <c r="A75" s="866" t="s">
        <v>284</v>
      </c>
      <c r="B75" s="866"/>
      <c r="C75" s="350" t="s">
        <v>113</v>
      </c>
      <c r="D75" s="351"/>
      <c r="E75" s="148">
        <v>5000</v>
      </c>
      <c r="F75" s="352">
        <v>42353</v>
      </c>
      <c r="G75" s="352">
        <v>42354</v>
      </c>
    </row>
    <row r="76" spans="1:7" s="87" customFormat="1" ht="11.25" x14ac:dyDescent="0.2">
      <c r="A76" s="866" t="s">
        <v>297</v>
      </c>
      <c r="B76" s="866"/>
      <c r="C76" s="350" t="s">
        <v>248</v>
      </c>
      <c r="D76" s="351">
        <v>161847</v>
      </c>
      <c r="E76" s="148"/>
      <c r="F76" s="352">
        <v>42352</v>
      </c>
      <c r="G76" s="352">
        <v>42353</v>
      </c>
    </row>
    <row r="77" spans="1:7" s="87" customFormat="1" ht="11.25" x14ac:dyDescent="0.2">
      <c r="A77" s="866" t="s">
        <v>285</v>
      </c>
      <c r="B77" s="866"/>
      <c r="C77" s="350" t="s">
        <v>250</v>
      </c>
      <c r="D77" s="351"/>
      <c r="E77" s="148">
        <v>161847</v>
      </c>
      <c r="F77" s="352">
        <v>42352</v>
      </c>
      <c r="G77" s="352">
        <v>42353</v>
      </c>
    </row>
    <row r="78" spans="1:7" s="87" customFormat="1" ht="12.75" customHeight="1" x14ac:dyDescent="0.2">
      <c r="A78" s="866" t="s">
        <v>286</v>
      </c>
      <c r="B78" s="866"/>
      <c r="C78" s="353" t="s">
        <v>253</v>
      </c>
      <c r="D78" s="351"/>
      <c r="E78" s="148">
        <v>-18860</v>
      </c>
      <c r="F78" s="352">
        <v>42356</v>
      </c>
      <c r="G78" s="352">
        <v>42356</v>
      </c>
    </row>
    <row r="79" spans="1:7" s="87" customFormat="1" ht="11.25" x14ac:dyDescent="0.2">
      <c r="A79" s="866" t="s">
        <v>287</v>
      </c>
      <c r="B79" s="866"/>
      <c r="C79" s="350" t="s">
        <v>254</v>
      </c>
      <c r="D79" s="351"/>
      <c r="E79" s="148">
        <v>9159</v>
      </c>
      <c r="F79" s="352">
        <v>42356</v>
      </c>
      <c r="G79" s="352">
        <v>42356</v>
      </c>
    </row>
    <row r="80" spans="1:7" s="87" customFormat="1" ht="11.25" x14ac:dyDescent="0.2">
      <c r="A80" s="866" t="s">
        <v>288</v>
      </c>
      <c r="B80" s="866"/>
      <c r="C80" s="350" t="s">
        <v>113</v>
      </c>
      <c r="D80" s="351"/>
      <c r="E80" s="148">
        <v>9701</v>
      </c>
      <c r="F80" s="352">
        <v>42356</v>
      </c>
      <c r="G80" s="352">
        <v>42356</v>
      </c>
    </row>
    <row r="81" spans="1:9" s="87" customFormat="1" ht="11.25" x14ac:dyDescent="0.2">
      <c r="A81" s="866" t="s">
        <v>289</v>
      </c>
      <c r="B81" s="866"/>
      <c r="C81" s="350" t="s">
        <v>255</v>
      </c>
      <c r="D81" s="351">
        <v>105132</v>
      </c>
      <c r="E81" s="148"/>
      <c r="F81" s="352">
        <v>42358</v>
      </c>
      <c r="G81" s="352">
        <v>42359</v>
      </c>
    </row>
    <row r="82" spans="1:9" s="87" customFormat="1" ht="11.25" x14ac:dyDescent="0.2">
      <c r="A82" s="866" t="s">
        <v>290</v>
      </c>
      <c r="B82" s="866"/>
      <c r="C82" s="350" t="s">
        <v>113</v>
      </c>
      <c r="D82" s="351"/>
      <c r="E82" s="148">
        <v>105132</v>
      </c>
      <c r="F82" s="352">
        <v>42358</v>
      </c>
      <c r="G82" s="352">
        <v>42359</v>
      </c>
    </row>
    <row r="83" spans="1:9" s="87" customFormat="1" ht="11.25" x14ac:dyDescent="0.2">
      <c r="A83" s="866" t="s">
        <v>291</v>
      </c>
      <c r="B83" s="866"/>
      <c r="C83" s="350" t="s">
        <v>256</v>
      </c>
      <c r="D83" s="351">
        <v>25884</v>
      </c>
      <c r="E83" s="148"/>
      <c r="F83" s="352">
        <v>42358</v>
      </c>
      <c r="G83" s="352">
        <v>42359</v>
      </c>
    </row>
    <row r="84" spans="1:9" s="87" customFormat="1" ht="11.25" x14ac:dyDescent="0.2">
      <c r="A84" s="866" t="s">
        <v>292</v>
      </c>
      <c r="B84" s="866"/>
      <c r="C84" s="350" t="s">
        <v>113</v>
      </c>
      <c r="D84" s="351"/>
      <c r="E84" s="148">
        <v>21497</v>
      </c>
      <c r="F84" s="352">
        <v>42358</v>
      </c>
      <c r="G84" s="352">
        <v>42359</v>
      </c>
    </row>
    <row r="85" spans="1:9" s="87" customFormat="1" ht="11.25" x14ac:dyDescent="0.2">
      <c r="A85" s="866" t="s">
        <v>293</v>
      </c>
      <c r="B85" s="866"/>
      <c r="C85" s="350" t="s">
        <v>107</v>
      </c>
      <c r="D85" s="351"/>
      <c r="E85" s="148">
        <v>4387</v>
      </c>
      <c r="F85" s="352"/>
      <c r="G85" s="352"/>
    </row>
    <row r="86" spans="1:9" s="87" customFormat="1" ht="11.25" x14ac:dyDescent="0.2">
      <c r="A86" s="866" t="s">
        <v>294</v>
      </c>
      <c r="B86" s="866"/>
      <c r="C86" s="350" t="s">
        <v>248</v>
      </c>
      <c r="D86" s="351">
        <v>1943</v>
      </c>
      <c r="E86" s="148"/>
      <c r="F86" s="352">
        <v>42368</v>
      </c>
      <c r="G86" s="352">
        <v>42369</v>
      </c>
    </row>
    <row r="87" spans="1:9" s="87" customFormat="1" ht="11.25" x14ac:dyDescent="0.2">
      <c r="A87" s="869" t="s">
        <v>295</v>
      </c>
      <c r="B87" s="869"/>
      <c r="C87" s="339" t="s">
        <v>249</v>
      </c>
      <c r="D87" s="340"/>
      <c r="E87" s="164">
        <v>1943</v>
      </c>
      <c r="F87" s="354">
        <v>42368</v>
      </c>
      <c r="G87" s="354">
        <v>42369</v>
      </c>
    </row>
    <row r="88" spans="1:9" s="87" customFormat="1" ht="11.25" x14ac:dyDescent="0.2">
      <c r="A88" s="870" t="s">
        <v>111</v>
      </c>
      <c r="B88" s="871"/>
      <c r="C88" s="355"/>
      <c r="D88" s="129">
        <f>SUM(D49:D87)</f>
        <v>651110</v>
      </c>
      <c r="E88" s="129">
        <f>SUM(E49:E87)</f>
        <v>651110</v>
      </c>
      <c r="F88" s="872"/>
      <c r="G88" s="873"/>
    </row>
    <row r="89" spans="1:9" s="87" customFormat="1" ht="11.25" x14ac:dyDescent="0.2">
      <c r="C89" s="89"/>
    </row>
    <row r="90" spans="1:9" s="87" customFormat="1" ht="11.25" x14ac:dyDescent="0.2">
      <c r="A90" s="742" t="s">
        <v>211</v>
      </c>
      <c r="B90" s="742"/>
      <c r="C90" s="742"/>
      <c r="D90" s="742"/>
      <c r="E90" s="742"/>
      <c r="F90" s="742"/>
      <c r="G90" s="742"/>
      <c r="H90" s="742"/>
      <c r="I90" s="742"/>
    </row>
    <row r="91" spans="1:9" s="87" customFormat="1" ht="11.25" x14ac:dyDescent="0.2">
      <c r="C91" s="89"/>
    </row>
    <row r="92" spans="1:9" s="151" customFormat="1" ht="31.5" x14ac:dyDescent="0.25">
      <c r="A92" s="743" t="s">
        <v>101</v>
      </c>
      <c r="B92" s="744"/>
      <c r="C92" s="308" t="s">
        <v>102</v>
      </c>
      <c r="D92" s="308" t="s">
        <v>103</v>
      </c>
      <c r="E92" s="308" t="s">
        <v>104</v>
      </c>
      <c r="F92" s="308" t="s">
        <v>105</v>
      </c>
      <c r="G92" s="308" t="s">
        <v>94</v>
      </c>
    </row>
    <row r="93" spans="1:9" s="87" customFormat="1" ht="11.25" x14ac:dyDescent="0.2">
      <c r="A93" s="874" t="s">
        <v>298</v>
      </c>
      <c r="B93" s="874"/>
      <c r="C93" s="345" t="s">
        <v>257</v>
      </c>
      <c r="D93" s="127"/>
      <c r="E93" s="127">
        <v>2727</v>
      </c>
      <c r="F93" s="134">
        <v>42034</v>
      </c>
      <c r="G93" s="134">
        <v>42034</v>
      </c>
    </row>
    <row r="94" spans="1:9" s="87" customFormat="1" ht="11.25" x14ac:dyDescent="0.2">
      <c r="A94" s="875" t="s">
        <v>299</v>
      </c>
      <c r="B94" s="875"/>
      <c r="C94" s="346" t="s">
        <v>121</v>
      </c>
      <c r="D94" s="347"/>
      <c r="E94" s="128">
        <v>-2000</v>
      </c>
      <c r="F94" s="135">
        <v>42034</v>
      </c>
      <c r="G94" s="135">
        <v>42034</v>
      </c>
    </row>
    <row r="95" spans="1:9" s="87" customFormat="1" ht="11.25" x14ac:dyDescent="0.2">
      <c r="A95" s="747" t="s">
        <v>111</v>
      </c>
      <c r="B95" s="748"/>
      <c r="C95" s="320"/>
      <c r="D95" s="90">
        <f>SUM(D93:D94)</f>
        <v>0</v>
      </c>
      <c r="E95" s="90">
        <f>SUM(E93:E94)</f>
        <v>727</v>
      </c>
      <c r="F95" s="749"/>
      <c r="G95" s="750"/>
    </row>
    <row r="96" spans="1:9" s="87" customFormat="1" ht="11.25" x14ac:dyDescent="0.2">
      <c r="C96" s="89"/>
    </row>
    <row r="97" spans="1:9" s="87" customFormat="1" ht="11.25" x14ac:dyDescent="0.2">
      <c r="A97" s="738" t="s">
        <v>212</v>
      </c>
      <c r="B97" s="738"/>
      <c r="C97" s="738"/>
      <c r="D97" s="738"/>
      <c r="E97" s="738"/>
      <c r="F97" s="738"/>
      <c r="G97" s="738"/>
      <c r="H97" s="738"/>
      <c r="I97" s="738"/>
    </row>
    <row r="98" spans="1:9" s="87" customFormat="1" ht="11.25" x14ac:dyDescent="0.2"/>
    <row r="99" spans="1:9" s="87" customFormat="1" ht="11.25" x14ac:dyDescent="0.2">
      <c r="A99" s="781" t="s">
        <v>300</v>
      </c>
      <c r="B99" s="740"/>
      <c r="C99" s="740"/>
      <c r="D99" s="740"/>
      <c r="E99" s="740"/>
      <c r="F99" s="740"/>
      <c r="G99" s="740"/>
      <c r="H99" s="740"/>
      <c r="I99" s="741"/>
    </row>
    <row r="100" spans="1:9" s="87" customFormat="1" ht="11.25" x14ac:dyDescent="0.2"/>
    <row r="101" spans="1:9" s="88" customFormat="1" ht="10.5" x14ac:dyDescent="0.15">
      <c r="A101" s="742" t="s">
        <v>213</v>
      </c>
      <c r="B101" s="742"/>
      <c r="C101" s="742"/>
      <c r="D101" s="742"/>
      <c r="E101" s="742"/>
      <c r="F101" s="742"/>
      <c r="G101" s="742"/>
      <c r="H101" s="742"/>
      <c r="I101" s="742"/>
    </row>
    <row r="102" spans="1:9" s="28" customFormat="1" x14ac:dyDescent="0.2">
      <c r="A102" s="342"/>
    </row>
    <row r="103" spans="1:9" ht="34.5" customHeight="1" x14ac:dyDescent="0.15">
      <c r="A103" s="732" t="s">
        <v>301</v>
      </c>
      <c r="B103" s="733"/>
      <c r="C103" s="733"/>
      <c r="D103" s="733"/>
      <c r="E103" s="733"/>
      <c r="F103" s="733"/>
      <c r="G103" s="733"/>
      <c r="H103" s="733"/>
      <c r="I103" s="734"/>
    </row>
    <row r="104" spans="1:9" ht="11.25" x14ac:dyDescent="0.15">
      <c r="A104" s="732" t="s">
        <v>216</v>
      </c>
      <c r="B104" s="733"/>
      <c r="C104" s="733"/>
      <c r="D104" s="733"/>
      <c r="E104" s="733"/>
      <c r="F104" s="733"/>
      <c r="G104" s="733"/>
      <c r="H104" s="733"/>
      <c r="I104" s="734"/>
    </row>
    <row r="105" spans="1:9" s="28" customFormat="1" x14ac:dyDescent="0.2"/>
  </sheetData>
  <mergeCells count="86">
    <mergeCell ref="A103:I103"/>
    <mergeCell ref="A104:I104"/>
    <mergeCell ref="A99:I99"/>
    <mergeCell ref="A101:I101"/>
    <mergeCell ref="A95:B95"/>
    <mergeCell ref="F95:G95"/>
    <mergeCell ref="A97:I97"/>
    <mergeCell ref="F88:G88"/>
    <mergeCell ref="A90:I90"/>
    <mergeCell ref="A92:B92"/>
    <mergeCell ref="A93:B93"/>
    <mergeCell ref="A94:B94"/>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C43:I43"/>
    <mergeCell ref="C44:I44"/>
    <mergeCell ref="A46:I46"/>
    <mergeCell ref="A52:B52"/>
    <mergeCell ref="A53:B53"/>
    <mergeCell ref="A49:B49"/>
    <mergeCell ref="A48:B48"/>
    <mergeCell ref="A50:B50"/>
    <mergeCell ref="A51:B51"/>
    <mergeCell ref="F26:I26"/>
    <mergeCell ref="D36:I36"/>
    <mergeCell ref="D37:I37"/>
    <mergeCell ref="C38:I38"/>
    <mergeCell ref="A40:I40"/>
    <mergeCell ref="A28:I28"/>
    <mergeCell ref="D30:I30"/>
    <mergeCell ref="D31:I31"/>
    <mergeCell ref="A34:I34"/>
    <mergeCell ref="A3:I3"/>
    <mergeCell ref="A5:B5"/>
    <mergeCell ref="D5:I5"/>
    <mergeCell ref="A6:B6"/>
    <mergeCell ref="D6:I6"/>
    <mergeCell ref="C42:I42"/>
    <mergeCell ref="A7:B7"/>
    <mergeCell ref="D7:I7"/>
    <mergeCell ref="A8:B8"/>
    <mergeCell ref="D8:I8"/>
    <mergeCell ref="C32:I32"/>
    <mergeCell ref="A19:I19"/>
    <mergeCell ref="A9:B9"/>
    <mergeCell ref="D9:I9"/>
    <mergeCell ref="A11:I11"/>
    <mergeCell ref="A15:A16"/>
    <mergeCell ref="F21:I21"/>
    <mergeCell ref="F22:I22"/>
    <mergeCell ref="F23:I23"/>
    <mergeCell ref="F24:I24"/>
    <mergeCell ref="F25:I25"/>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1111211" enableFormatConditionsCalculation="0">
    <tabColor rgb="FF92D050"/>
  </sheetPr>
  <dimension ref="A1:X68"/>
  <sheetViews>
    <sheetView tabSelected="1" zoomScaleNormal="100" workbookViewId="0"/>
  </sheetViews>
  <sheetFormatPr defaultColWidth="6.5" defaultRowHeight="8.25" x14ac:dyDescent="0.15"/>
  <cols>
    <col min="1" max="1" width="5.25" style="5" customWidth="1"/>
    <col min="2" max="2" width="6.5" style="4" customWidth="1"/>
    <col min="3" max="3" width="35.75" style="4" customWidth="1"/>
    <col min="4" max="4" width="8.5" style="4" customWidth="1"/>
    <col min="5" max="7" width="11" style="4" customWidth="1"/>
    <col min="8" max="8" width="8.75" style="4" customWidth="1"/>
    <col min="9" max="12" width="11" style="4" customWidth="1"/>
    <col min="13" max="13" width="8.75" style="4" customWidth="1"/>
    <col min="14" max="17" width="11" style="4" customWidth="1"/>
    <col min="18" max="18" width="8.75" style="4" customWidth="1"/>
    <col min="19" max="22" width="11" style="4" customWidth="1"/>
    <col min="23" max="23" width="8.75" style="4" customWidth="1"/>
    <col min="24" max="24" width="11" style="4" customWidth="1"/>
    <col min="25" max="16384" width="6.5" style="4"/>
  </cols>
  <sheetData>
    <row r="1" spans="1:24" s="1" customFormat="1" ht="15.75" x14ac:dyDescent="0.25">
      <c r="A1" s="799" t="s">
        <v>77</v>
      </c>
      <c r="B1" s="799"/>
      <c r="C1" s="799"/>
      <c r="D1" s="799"/>
      <c r="E1" s="799"/>
      <c r="F1" s="799"/>
      <c r="G1" s="799"/>
      <c r="H1" s="799"/>
      <c r="I1" s="799"/>
      <c r="J1" s="799"/>
      <c r="K1" s="799"/>
      <c r="L1" s="799"/>
      <c r="M1" s="799"/>
      <c r="N1" s="799"/>
      <c r="O1" s="799"/>
      <c r="P1" s="799"/>
      <c r="Q1" s="799"/>
      <c r="R1" s="799"/>
      <c r="S1" s="799"/>
      <c r="T1" s="799"/>
      <c r="U1" s="799"/>
      <c r="V1" s="799"/>
      <c r="W1" s="799"/>
      <c r="X1" s="799"/>
    </row>
    <row r="3" spans="1:24" s="6" customFormat="1" ht="9.75" customHeight="1" x14ac:dyDescent="0.2">
      <c r="A3" s="805" t="s">
        <v>39</v>
      </c>
      <c r="B3" s="810" t="s">
        <v>40</v>
      </c>
      <c r="C3" s="851"/>
      <c r="D3" s="816" t="s">
        <v>41</v>
      </c>
      <c r="E3" s="807" t="s">
        <v>95</v>
      </c>
      <c r="F3" s="808"/>
      <c r="G3" s="808"/>
      <c r="H3" s="808"/>
      <c r="I3" s="809"/>
      <c r="J3" s="807" t="s">
        <v>38</v>
      </c>
      <c r="K3" s="808"/>
      <c r="L3" s="808"/>
      <c r="M3" s="808"/>
      <c r="N3" s="809"/>
      <c r="O3" s="807" t="s">
        <v>96</v>
      </c>
      <c r="P3" s="808"/>
      <c r="Q3" s="808"/>
      <c r="R3" s="808"/>
      <c r="S3" s="809"/>
      <c r="T3" s="807" t="s">
        <v>97</v>
      </c>
      <c r="U3" s="808"/>
      <c r="V3" s="808"/>
      <c r="W3" s="808"/>
      <c r="X3" s="809"/>
    </row>
    <row r="4" spans="1:24" s="7" customFormat="1" ht="9.75" customHeight="1" x14ac:dyDescent="0.2">
      <c r="A4" s="849"/>
      <c r="B4" s="852"/>
      <c r="C4" s="853"/>
      <c r="D4" s="817"/>
      <c r="E4" s="800" t="s">
        <v>42</v>
      </c>
      <c r="F4" s="802" t="s">
        <v>170</v>
      </c>
      <c r="G4" s="803"/>
      <c r="H4" s="804"/>
      <c r="I4" s="805" t="s">
        <v>98</v>
      </c>
      <c r="J4" s="800" t="s">
        <v>42</v>
      </c>
      <c r="K4" s="802" t="s">
        <v>170</v>
      </c>
      <c r="L4" s="803"/>
      <c r="M4" s="804"/>
      <c r="N4" s="805" t="s">
        <v>98</v>
      </c>
      <c r="O4" s="800" t="s">
        <v>42</v>
      </c>
      <c r="P4" s="802" t="s">
        <v>170</v>
      </c>
      <c r="Q4" s="803"/>
      <c r="R4" s="804"/>
      <c r="S4" s="805" t="s">
        <v>98</v>
      </c>
      <c r="T4" s="800" t="s">
        <v>42</v>
      </c>
      <c r="U4" s="802" t="s">
        <v>170</v>
      </c>
      <c r="V4" s="803"/>
      <c r="W4" s="804"/>
      <c r="X4" s="805" t="s">
        <v>98</v>
      </c>
    </row>
    <row r="5" spans="1:24" s="8" customFormat="1" ht="9.75" customHeight="1" x14ac:dyDescent="0.2">
      <c r="A5" s="850"/>
      <c r="B5" s="854"/>
      <c r="C5" s="855"/>
      <c r="D5" s="818"/>
      <c r="E5" s="801"/>
      <c r="F5" s="17" t="s">
        <v>35</v>
      </c>
      <c r="G5" s="18" t="s">
        <v>36</v>
      </c>
      <c r="H5" s="17" t="s">
        <v>37</v>
      </c>
      <c r="I5" s="806"/>
      <c r="J5" s="801"/>
      <c r="K5" s="17" t="s">
        <v>35</v>
      </c>
      <c r="L5" s="18" t="s">
        <v>36</v>
      </c>
      <c r="M5" s="17" t="s">
        <v>37</v>
      </c>
      <c r="N5" s="806"/>
      <c r="O5" s="801"/>
      <c r="P5" s="17" t="s">
        <v>35</v>
      </c>
      <c r="Q5" s="18" t="s">
        <v>36</v>
      </c>
      <c r="R5" s="17" t="s">
        <v>37</v>
      </c>
      <c r="S5" s="806"/>
      <c r="T5" s="801"/>
      <c r="U5" s="17" t="s">
        <v>35</v>
      </c>
      <c r="V5" s="18" t="s">
        <v>36</v>
      </c>
      <c r="W5" s="17" t="s">
        <v>37</v>
      </c>
      <c r="X5" s="806"/>
    </row>
    <row r="6" spans="1:24" s="6" customFormat="1" ht="9.75" customHeight="1" x14ac:dyDescent="0.2">
      <c r="A6" s="168" t="s">
        <v>0</v>
      </c>
      <c r="B6" s="822" t="s">
        <v>1</v>
      </c>
      <c r="C6" s="822"/>
      <c r="D6" s="20" t="s">
        <v>25</v>
      </c>
      <c r="E6" s="29">
        <f>SUM(E7:E9)</f>
        <v>11417900</v>
      </c>
      <c r="F6" s="29">
        <f>SUM(F7:F9)</f>
        <v>12570356</v>
      </c>
      <c r="G6" s="29">
        <f>SUM(G7:G9)</f>
        <v>12570356</v>
      </c>
      <c r="H6" s="24">
        <f t="shared" ref="H6:H36" si="0">G6/F6*100</f>
        <v>100</v>
      </c>
      <c r="I6" s="29">
        <f>SUM(I7:I9)</f>
        <v>11912690</v>
      </c>
      <c r="J6" s="29">
        <v>5176200</v>
      </c>
      <c r="K6" s="29">
        <f t="shared" ref="K6:L6" si="1">SUM(K7:K9)</f>
        <v>5827310</v>
      </c>
      <c r="L6" s="29">
        <f t="shared" si="1"/>
        <v>5827310</v>
      </c>
      <c r="M6" s="24">
        <f t="shared" ref="M6:M32" si="2">L6/K6*100</f>
        <v>100</v>
      </c>
      <c r="N6" s="29">
        <v>5533431</v>
      </c>
      <c r="O6" s="29">
        <v>6241700</v>
      </c>
      <c r="P6" s="29">
        <v>6743046</v>
      </c>
      <c r="Q6" s="29">
        <v>6743046</v>
      </c>
      <c r="R6" s="24">
        <f t="shared" ref="R6:R32" si="3">Q6/P6*100</f>
        <v>100</v>
      </c>
      <c r="S6" s="29">
        <v>6379259</v>
      </c>
      <c r="T6" s="29">
        <v>40740</v>
      </c>
      <c r="U6" s="29">
        <v>40740</v>
      </c>
      <c r="V6" s="29">
        <v>40740</v>
      </c>
      <c r="W6" s="24">
        <f t="shared" ref="W6:W32" si="4">V6/U6*100</f>
        <v>100</v>
      </c>
      <c r="X6" s="29">
        <v>40740</v>
      </c>
    </row>
    <row r="7" spans="1:24" s="6" customFormat="1" ht="9.9499999999999993" customHeight="1" x14ac:dyDescent="0.2">
      <c r="A7" s="169" t="s">
        <v>2</v>
      </c>
      <c r="B7" s="823" t="s">
        <v>44</v>
      </c>
      <c r="C7" s="824"/>
      <c r="D7" s="238" t="s">
        <v>25</v>
      </c>
      <c r="E7" s="32">
        <f t="shared" ref="E7:G10" si="5">SUM(J7,O7)</f>
        <v>2912000</v>
      </c>
      <c r="F7" s="33">
        <f t="shared" si="5"/>
        <v>3334379</v>
      </c>
      <c r="G7" s="33">
        <f t="shared" si="5"/>
        <v>3334379</v>
      </c>
      <c r="H7" s="9">
        <f t="shared" si="0"/>
        <v>100</v>
      </c>
      <c r="I7" s="34">
        <f>SUM(N7,S7)</f>
        <v>3264374</v>
      </c>
      <c r="J7" s="193">
        <v>2912000</v>
      </c>
      <c r="K7" s="35">
        <v>3334379</v>
      </c>
      <c r="L7" s="35">
        <v>3334379</v>
      </c>
      <c r="M7" s="9">
        <f t="shared" si="2"/>
        <v>100</v>
      </c>
      <c r="N7" s="36">
        <v>3264374</v>
      </c>
      <c r="O7" s="195"/>
      <c r="P7" s="35"/>
      <c r="Q7" s="35"/>
      <c r="R7" s="9" t="e">
        <f t="shared" si="3"/>
        <v>#DIV/0!</v>
      </c>
      <c r="S7" s="36"/>
      <c r="T7" s="195">
        <v>40740</v>
      </c>
      <c r="U7" s="35">
        <v>40740</v>
      </c>
      <c r="V7" s="35">
        <v>40740</v>
      </c>
      <c r="W7" s="9">
        <f t="shared" si="4"/>
        <v>100</v>
      </c>
      <c r="X7" s="59">
        <v>40740</v>
      </c>
    </row>
    <row r="8" spans="1:24" s="6" customFormat="1" ht="9.9499999999999993" customHeight="1" x14ac:dyDescent="0.2">
      <c r="A8" s="171" t="s">
        <v>3</v>
      </c>
      <c r="B8" s="825" t="s">
        <v>45</v>
      </c>
      <c r="C8" s="826"/>
      <c r="D8" s="172" t="s">
        <v>25</v>
      </c>
      <c r="E8" s="38">
        <f t="shared" si="5"/>
        <v>200</v>
      </c>
      <c r="F8" s="39">
        <f t="shared" si="5"/>
        <v>0</v>
      </c>
      <c r="G8" s="39">
        <f t="shared" si="5"/>
        <v>0</v>
      </c>
      <c r="H8" s="10" t="e">
        <f t="shared" si="0"/>
        <v>#DIV/0!</v>
      </c>
      <c r="I8" s="40">
        <f>SUM(N8,S8)</f>
        <v>57</v>
      </c>
      <c r="J8" s="196">
        <v>200</v>
      </c>
      <c r="K8" s="157"/>
      <c r="L8" s="157"/>
      <c r="M8" s="158" t="e">
        <f t="shared" si="2"/>
        <v>#DIV/0!</v>
      </c>
      <c r="N8" s="198">
        <v>57</v>
      </c>
      <c r="O8" s="156"/>
      <c r="P8" s="157"/>
      <c r="Q8" s="157"/>
      <c r="R8" s="158" t="e">
        <f t="shared" si="3"/>
        <v>#DIV/0!</v>
      </c>
      <c r="S8" s="198"/>
      <c r="T8" s="156"/>
      <c r="U8" s="157"/>
      <c r="V8" s="157"/>
      <c r="W8" s="158" t="e">
        <f t="shared" si="4"/>
        <v>#DIV/0!</v>
      </c>
      <c r="X8" s="159"/>
    </row>
    <row r="9" spans="1:24" s="6" customFormat="1" ht="9.9499999999999993" customHeight="1" x14ac:dyDescent="0.2">
      <c r="A9" s="173" t="s">
        <v>4</v>
      </c>
      <c r="B9" s="174" t="s">
        <v>59</v>
      </c>
      <c r="C9" s="175"/>
      <c r="D9" s="186" t="s">
        <v>25</v>
      </c>
      <c r="E9" s="42">
        <f t="shared" si="5"/>
        <v>8505700</v>
      </c>
      <c r="F9" s="43">
        <f t="shared" si="5"/>
        <v>9235977</v>
      </c>
      <c r="G9" s="43">
        <f t="shared" si="5"/>
        <v>9235977</v>
      </c>
      <c r="H9" s="26">
        <f t="shared" si="0"/>
        <v>100</v>
      </c>
      <c r="I9" s="44">
        <f>SUM(N9,S9)</f>
        <v>8648259</v>
      </c>
      <c r="J9" s="199">
        <v>2264000</v>
      </c>
      <c r="K9" s="203">
        <v>2492931</v>
      </c>
      <c r="L9" s="203">
        <v>2492931</v>
      </c>
      <c r="M9" s="201">
        <f t="shared" si="2"/>
        <v>100</v>
      </c>
      <c r="N9" s="202">
        <v>2269000</v>
      </c>
      <c r="O9" s="160">
        <v>6241700</v>
      </c>
      <c r="P9" s="203">
        <v>6743046</v>
      </c>
      <c r="Q9" s="203">
        <v>6743046</v>
      </c>
      <c r="R9" s="201">
        <f t="shared" si="3"/>
        <v>100</v>
      </c>
      <c r="S9" s="202">
        <v>6379259</v>
      </c>
      <c r="T9" s="160"/>
      <c r="U9" s="203"/>
      <c r="V9" s="203"/>
      <c r="W9" s="201" t="e">
        <f t="shared" si="4"/>
        <v>#DIV/0!</v>
      </c>
      <c r="X9" s="161"/>
    </row>
    <row r="10" spans="1:24" s="6" customFormat="1" ht="9.9499999999999993" customHeight="1" x14ac:dyDescent="0.2">
      <c r="A10" s="168" t="s">
        <v>5</v>
      </c>
      <c r="B10" s="822" t="s">
        <v>7</v>
      </c>
      <c r="C10" s="822"/>
      <c r="D10" s="20" t="s">
        <v>25</v>
      </c>
      <c r="E10" s="45">
        <f t="shared" si="5"/>
        <v>0</v>
      </c>
      <c r="F10" s="45">
        <f t="shared" si="5"/>
        <v>0</v>
      </c>
      <c r="G10" s="45">
        <f t="shared" si="5"/>
        <v>0</v>
      </c>
      <c r="H10" s="24" t="e">
        <f t="shared" si="0"/>
        <v>#DIV/0!</v>
      </c>
      <c r="I10" s="46">
        <f>SUM(N10,S10)</f>
        <v>0</v>
      </c>
      <c r="J10" s="31"/>
      <c r="K10" s="45"/>
      <c r="L10" s="45"/>
      <c r="M10" s="24" t="e">
        <f t="shared" si="2"/>
        <v>#DIV/0!</v>
      </c>
      <c r="N10" s="46"/>
      <c r="O10" s="45"/>
      <c r="P10" s="45"/>
      <c r="Q10" s="45"/>
      <c r="R10" s="24" t="e">
        <f t="shared" si="3"/>
        <v>#DIV/0!</v>
      </c>
      <c r="S10" s="46"/>
      <c r="T10" s="45"/>
      <c r="U10" s="45"/>
      <c r="V10" s="45"/>
      <c r="W10" s="24" t="e">
        <f t="shared" si="4"/>
        <v>#DIV/0!</v>
      </c>
      <c r="X10" s="45"/>
    </row>
    <row r="11" spans="1:24" s="6" customFormat="1" ht="9.9499999999999993" customHeight="1" x14ac:dyDescent="0.2">
      <c r="A11" s="168" t="s">
        <v>6</v>
      </c>
      <c r="B11" s="822" t="s">
        <v>9</v>
      </c>
      <c r="C11" s="822"/>
      <c r="D11" s="20" t="s">
        <v>25</v>
      </c>
      <c r="E11" s="29">
        <f>SUM(E12:E31)</f>
        <v>11417900</v>
      </c>
      <c r="F11" s="29">
        <f>SUM(F12:F31)</f>
        <v>12570356</v>
      </c>
      <c r="G11" s="29">
        <f>SUM(G12:G31)</f>
        <v>12369160</v>
      </c>
      <c r="H11" s="24">
        <f t="shared" si="0"/>
        <v>98.399440715919269</v>
      </c>
      <c r="I11" s="30">
        <f>SUM(I12:I31)</f>
        <v>11722228</v>
      </c>
      <c r="J11" s="29">
        <v>5176200</v>
      </c>
      <c r="K11" s="29">
        <f>SUM(K12:K31)</f>
        <v>5827310</v>
      </c>
      <c r="L11" s="29">
        <f>SUM(L12:L31)</f>
        <v>5626114</v>
      </c>
      <c r="M11" s="24">
        <f t="shared" si="2"/>
        <v>96.5473606175062</v>
      </c>
      <c r="N11" s="30">
        <v>5343019</v>
      </c>
      <c r="O11" s="29">
        <f>SUM(O12:O31)</f>
        <v>6241700</v>
      </c>
      <c r="P11" s="29">
        <f>SUM(P12:P31)</f>
        <v>6743046</v>
      </c>
      <c r="Q11" s="29">
        <v>6743046</v>
      </c>
      <c r="R11" s="24">
        <f t="shared" si="3"/>
        <v>100</v>
      </c>
      <c r="S11" s="30">
        <v>6379259</v>
      </c>
      <c r="T11" s="29">
        <f>SUM(T12:T31)</f>
        <v>34000</v>
      </c>
      <c r="U11" s="29">
        <f>SUM(U12:U31)</f>
        <v>34727</v>
      </c>
      <c r="V11" s="29">
        <v>34727</v>
      </c>
      <c r="W11" s="24">
        <f t="shared" si="4"/>
        <v>100</v>
      </c>
      <c r="X11" s="29">
        <v>32000</v>
      </c>
    </row>
    <row r="12" spans="1:24" s="6" customFormat="1" ht="9.9499999999999993" customHeight="1" x14ac:dyDescent="0.2">
      <c r="A12" s="178" t="s">
        <v>8</v>
      </c>
      <c r="B12" s="827" t="s">
        <v>28</v>
      </c>
      <c r="C12" s="828"/>
      <c r="D12" s="238" t="s">
        <v>25</v>
      </c>
      <c r="E12" s="32">
        <f t="shared" ref="E12:I29" si="6">SUM(J12,O12)</f>
        <v>2953908</v>
      </c>
      <c r="F12" s="33">
        <f t="shared" si="6"/>
        <v>3131664</v>
      </c>
      <c r="G12" s="33">
        <f t="shared" si="6"/>
        <v>3127537</v>
      </c>
      <c r="H12" s="9">
        <f t="shared" si="0"/>
        <v>99.86821702455947</v>
      </c>
      <c r="I12" s="34">
        <f t="shared" si="6"/>
        <v>3092754</v>
      </c>
      <c r="J12" s="204">
        <v>2946423</v>
      </c>
      <c r="K12" s="47">
        <v>3131514</v>
      </c>
      <c r="L12" s="47">
        <v>3127387</v>
      </c>
      <c r="M12" s="9">
        <f t="shared" si="2"/>
        <v>99.868210712134768</v>
      </c>
      <c r="N12" s="50">
        <v>3082718</v>
      </c>
      <c r="O12" s="206">
        <v>7485</v>
      </c>
      <c r="P12" s="47">
        <v>150</v>
      </c>
      <c r="Q12" s="47">
        <v>150</v>
      </c>
      <c r="R12" s="9">
        <f t="shared" si="3"/>
        <v>100</v>
      </c>
      <c r="S12" s="50">
        <v>10036</v>
      </c>
      <c r="T12" s="206"/>
      <c r="U12" s="47"/>
      <c r="V12" s="47"/>
      <c r="W12" s="9" t="e">
        <f t="shared" si="4"/>
        <v>#DIV/0!</v>
      </c>
      <c r="X12" s="51"/>
    </row>
    <row r="13" spans="1:24" s="6" customFormat="1" ht="9.9499999999999993" customHeight="1" x14ac:dyDescent="0.2">
      <c r="A13" s="180" t="s">
        <v>10</v>
      </c>
      <c r="B13" s="820" t="s">
        <v>29</v>
      </c>
      <c r="C13" s="821"/>
      <c r="D13" s="172" t="s">
        <v>25</v>
      </c>
      <c r="E13" s="38">
        <f t="shared" si="6"/>
        <v>1207000</v>
      </c>
      <c r="F13" s="39">
        <f t="shared" si="6"/>
        <v>1007000</v>
      </c>
      <c r="G13" s="39">
        <f t="shared" si="6"/>
        <v>828726</v>
      </c>
      <c r="H13" s="10">
        <f t="shared" si="0"/>
        <v>82.296524329692161</v>
      </c>
      <c r="I13" s="40">
        <f t="shared" si="6"/>
        <v>832120</v>
      </c>
      <c r="J13" s="208">
        <v>1207000</v>
      </c>
      <c r="K13" s="157">
        <v>1007000</v>
      </c>
      <c r="L13" s="157">
        <v>828726</v>
      </c>
      <c r="M13" s="158">
        <f t="shared" si="2"/>
        <v>82.296524329692161</v>
      </c>
      <c r="N13" s="198">
        <v>832120</v>
      </c>
      <c r="O13" s="156"/>
      <c r="P13" s="157"/>
      <c r="Q13" s="157"/>
      <c r="R13" s="158" t="e">
        <f t="shared" si="3"/>
        <v>#DIV/0!</v>
      </c>
      <c r="S13" s="198"/>
      <c r="T13" s="156"/>
      <c r="U13" s="157"/>
      <c r="V13" s="157"/>
      <c r="W13" s="158" t="e">
        <f t="shared" si="4"/>
        <v>#DIV/0!</v>
      </c>
      <c r="X13" s="159"/>
    </row>
    <row r="14" spans="1:24" s="6" customFormat="1" ht="9.9499999999999993" customHeight="1" x14ac:dyDescent="0.2">
      <c r="A14" s="180" t="s">
        <v>11</v>
      </c>
      <c r="B14" s="253" t="s">
        <v>60</v>
      </c>
      <c r="C14" s="254"/>
      <c r="D14" s="172" t="s">
        <v>25</v>
      </c>
      <c r="E14" s="38">
        <f t="shared" si="6"/>
        <v>0</v>
      </c>
      <c r="F14" s="39">
        <f t="shared" si="6"/>
        <v>0</v>
      </c>
      <c r="G14" s="39">
        <f t="shared" si="6"/>
        <v>0</v>
      </c>
      <c r="H14" s="10" t="e">
        <f t="shared" si="0"/>
        <v>#DIV/0!</v>
      </c>
      <c r="I14" s="40">
        <f t="shared" si="6"/>
        <v>0</v>
      </c>
      <c r="J14" s="208"/>
      <c r="K14" s="157"/>
      <c r="L14" s="157"/>
      <c r="M14" s="158" t="e">
        <f t="shared" si="2"/>
        <v>#DIV/0!</v>
      </c>
      <c r="N14" s="198"/>
      <c r="O14" s="156"/>
      <c r="P14" s="157"/>
      <c r="Q14" s="157"/>
      <c r="R14" s="158" t="e">
        <f t="shared" si="3"/>
        <v>#DIV/0!</v>
      </c>
      <c r="S14" s="198"/>
      <c r="T14" s="156"/>
      <c r="U14" s="157"/>
      <c r="V14" s="157"/>
      <c r="W14" s="158" t="e">
        <f t="shared" si="4"/>
        <v>#DIV/0!</v>
      </c>
      <c r="X14" s="159"/>
    </row>
    <row r="15" spans="1:24" s="6" customFormat="1" ht="9.9499999999999993" customHeight="1" x14ac:dyDescent="0.2">
      <c r="A15" s="180" t="s">
        <v>12</v>
      </c>
      <c r="B15" s="820" t="s">
        <v>171</v>
      </c>
      <c r="C15" s="821"/>
      <c r="D15" s="172" t="s">
        <v>25</v>
      </c>
      <c r="E15" s="38">
        <f t="shared" si="6"/>
        <v>278260</v>
      </c>
      <c r="F15" s="39">
        <f t="shared" si="6"/>
        <v>560898</v>
      </c>
      <c r="G15" s="39">
        <f t="shared" si="6"/>
        <v>560898</v>
      </c>
      <c r="H15" s="10">
        <f t="shared" si="0"/>
        <v>100</v>
      </c>
      <c r="I15" s="40">
        <f t="shared" si="6"/>
        <v>260335</v>
      </c>
      <c r="J15" s="208">
        <v>278260</v>
      </c>
      <c r="K15" s="157">
        <v>560898</v>
      </c>
      <c r="L15" s="157">
        <v>560898</v>
      </c>
      <c r="M15" s="158">
        <f t="shared" si="2"/>
        <v>100</v>
      </c>
      <c r="N15" s="198">
        <v>260335</v>
      </c>
      <c r="O15" s="156"/>
      <c r="P15" s="157"/>
      <c r="Q15" s="157"/>
      <c r="R15" s="158" t="e">
        <f t="shared" si="3"/>
        <v>#DIV/0!</v>
      </c>
      <c r="S15" s="198"/>
      <c r="T15" s="156">
        <v>32000</v>
      </c>
      <c r="U15" s="157">
        <v>34727</v>
      </c>
      <c r="V15" s="157">
        <v>34727</v>
      </c>
      <c r="W15" s="158">
        <f t="shared" si="4"/>
        <v>100</v>
      </c>
      <c r="X15" s="159">
        <v>32000</v>
      </c>
    </row>
    <row r="16" spans="1:24" s="6" customFormat="1" ht="9.9499999999999993" customHeight="1" x14ac:dyDescent="0.2">
      <c r="A16" s="180" t="s">
        <v>13</v>
      </c>
      <c r="B16" s="820" t="s">
        <v>30</v>
      </c>
      <c r="C16" s="821"/>
      <c r="D16" s="172" t="s">
        <v>25</v>
      </c>
      <c r="E16" s="38">
        <f t="shared" si="6"/>
        <v>7000</v>
      </c>
      <c r="F16" s="39">
        <f t="shared" si="6"/>
        <v>2076</v>
      </c>
      <c r="G16" s="39">
        <f t="shared" si="6"/>
        <v>2076</v>
      </c>
      <c r="H16" s="10">
        <f t="shared" si="0"/>
        <v>100</v>
      </c>
      <c r="I16" s="40">
        <f t="shared" si="6"/>
        <v>2204</v>
      </c>
      <c r="J16" s="208">
        <v>7000</v>
      </c>
      <c r="K16" s="157">
        <v>2076</v>
      </c>
      <c r="L16" s="157">
        <v>2076</v>
      </c>
      <c r="M16" s="158">
        <f t="shared" si="2"/>
        <v>100</v>
      </c>
      <c r="N16" s="198">
        <v>2204</v>
      </c>
      <c r="O16" s="156"/>
      <c r="P16" s="157"/>
      <c r="Q16" s="157"/>
      <c r="R16" s="158" t="e">
        <f t="shared" si="3"/>
        <v>#DIV/0!</v>
      </c>
      <c r="S16" s="198"/>
      <c r="T16" s="156"/>
      <c r="U16" s="157"/>
      <c r="V16" s="157"/>
      <c r="W16" s="158" t="e">
        <f t="shared" si="4"/>
        <v>#DIV/0!</v>
      </c>
      <c r="X16" s="159"/>
    </row>
    <row r="17" spans="1:24" s="6" customFormat="1" ht="9.9499999999999993" customHeight="1" x14ac:dyDescent="0.2">
      <c r="A17" s="180" t="s">
        <v>14</v>
      </c>
      <c r="B17" s="253" t="s">
        <v>46</v>
      </c>
      <c r="C17" s="254"/>
      <c r="D17" s="172" t="s">
        <v>25</v>
      </c>
      <c r="E17" s="38">
        <f t="shared" si="6"/>
        <v>0</v>
      </c>
      <c r="F17" s="39">
        <f t="shared" si="6"/>
        <v>0</v>
      </c>
      <c r="G17" s="39">
        <f t="shared" si="6"/>
        <v>0</v>
      </c>
      <c r="H17" s="10" t="e">
        <f t="shared" si="0"/>
        <v>#DIV/0!</v>
      </c>
      <c r="I17" s="40">
        <f t="shared" si="6"/>
        <v>0</v>
      </c>
      <c r="J17" s="208"/>
      <c r="K17" s="157"/>
      <c r="L17" s="157"/>
      <c r="M17" s="158" t="e">
        <f t="shared" si="2"/>
        <v>#DIV/0!</v>
      </c>
      <c r="N17" s="198"/>
      <c r="O17" s="156"/>
      <c r="P17" s="157"/>
      <c r="Q17" s="157"/>
      <c r="R17" s="158" t="e">
        <f t="shared" si="3"/>
        <v>#DIV/0!</v>
      </c>
      <c r="S17" s="198"/>
      <c r="T17" s="156"/>
      <c r="U17" s="157"/>
      <c r="V17" s="157"/>
      <c r="W17" s="158" t="e">
        <f t="shared" si="4"/>
        <v>#DIV/0!</v>
      </c>
      <c r="X17" s="159"/>
    </row>
    <row r="18" spans="1:24" s="6" customFormat="1" ht="9.9499999999999993" customHeight="1" x14ac:dyDescent="0.2">
      <c r="A18" s="180" t="s">
        <v>15</v>
      </c>
      <c r="B18" s="820" t="s">
        <v>31</v>
      </c>
      <c r="C18" s="821"/>
      <c r="D18" s="172" t="s">
        <v>25</v>
      </c>
      <c r="E18" s="38">
        <f t="shared" si="6"/>
        <v>271728</v>
      </c>
      <c r="F18" s="39">
        <f t="shared" si="6"/>
        <v>252868</v>
      </c>
      <c r="G18" s="39">
        <f t="shared" si="6"/>
        <v>252868</v>
      </c>
      <c r="H18" s="10">
        <f t="shared" si="0"/>
        <v>100</v>
      </c>
      <c r="I18" s="40">
        <f t="shared" si="6"/>
        <v>271349</v>
      </c>
      <c r="J18" s="208">
        <v>271728</v>
      </c>
      <c r="K18" s="157">
        <v>252868</v>
      </c>
      <c r="L18" s="157">
        <v>252868</v>
      </c>
      <c r="M18" s="158">
        <f t="shared" si="2"/>
        <v>100</v>
      </c>
      <c r="N18" s="198">
        <v>271349</v>
      </c>
      <c r="O18" s="156"/>
      <c r="P18" s="157"/>
      <c r="Q18" s="157"/>
      <c r="R18" s="158" t="e">
        <f t="shared" si="3"/>
        <v>#DIV/0!</v>
      </c>
      <c r="S18" s="198"/>
      <c r="T18" s="156">
        <v>2000</v>
      </c>
      <c r="U18" s="157"/>
      <c r="V18" s="157"/>
      <c r="W18" s="158" t="e">
        <f t="shared" si="4"/>
        <v>#DIV/0!</v>
      </c>
      <c r="X18" s="159"/>
    </row>
    <row r="19" spans="1:24" s="11" customFormat="1" ht="9.9499999999999993" customHeight="1" x14ac:dyDescent="0.2">
      <c r="A19" s="180" t="s">
        <v>16</v>
      </c>
      <c r="B19" s="820" t="s">
        <v>32</v>
      </c>
      <c r="C19" s="821"/>
      <c r="D19" s="172" t="s">
        <v>25</v>
      </c>
      <c r="E19" s="38">
        <f t="shared" si="6"/>
        <v>4788000</v>
      </c>
      <c r="F19" s="39">
        <f t="shared" si="6"/>
        <v>5166506</v>
      </c>
      <c r="G19" s="39">
        <f t="shared" si="6"/>
        <v>5166506</v>
      </c>
      <c r="H19" s="10">
        <f t="shared" si="0"/>
        <v>100</v>
      </c>
      <c r="I19" s="40">
        <f t="shared" si="6"/>
        <v>4889546</v>
      </c>
      <c r="J19" s="209">
        <v>205000</v>
      </c>
      <c r="K19" s="157">
        <v>208700</v>
      </c>
      <c r="L19" s="157">
        <v>208700</v>
      </c>
      <c r="M19" s="158">
        <f t="shared" si="2"/>
        <v>100</v>
      </c>
      <c r="N19" s="198">
        <v>208050</v>
      </c>
      <c r="O19" s="156">
        <v>4583000</v>
      </c>
      <c r="P19" s="157">
        <v>4957806</v>
      </c>
      <c r="Q19" s="157">
        <v>4957806</v>
      </c>
      <c r="R19" s="158">
        <f t="shared" si="3"/>
        <v>100</v>
      </c>
      <c r="S19" s="198">
        <v>4681496</v>
      </c>
      <c r="T19" s="210"/>
      <c r="U19" s="211"/>
      <c r="V19" s="211"/>
      <c r="W19" s="158" t="e">
        <f t="shared" si="4"/>
        <v>#DIV/0!</v>
      </c>
      <c r="X19" s="212"/>
    </row>
    <row r="20" spans="1:24" s="6" customFormat="1" ht="9.9499999999999993" customHeight="1" x14ac:dyDescent="0.2">
      <c r="A20" s="180" t="s">
        <v>17</v>
      </c>
      <c r="B20" s="820" t="s">
        <v>47</v>
      </c>
      <c r="C20" s="821"/>
      <c r="D20" s="172" t="s">
        <v>25</v>
      </c>
      <c r="E20" s="38">
        <f t="shared" si="6"/>
        <v>1646105</v>
      </c>
      <c r="F20" s="39">
        <f t="shared" si="6"/>
        <v>1771353</v>
      </c>
      <c r="G20" s="39">
        <f t="shared" si="6"/>
        <v>1771353</v>
      </c>
      <c r="H20" s="10">
        <f t="shared" si="0"/>
        <v>100</v>
      </c>
      <c r="I20" s="40">
        <f t="shared" si="6"/>
        <v>1682243</v>
      </c>
      <c r="J20" s="208">
        <v>70520</v>
      </c>
      <c r="K20" s="157">
        <v>73721</v>
      </c>
      <c r="L20" s="157">
        <v>73721</v>
      </c>
      <c r="M20" s="158">
        <f t="shared" si="2"/>
        <v>100</v>
      </c>
      <c r="N20" s="198">
        <v>71852</v>
      </c>
      <c r="O20" s="156">
        <v>1575585</v>
      </c>
      <c r="P20" s="157">
        <v>1697632</v>
      </c>
      <c r="Q20" s="157">
        <v>1697632</v>
      </c>
      <c r="R20" s="158">
        <f t="shared" si="3"/>
        <v>100</v>
      </c>
      <c r="S20" s="198">
        <v>1610391</v>
      </c>
      <c r="T20" s="156"/>
      <c r="U20" s="157"/>
      <c r="V20" s="157"/>
      <c r="W20" s="158" t="e">
        <f t="shared" si="4"/>
        <v>#DIV/0!</v>
      </c>
      <c r="X20" s="159"/>
    </row>
    <row r="21" spans="1:24" s="6" customFormat="1" ht="9.9499999999999993" customHeight="1" x14ac:dyDescent="0.2">
      <c r="A21" s="180" t="s">
        <v>18</v>
      </c>
      <c r="B21" s="820" t="s">
        <v>48</v>
      </c>
      <c r="C21" s="821"/>
      <c r="D21" s="172" t="s">
        <v>25</v>
      </c>
      <c r="E21" s="38">
        <f t="shared" si="6"/>
        <v>90630</v>
      </c>
      <c r="F21" s="39">
        <f t="shared" si="6"/>
        <v>95007</v>
      </c>
      <c r="G21" s="39">
        <f t="shared" si="6"/>
        <v>94970</v>
      </c>
      <c r="H21" s="10">
        <f t="shared" si="0"/>
        <v>99.961055501173604</v>
      </c>
      <c r="I21" s="40">
        <f t="shared" si="6"/>
        <v>89366</v>
      </c>
      <c r="J21" s="208">
        <v>15000</v>
      </c>
      <c r="K21" s="157">
        <v>15000</v>
      </c>
      <c r="L21" s="157">
        <v>14963</v>
      </c>
      <c r="M21" s="158">
        <f t="shared" si="2"/>
        <v>99.753333333333345</v>
      </c>
      <c r="N21" s="198">
        <v>12080</v>
      </c>
      <c r="O21" s="156">
        <v>75630</v>
      </c>
      <c r="P21" s="157">
        <v>80007</v>
      </c>
      <c r="Q21" s="157">
        <v>80007</v>
      </c>
      <c r="R21" s="158">
        <f t="shared" si="3"/>
        <v>100</v>
      </c>
      <c r="S21" s="198">
        <v>77286</v>
      </c>
      <c r="T21" s="156"/>
      <c r="U21" s="157"/>
      <c r="V21" s="157"/>
      <c r="W21" s="158" t="e">
        <f t="shared" si="4"/>
        <v>#DIV/0!</v>
      </c>
      <c r="X21" s="159"/>
    </row>
    <row r="22" spans="1:24" s="6" customFormat="1" ht="9.9499999999999993" customHeight="1" x14ac:dyDescent="0.2">
      <c r="A22" s="671" t="s">
        <v>19</v>
      </c>
      <c r="B22" s="839" t="s">
        <v>61</v>
      </c>
      <c r="C22" s="840"/>
      <c r="D22" s="672" t="s">
        <v>25</v>
      </c>
      <c r="E22" s="673">
        <f t="shared" si="6"/>
        <v>0</v>
      </c>
      <c r="F22" s="674">
        <f t="shared" si="6"/>
        <v>0</v>
      </c>
      <c r="G22" s="674">
        <f t="shared" si="6"/>
        <v>0</v>
      </c>
      <c r="H22" s="675" t="e">
        <f t="shared" si="0"/>
        <v>#DIV/0!</v>
      </c>
      <c r="I22" s="676">
        <f t="shared" si="6"/>
        <v>0</v>
      </c>
      <c r="J22" s="208"/>
      <c r="K22" s="157"/>
      <c r="L22" s="157"/>
      <c r="M22" s="158" t="e">
        <f t="shared" si="2"/>
        <v>#DIV/0!</v>
      </c>
      <c r="N22" s="198"/>
      <c r="O22" s="156"/>
      <c r="P22" s="157"/>
      <c r="Q22" s="157"/>
      <c r="R22" s="158" t="e">
        <f t="shared" si="3"/>
        <v>#DIV/0!</v>
      </c>
      <c r="S22" s="198"/>
      <c r="T22" s="156"/>
      <c r="U22" s="157"/>
      <c r="V22" s="157"/>
      <c r="W22" s="158" t="e">
        <f t="shared" si="4"/>
        <v>#DIV/0!</v>
      </c>
      <c r="X22" s="159"/>
    </row>
    <row r="23" spans="1:24" s="6" customFormat="1" ht="9.9499999999999993" customHeight="1" x14ac:dyDescent="0.2">
      <c r="A23" s="671" t="s">
        <v>20</v>
      </c>
      <c r="B23" s="677" t="s">
        <v>172</v>
      </c>
      <c r="C23" s="678"/>
      <c r="D23" s="672" t="s">
        <v>25</v>
      </c>
      <c r="E23" s="673">
        <f t="shared" si="6"/>
        <v>0</v>
      </c>
      <c r="F23" s="674">
        <f t="shared" si="6"/>
        <v>779</v>
      </c>
      <c r="G23" s="674">
        <f t="shared" si="6"/>
        <v>779</v>
      </c>
      <c r="H23" s="675">
        <f t="shared" si="0"/>
        <v>100</v>
      </c>
      <c r="I23" s="676">
        <f t="shared" si="6"/>
        <v>0</v>
      </c>
      <c r="J23" s="208"/>
      <c r="K23" s="157">
        <v>779</v>
      </c>
      <c r="L23" s="157">
        <v>779</v>
      </c>
      <c r="M23" s="158">
        <f t="shared" si="2"/>
        <v>100</v>
      </c>
      <c r="N23" s="198"/>
      <c r="O23" s="156"/>
      <c r="P23" s="157"/>
      <c r="Q23" s="157"/>
      <c r="R23" s="158" t="e">
        <f t="shared" si="3"/>
        <v>#DIV/0!</v>
      </c>
      <c r="S23" s="198"/>
      <c r="T23" s="156"/>
      <c r="U23" s="157"/>
      <c r="V23" s="157"/>
      <c r="W23" s="158" t="e">
        <f t="shared" si="4"/>
        <v>#DIV/0!</v>
      </c>
      <c r="X23" s="159"/>
    </row>
    <row r="24" spans="1:24" s="6" customFormat="1" ht="9.9499999999999993" customHeight="1" x14ac:dyDescent="0.2">
      <c r="A24" s="671" t="s">
        <v>21</v>
      </c>
      <c r="B24" s="677" t="s">
        <v>173</v>
      </c>
      <c r="C24" s="678"/>
      <c r="D24" s="672" t="s">
        <v>25</v>
      </c>
      <c r="E24" s="673">
        <f t="shared" si="6"/>
        <v>0</v>
      </c>
      <c r="F24" s="674">
        <f t="shared" si="6"/>
        <v>0</v>
      </c>
      <c r="G24" s="674">
        <f t="shared" si="6"/>
        <v>0</v>
      </c>
      <c r="H24" s="675" t="e">
        <f t="shared" si="0"/>
        <v>#DIV/0!</v>
      </c>
      <c r="I24" s="676">
        <f t="shared" si="6"/>
        <v>1938</v>
      </c>
      <c r="J24" s="208"/>
      <c r="K24" s="157"/>
      <c r="L24" s="157"/>
      <c r="M24" s="158" t="e">
        <f t="shared" si="2"/>
        <v>#DIV/0!</v>
      </c>
      <c r="N24" s="198">
        <v>1938</v>
      </c>
      <c r="O24" s="156"/>
      <c r="P24" s="157"/>
      <c r="Q24" s="157"/>
      <c r="R24" s="158" t="e">
        <f t="shared" si="3"/>
        <v>#DIV/0!</v>
      </c>
      <c r="S24" s="198"/>
      <c r="T24" s="156"/>
      <c r="U24" s="157"/>
      <c r="V24" s="157"/>
      <c r="W24" s="158" t="e">
        <f t="shared" si="4"/>
        <v>#DIV/0!</v>
      </c>
      <c r="X24" s="159"/>
    </row>
    <row r="25" spans="1:24" s="13" customFormat="1" ht="9.9499999999999993" customHeight="1" x14ac:dyDescent="0.2">
      <c r="A25" s="679" t="s">
        <v>22</v>
      </c>
      <c r="B25" s="680" t="s">
        <v>62</v>
      </c>
      <c r="C25" s="681"/>
      <c r="D25" s="672" t="s">
        <v>25</v>
      </c>
      <c r="E25" s="673">
        <f t="shared" si="6"/>
        <v>0</v>
      </c>
      <c r="F25" s="674">
        <f t="shared" si="6"/>
        <v>0</v>
      </c>
      <c r="G25" s="674">
        <f t="shared" si="6"/>
        <v>0</v>
      </c>
      <c r="H25" s="675" t="e">
        <f>G25/F25*100</f>
        <v>#DIV/0!</v>
      </c>
      <c r="I25" s="676">
        <f>SUM(N25,S25)</f>
        <v>0</v>
      </c>
      <c r="J25" s="208"/>
      <c r="K25" s="197"/>
      <c r="L25" s="197"/>
      <c r="M25" s="158"/>
      <c r="N25" s="214"/>
      <c r="O25" s="218"/>
      <c r="P25" s="197"/>
      <c r="Q25" s="197"/>
      <c r="R25" s="158" t="e">
        <f>Q25/P25*100</f>
        <v>#DIV/0!</v>
      </c>
      <c r="S25" s="214"/>
      <c r="T25" s="236"/>
      <c r="U25" s="220"/>
      <c r="V25" s="220"/>
      <c r="W25" s="158" t="e">
        <f>V25/U25*100</f>
        <v>#DIV/0!</v>
      </c>
      <c r="X25" s="219"/>
    </row>
    <row r="26" spans="1:24" s="6" customFormat="1" ht="9.9499999999999993" customHeight="1" x14ac:dyDescent="0.2">
      <c r="A26" s="671" t="s">
        <v>23</v>
      </c>
      <c r="B26" s="839" t="s">
        <v>63</v>
      </c>
      <c r="C26" s="840"/>
      <c r="D26" s="672" t="s">
        <v>25</v>
      </c>
      <c r="E26" s="673">
        <f t="shared" si="6"/>
        <v>135900</v>
      </c>
      <c r="F26" s="674">
        <f t="shared" si="6"/>
        <v>389131</v>
      </c>
      <c r="G26" s="674">
        <f t="shared" si="6"/>
        <v>370373</v>
      </c>
      <c r="H26" s="675">
        <f t="shared" si="0"/>
        <v>95.179515381709507</v>
      </c>
      <c r="I26" s="676">
        <f t="shared" si="6"/>
        <v>119788</v>
      </c>
      <c r="J26" s="208">
        <v>135900</v>
      </c>
      <c r="K26" s="197">
        <v>389131</v>
      </c>
      <c r="L26" s="197">
        <v>370373</v>
      </c>
      <c r="M26" s="158">
        <f t="shared" ref="M26" si="7">L26/K26*100</f>
        <v>95.179515381709507</v>
      </c>
      <c r="N26" s="214">
        <v>119788</v>
      </c>
      <c r="O26" s="215"/>
      <c r="P26" s="213"/>
      <c r="Q26" s="213"/>
      <c r="R26" s="158" t="e">
        <f t="shared" si="3"/>
        <v>#DIV/0!</v>
      </c>
      <c r="S26" s="216"/>
      <c r="T26" s="215"/>
      <c r="U26" s="213"/>
      <c r="V26" s="213"/>
      <c r="W26" s="158" t="e">
        <f t="shared" si="4"/>
        <v>#DIV/0!</v>
      </c>
      <c r="X26" s="219"/>
    </row>
    <row r="27" spans="1:24" s="13" customFormat="1" ht="9.9499999999999993" customHeight="1" x14ac:dyDescent="0.2">
      <c r="A27" s="180" t="s">
        <v>43</v>
      </c>
      <c r="B27" s="253" t="s">
        <v>64</v>
      </c>
      <c r="C27" s="254"/>
      <c r="D27" s="172" t="s">
        <v>25</v>
      </c>
      <c r="E27" s="38">
        <f t="shared" si="6"/>
        <v>0</v>
      </c>
      <c r="F27" s="39">
        <f t="shared" si="6"/>
        <v>0</v>
      </c>
      <c r="G27" s="39">
        <f t="shared" si="6"/>
        <v>0</v>
      </c>
      <c r="H27" s="14" t="e">
        <f t="shared" si="0"/>
        <v>#DIV/0!</v>
      </c>
      <c r="I27" s="40">
        <f t="shared" si="6"/>
        <v>0</v>
      </c>
      <c r="J27" s="208"/>
      <c r="K27" s="197"/>
      <c r="L27" s="197"/>
      <c r="M27" s="158"/>
      <c r="N27" s="214"/>
      <c r="O27" s="218"/>
      <c r="P27" s="197"/>
      <c r="Q27" s="197"/>
      <c r="R27" s="158" t="e">
        <f t="shared" si="3"/>
        <v>#DIV/0!</v>
      </c>
      <c r="S27" s="214"/>
      <c r="T27" s="236"/>
      <c r="U27" s="220"/>
      <c r="V27" s="220"/>
      <c r="W27" s="158" t="e">
        <f t="shared" si="4"/>
        <v>#DIV/0!</v>
      </c>
      <c r="X27" s="219"/>
    </row>
    <row r="28" spans="1:24" s="13" customFormat="1" ht="9.9499999999999993" customHeight="1" x14ac:dyDescent="0.2">
      <c r="A28" s="180" t="s">
        <v>49</v>
      </c>
      <c r="B28" s="253" t="s">
        <v>92</v>
      </c>
      <c r="C28" s="254"/>
      <c r="D28" s="172" t="s">
        <v>25</v>
      </c>
      <c r="E28" s="38">
        <f>SUM(J28,O28)</f>
        <v>39000</v>
      </c>
      <c r="F28" s="39">
        <f>SUM(K28,P28)</f>
        <v>192705</v>
      </c>
      <c r="G28" s="39">
        <f>SUM(L28,Q28)</f>
        <v>192705</v>
      </c>
      <c r="H28" s="14">
        <f>G28/F28*100</f>
        <v>100</v>
      </c>
      <c r="I28" s="40">
        <f>SUM(N28,S28)</f>
        <v>465226</v>
      </c>
      <c r="J28" s="208">
        <v>39000</v>
      </c>
      <c r="K28" s="197">
        <v>185254</v>
      </c>
      <c r="L28" s="197">
        <v>185254</v>
      </c>
      <c r="M28" s="158">
        <f>L28/K28*100</f>
        <v>100</v>
      </c>
      <c r="N28" s="214">
        <v>465226</v>
      </c>
      <c r="O28" s="218"/>
      <c r="P28" s="197">
        <v>7451</v>
      </c>
      <c r="Q28" s="197">
        <v>7451</v>
      </c>
      <c r="R28" s="158">
        <f>Q28/P28*100</f>
        <v>100</v>
      </c>
      <c r="S28" s="214"/>
      <c r="T28" s="236"/>
      <c r="U28" s="220"/>
      <c r="V28" s="220"/>
      <c r="W28" s="158" t="e">
        <f>V28/U28*100</f>
        <v>#DIV/0!</v>
      </c>
      <c r="X28" s="219"/>
    </row>
    <row r="29" spans="1:24" s="15" customFormat="1" ht="9.9499999999999993" customHeight="1" x14ac:dyDescent="0.2">
      <c r="A29" s="180" t="s">
        <v>50</v>
      </c>
      <c r="B29" s="820" t="s">
        <v>65</v>
      </c>
      <c r="C29" s="821"/>
      <c r="D29" s="172" t="s">
        <v>25</v>
      </c>
      <c r="E29" s="38">
        <f t="shared" si="6"/>
        <v>369</v>
      </c>
      <c r="F29" s="39">
        <f t="shared" si="6"/>
        <v>369</v>
      </c>
      <c r="G29" s="39">
        <f t="shared" si="6"/>
        <v>369</v>
      </c>
      <c r="H29" s="14">
        <f t="shared" si="0"/>
        <v>100</v>
      </c>
      <c r="I29" s="40">
        <f t="shared" si="6"/>
        <v>15359</v>
      </c>
      <c r="J29" s="208">
        <v>369</v>
      </c>
      <c r="K29" s="197">
        <v>369</v>
      </c>
      <c r="L29" s="197">
        <v>369</v>
      </c>
      <c r="M29" s="158">
        <f>L29/K29*100</f>
        <v>100</v>
      </c>
      <c r="N29" s="214">
        <v>15359</v>
      </c>
      <c r="O29" s="218"/>
      <c r="P29" s="197"/>
      <c r="Q29" s="197"/>
      <c r="R29" s="158" t="e">
        <f t="shared" si="3"/>
        <v>#DIV/0!</v>
      </c>
      <c r="S29" s="214"/>
      <c r="T29" s="236"/>
      <c r="U29" s="220"/>
      <c r="V29" s="220"/>
      <c r="W29" s="158" t="e">
        <f t="shared" si="4"/>
        <v>#DIV/0!</v>
      </c>
      <c r="X29" s="219"/>
    </row>
    <row r="30" spans="1:24" s="6" customFormat="1" ht="9.75" x14ac:dyDescent="0.2">
      <c r="A30" s="180" t="s">
        <v>52</v>
      </c>
      <c r="B30" s="253" t="s">
        <v>51</v>
      </c>
      <c r="C30" s="254"/>
      <c r="D30" s="172" t="s">
        <v>25</v>
      </c>
      <c r="E30" s="38">
        <f t="shared" ref="E30:G31" si="8">SUM(J30,O30)</f>
        <v>0</v>
      </c>
      <c r="F30" s="39">
        <f t="shared" si="8"/>
        <v>0</v>
      </c>
      <c r="G30" s="39">
        <f t="shared" si="8"/>
        <v>0</v>
      </c>
      <c r="H30" s="14" t="e">
        <f t="shared" si="0"/>
        <v>#DIV/0!</v>
      </c>
      <c r="I30" s="40">
        <f>SUM(N30,S30)</f>
        <v>0</v>
      </c>
      <c r="J30" s="208"/>
      <c r="K30" s="197"/>
      <c r="L30" s="197"/>
      <c r="M30" s="158" t="e">
        <f t="shared" si="2"/>
        <v>#DIV/0!</v>
      </c>
      <c r="N30" s="214"/>
      <c r="O30" s="218"/>
      <c r="P30" s="197"/>
      <c r="Q30" s="197"/>
      <c r="R30" s="158" t="e">
        <f t="shared" si="3"/>
        <v>#DIV/0!</v>
      </c>
      <c r="S30" s="214"/>
      <c r="T30" s="236"/>
      <c r="U30" s="220"/>
      <c r="V30" s="220"/>
      <c r="W30" s="158" t="e">
        <f t="shared" si="4"/>
        <v>#DIV/0!</v>
      </c>
      <c r="X30" s="219"/>
    </row>
    <row r="31" spans="1:24" s="23" customFormat="1" ht="9.75" x14ac:dyDescent="0.2">
      <c r="A31" s="180" t="s">
        <v>53</v>
      </c>
      <c r="B31" s="253" t="s">
        <v>66</v>
      </c>
      <c r="C31" s="254"/>
      <c r="D31" s="172" t="s">
        <v>25</v>
      </c>
      <c r="E31" s="38">
        <f t="shared" si="8"/>
        <v>0</v>
      </c>
      <c r="F31" s="39">
        <f t="shared" si="8"/>
        <v>0</v>
      </c>
      <c r="G31" s="39">
        <f t="shared" si="8"/>
        <v>0</v>
      </c>
      <c r="H31" s="14" t="e">
        <f t="shared" si="0"/>
        <v>#DIV/0!</v>
      </c>
      <c r="I31" s="40">
        <f>SUM(N31,S31)</f>
        <v>0</v>
      </c>
      <c r="J31" s="208"/>
      <c r="K31" s="224"/>
      <c r="L31" s="224"/>
      <c r="M31" s="158" t="e">
        <f t="shared" si="2"/>
        <v>#DIV/0!</v>
      </c>
      <c r="N31" s="225"/>
      <c r="O31" s="226"/>
      <c r="P31" s="224"/>
      <c r="Q31" s="224"/>
      <c r="R31" s="158" t="e">
        <f t="shared" si="3"/>
        <v>#DIV/0!</v>
      </c>
      <c r="S31" s="225"/>
      <c r="T31" s="227"/>
      <c r="U31" s="228"/>
      <c r="V31" s="228"/>
      <c r="W31" s="158" t="e">
        <f t="shared" si="4"/>
        <v>#DIV/0!</v>
      </c>
      <c r="X31" s="229"/>
    </row>
    <row r="32" spans="1:24" s="23" customFormat="1" ht="9.75" x14ac:dyDescent="0.2">
      <c r="A32" s="183" t="s">
        <v>54</v>
      </c>
      <c r="B32" s="184" t="s">
        <v>67</v>
      </c>
      <c r="C32" s="185"/>
      <c r="D32" s="186" t="s">
        <v>25</v>
      </c>
      <c r="E32" s="42">
        <f>SUM(J32,O32)</f>
        <v>0</v>
      </c>
      <c r="F32" s="43">
        <f>SUM(K32,P32)</f>
        <v>0</v>
      </c>
      <c r="G32" s="43">
        <f>SUM(L32,Q32)</f>
        <v>0</v>
      </c>
      <c r="H32" s="16" t="e">
        <f t="shared" si="0"/>
        <v>#DIV/0!</v>
      </c>
      <c r="I32" s="44">
        <f>SUM(N32,S32)</f>
        <v>0</v>
      </c>
      <c r="J32" s="230"/>
      <c r="K32" s="222"/>
      <c r="L32" s="222"/>
      <c r="M32" s="201" t="e">
        <f t="shared" si="2"/>
        <v>#DIV/0!</v>
      </c>
      <c r="N32" s="231"/>
      <c r="O32" s="221"/>
      <c r="P32" s="222"/>
      <c r="Q32" s="222"/>
      <c r="R32" s="201" t="e">
        <f t="shared" si="3"/>
        <v>#DIV/0!</v>
      </c>
      <c r="S32" s="231"/>
      <c r="T32" s="221"/>
      <c r="U32" s="222"/>
      <c r="V32" s="222"/>
      <c r="W32" s="201" t="e">
        <f t="shared" si="4"/>
        <v>#DIV/0!</v>
      </c>
      <c r="X32" s="223"/>
    </row>
    <row r="33" spans="1:24" s="23" customFormat="1" ht="9.75" x14ac:dyDescent="0.2">
      <c r="A33" s="168" t="s">
        <v>55</v>
      </c>
      <c r="B33" s="21" t="s">
        <v>174</v>
      </c>
      <c r="C33" s="22"/>
      <c r="D33" s="20" t="s">
        <v>25</v>
      </c>
      <c r="E33" s="29">
        <f>E6-E11</f>
        <v>0</v>
      </c>
      <c r="F33" s="29">
        <f>F6-F11</f>
        <v>0</v>
      </c>
      <c r="G33" s="29">
        <f>G6-G11</f>
        <v>201196</v>
      </c>
      <c r="H33" s="25" t="e">
        <f t="shared" si="0"/>
        <v>#DIV/0!</v>
      </c>
      <c r="I33" s="29">
        <f>I6-I11</f>
        <v>190462</v>
      </c>
      <c r="J33" s="29">
        <f>J6-J11</f>
        <v>0</v>
      </c>
      <c r="K33" s="29">
        <f>K6-K11</f>
        <v>0</v>
      </c>
      <c r="L33" s="29">
        <f>L6-L11</f>
        <v>201196</v>
      </c>
      <c r="M33" s="19" t="e">
        <f t="shared" ref="M33" si="9">L33/K33*100</f>
        <v>#DIV/0!</v>
      </c>
      <c r="N33" s="29">
        <f>N6-N11</f>
        <v>190412</v>
      </c>
      <c r="O33" s="29">
        <f>O6-O11</f>
        <v>0</v>
      </c>
      <c r="P33" s="29">
        <f>P6-P11</f>
        <v>0</v>
      </c>
      <c r="Q33" s="29">
        <f>Q6-Q11</f>
        <v>0</v>
      </c>
      <c r="R33" s="19" t="e">
        <f t="shared" ref="R33" si="10">Q33/P33*100</f>
        <v>#DIV/0!</v>
      </c>
      <c r="S33" s="29">
        <f>S6-S11</f>
        <v>0</v>
      </c>
      <c r="T33" s="29">
        <f>T6-T11</f>
        <v>6740</v>
      </c>
      <c r="U33" s="29">
        <f>U6-U11</f>
        <v>6013</v>
      </c>
      <c r="V33" s="29">
        <f>V6-V11</f>
        <v>6013</v>
      </c>
      <c r="W33" s="19">
        <f t="shared" ref="W33" si="11">V33/U33*100</f>
        <v>100</v>
      </c>
      <c r="X33" s="29">
        <f>X6-X11</f>
        <v>8740</v>
      </c>
    </row>
    <row r="34" spans="1:24" ht="9" x14ac:dyDescent="0.2">
      <c r="A34" s="187" t="s">
        <v>56</v>
      </c>
      <c r="B34" s="841" t="s">
        <v>24</v>
      </c>
      <c r="C34" s="842"/>
      <c r="D34" s="188" t="s">
        <v>25</v>
      </c>
      <c r="E34" s="142">
        <v>17275</v>
      </c>
      <c r="F34" s="143">
        <v>17275</v>
      </c>
      <c r="G34" s="143">
        <v>16784</v>
      </c>
      <c r="H34" s="12">
        <f t="shared" si="0"/>
        <v>97.157742402315478</v>
      </c>
      <c r="I34" s="247">
        <v>16916</v>
      </c>
      <c r="J34" s="833"/>
      <c r="K34" s="834"/>
      <c r="L34" s="834"/>
      <c r="M34" s="834"/>
      <c r="N34" s="834"/>
      <c r="O34" s="834"/>
      <c r="P34" s="834"/>
      <c r="Q34" s="834"/>
      <c r="R34" s="834"/>
      <c r="S34" s="834"/>
      <c r="T34" s="834"/>
      <c r="U34" s="834"/>
      <c r="V34" s="834"/>
      <c r="W34" s="834"/>
      <c r="X34" s="835"/>
    </row>
    <row r="35" spans="1:24" ht="9" x14ac:dyDescent="0.2">
      <c r="A35" s="189" t="s">
        <v>57</v>
      </c>
      <c r="B35" s="829" t="s">
        <v>33</v>
      </c>
      <c r="C35" s="830"/>
      <c r="D35" s="190" t="s">
        <v>26</v>
      </c>
      <c r="E35" s="144">
        <v>23</v>
      </c>
      <c r="F35" s="145">
        <v>25</v>
      </c>
      <c r="G35" s="145">
        <v>25</v>
      </c>
      <c r="H35" s="232">
        <f t="shared" si="0"/>
        <v>100</v>
      </c>
      <c r="I35" s="248">
        <v>23</v>
      </c>
      <c r="J35" s="833"/>
      <c r="K35" s="834"/>
      <c r="L35" s="834"/>
      <c r="M35" s="834"/>
      <c r="N35" s="834"/>
      <c r="O35" s="834"/>
      <c r="P35" s="834"/>
      <c r="Q35" s="834"/>
      <c r="R35" s="834"/>
      <c r="S35" s="834"/>
      <c r="T35" s="834"/>
      <c r="U35" s="834"/>
      <c r="V35" s="834"/>
      <c r="W35" s="834"/>
      <c r="X35" s="835"/>
    </row>
    <row r="36" spans="1:24" ht="9" x14ac:dyDescent="0.2">
      <c r="A36" s="191" t="s">
        <v>58</v>
      </c>
      <c r="B36" s="831" t="s">
        <v>27</v>
      </c>
      <c r="C36" s="832"/>
      <c r="D36" s="192" t="s">
        <v>26</v>
      </c>
      <c r="E36" s="146">
        <v>35</v>
      </c>
      <c r="F36" s="249">
        <v>39</v>
      </c>
      <c r="G36" s="249">
        <v>39</v>
      </c>
      <c r="H36" s="233">
        <f t="shared" si="0"/>
        <v>100</v>
      </c>
      <c r="I36" s="250">
        <v>37</v>
      </c>
      <c r="J36" s="836"/>
      <c r="K36" s="837"/>
      <c r="L36" s="837"/>
      <c r="M36" s="837"/>
      <c r="N36" s="837"/>
      <c r="O36" s="837"/>
      <c r="P36" s="837"/>
      <c r="Q36" s="837"/>
      <c r="R36" s="837"/>
      <c r="S36" s="837"/>
      <c r="T36" s="837"/>
      <c r="U36" s="837"/>
      <c r="V36" s="837"/>
      <c r="W36" s="837"/>
      <c r="X36" s="838"/>
    </row>
    <row r="37" spans="1:24" customFormat="1" x14ac:dyDescent="0.15">
      <c r="A37" s="2"/>
    </row>
    <row r="38" spans="1:24" s="67" customFormat="1" x14ac:dyDescent="0.15">
      <c r="A38" s="68"/>
    </row>
    <row r="39" spans="1:24" s="67" customFormat="1" x14ac:dyDescent="0.15">
      <c r="A39" s="68"/>
      <c r="P39" s="69"/>
    </row>
    <row r="40" spans="1:24" s="67" customFormat="1" x14ac:dyDescent="0.15">
      <c r="A40" s="68"/>
    </row>
    <row r="41" spans="1:24" s="67" customFormat="1" x14ac:dyDescent="0.15">
      <c r="A41" s="68"/>
    </row>
    <row r="42" spans="1:24" s="67" customFormat="1" x14ac:dyDescent="0.15">
      <c r="A42" s="68"/>
    </row>
    <row r="43" spans="1:24" s="67" customFormat="1" x14ac:dyDescent="0.15">
      <c r="A43" s="68"/>
    </row>
    <row r="44" spans="1:24" s="67" customFormat="1" x14ac:dyDescent="0.15">
      <c r="A44" s="68"/>
    </row>
    <row r="45" spans="1:24" s="67" customFormat="1" x14ac:dyDescent="0.15">
      <c r="A45" s="68"/>
    </row>
    <row r="46" spans="1:24" s="67" customFormat="1" x14ac:dyDescent="0.15">
      <c r="A46" s="68"/>
    </row>
    <row r="47" spans="1:24" s="67" customFormat="1" x14ac:dyDescent="0.15">
      <c r="A47" s="68"/>
    </row>
    <row r="48" spans="1:24" s="67" customFormat="1" x14ac:dyDescent="0.15">
      <c r="A48" s="68"/>
    </row>
    <row r="49" spans="1:1" s="67" customFormat="1" x14ac:dyDescent="0.15">
      <c r="A49" s="68"/>
    </row>
    <row r="50" spans="1:1" s="67" customFormat="1" x14ac:dyDescent="0.15">
      <c r="A50" s="68"/>
    </row>
    <row r="51" spans="1:1" s="67" customFormat="1" x14ac:dyDescent="0.15">
      <c r="A51" s="68"/>
    </row>
    <row r="52" spans="1:1" s="67" customFormat="1" x14ac:dyDescent="0.15">
      <c r="A52" s="68"/>
    </row>
    <row r="53" spans="1:1" s="67" customFormat="1" x14ac:dyDescent="0.15">
      <c r="A53" s="68"/>
    </row>
    <row r="54" spans="1:1" s="67" customFormat="1" x14ac:dyDescent="0.15">
      <c r="A54" s="68"/>
    </row>
    <row r="55" spans="1:1" s="67" customFormat="1" x14ac:dyDescent="0.15">
      <c r="A55" s="68"/>
    </row>
    <row r="56" spans="1:1" s="67" customFormat="1" x14ac:dyDescent="0.15">
      <c r="A56" s="68"/>
    </row>
    <row r="57" spans="1:1" s="67" customFormat="1" x14ac:dyDescent="0.15">
      <c r="A57" s="68"/>
    </row>
    <row r="58" spans="1:1" s="67" customFormat="1" x14ac:dyDescent="0.15">
      <c r="A58" s="68"/>
    </row>
    <row r="59" spans="1:1" s="67" customFormat="1" x14ac:dyDescent="0.15">
      <c r="A59" s="68"/>
    </row>
    <row r="60" spans="1:1" s="67" customFormat="1" x14ac:dyDescent="0.15">
      <c r="A60" s="68"/>
    </row>
    <row r="61" spans="1:1" s="67" customFormat="1" x14ac:dyDescent="0.15">
      <c r="A61" s="68"/>
    </row>
    <row r="62" spans="1:1" s="67" customFormat="1" x14ac:dyDescent="0.15">
      <c r="A62" s="68"/>
    </row>
    <row r="63" spans="1:1" s="67" customFormat="1" x14ac:dyDescent="0.15">
      <c r="A63" s="68"/>
    </row>
    <row r="64" spans="1:1" s="67" customFormat="1" x14ac:dyDescent="0.15">
      <c r="A64" s="68"/>
    </row>
    <row r="65" spans="1:1" s="67" customFormat="1" x14ac:dyDescent="0.15">
      <c r="A65" s="68"/>
    </row>
    <row r="66" spans="1:1" s="67" customFormat="1" x14ac:dyDescent="0.15">
      <c r="A66" s="68"/>
    </row>
    <row r="67" spans="1:1" s="67" customFormat="1" x14ac:dyDescent="0.15">
      <c r="A67" s="68"/>
    </row>
    <row r="68" spans="1:1" s="67" customFormat="1" x14ac:dyDescent="0.15">
      <c r="A68" s="68"/>
    </row>
  </sheetData>
  <mergeCells count="40">
    <mergeCell ref="J34:X36"/>
    <mergeCell ref="B35:C35"/>
    <mergeCell ref="B36:C36"/>
    <mergeCell ref="B21:C21"/>
    <mergeCell ref="B22:C22"/>
    <mergeCell ref="B34:C34"/>
    <mergeCell ref="B26:C26"/>
    <mergeCell ref="B29:C29"/>
    <mergeCell ref="B3:C5"/>
    <mergeCell ref="J4:J5"/>
    <mergeCell ref="E3:I3"/>
    <mergeCell ref="F4:H4"/>
    <mergeCell ref="B20:C20"/>
    <mergeCell ref="B6:C6"/>
    <mergeCell ref="B7:C7"/>
    <mergeCell ref="B8:C8"/>
    <mergeCell ref="B10:C10"/>
    <mergeCell ref="B11:C11"/>
    <mergeCell ref="B12:C12"/>
    <mergeCell ref="B13:C13"/>
    <mergeCell ref="B15:C15"/>
    <mergeCell ref="B16:C16"/>
    <mergeCell ref="B18:C18"/>
    <mergeCell ref="B19:C19"/>
    <mergeCell ref="E4:E5"/>
    <mergeCell ref="S4:S5"/>
    <mergeCell ref="O4:O5"/>
    <mergeCell ref="I4:I5"/>
    <mergeCell ref="A1:X1"/>
    <mergeCell ref="T4:T5"/>
    <mergeCell ref="U4:W4"/>
    <mergeCell ref="X4:X5"/>
    <mergeCell ref="T3:X3"/>
    <mergeCell ref="K4:M4"/>
    <mergeCell ref="N4:N5"/>
    <mergeCell ref="D3:D5"/>
    <mergeCell ref="J3:N3"/>
    <mergeCell ref="A3:A5"/>
    <mergeCell ref="O3:S3"/>
    <mergeCell ref="P4:R4"/>
  </mergeCells>
  <phoneticPr fontId="0" type="noConversion"/>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3"/>
  <sheetViews>
    <sheetView tabSelected="1" zoomScaleNormal="100" workbookViewId="0"/>
  </sheetViews>
  <sheetFormatPr defaultRowHeight="12.75" x14ac:dyDescent="0.2"/>
  <cols>
    <col min="1" max="1" width="74.75" style="61" customWidth="1"/>
    <col min="2" max="9" width="23.75" style="61" customWidth="1"/>
  </cols>
  <sheetData>
    <row r="1" spans="1:9" ht="18.75" x14ac:dyDescent="0.3">
      <c r="A1" s="60" t="s">
        <v>78</v>
      </c>
      <c r="B1" s="60"/>
      <c r="C1" s="60"/>
      <c r="D1" s="60"/>
      <c r="E1" s="60"/>
      <c r="F1" s="60"/>
      <c r="G1" s="60"/>
      <c r="H1" s="60"/>
      <c r="I1" s="60"/>
    </row>
    <row r="3" spans="1:9" s="88" customFormat="1" ht="10.5" x14ac:dyDescent="0.15">
      <c r="A3" s="742" t="s">
        <v>175</v>
      </c>
      <c r="B3" s="742"/>
      <c r="C3" s="742"/>
      <c r="D3" s="742"/>
      <c r="E3" s="742"/>
      <c r="F3" s="742"/>
      <c r="G3" s="742"/>
      <c r="H3" s="742"/>
      <c r="I3" s="742"/>
    </row>
    <row r="4" spans="1:9" s="87" customFormat="1" ht="11.25" x14ac:dyDescent="0.2"/>
    <row r="5" spans="1:9" s="282" customFormat="1" ht="10.5" x14ac:dyDescent="0.15">
      <c r="A5" s="790" t="s">
        <v>68</v>
      </c>
      <c r="B5" s="791"/>
      <c r="C5" s="281" t="s">
        <v>25</v>
      </c>
      <c r="D5" s="788" t="s">
        <v>176</v>
      </c>
      <c r="E5" s="788"/>
      <c r="F5" s="788"/>
      <c r="G5" s="788"/>
      <c r="H5" s="788"/>
      <c r="I5" s="788"/>
    </row>
    <row r="6" spans="1:9" s="87" customFormat="1" ht="11.25" x14ac:dyDescent="0.2">
      <c r="A6" s="792" t="s">
        <v>177</v>
      </c>
      <c r="B6" s="792"/>
      <c r="C6" s="283">
        <f>SUM(C7:C9)</f>
        <v>12471.4</v>
      </c>
      <c r="D6" s="793"/>
      <c r="E6" s="794"/>
      <c r="F6" s="794"/>
      <c r="G6" s="794"/>
      <c r="H6" s="794"/>
      <c r="I6" s="795"/>
    </row>
    <row r="7" spans="1:9" s="87" customFormat="1" ht="24" customHeight="1" x14ac:dyDescent="0.2">
      <c r="A7" s="796" t="s">
        <v>69</v>
      </c>
      <c r="B7" s="797"/>
      <c r="C7" s="284">
        <v>7971.4</v>
      </c>
      <c r="D7" s="798" t="s">
        <v>1205</v>
      </c>
      <c r="E7" s="798"/>
      <c r="F7" s="798"/>
      <c r="G7" s="798"/>
      <c r="H7" s="798"/>
      <c r="I7" s="798"/>
    </row>
    <row r="8" spans="1:9" s="88" customFormat="1" ht="11.25" x14ac:dyDescent="0.15">
      <c r="A8" s="757" t="s">
        <v>178</v>
      </c>
      <c r="B8" s="758"/>
      <c r="C8" s="285">
        <v>4500</v>
      </c>
      <c r="D8" s="737" t="s">
        <v>1206</v>
      </c>
      <c r="E8" s="737"/>
      <c r="F8" s="737"/>
      <c r="G8" s="737"/>
      <c r="H8" s="737"/>
      <c r="I8" s="737"/>
    </row>
    <row r="9" spans="1:9" s="88" customFormat="1" ht="10.5" x14ac:dyDescent="0.15">
      <c r="A9" s="757" t="s">
        <v>179</v>
      </c>
      <c r="B9" s="758"/>
      <c r="C9" s="285">
        <v>0</v>
      </c>
      <c r="D9" s="759"/>
      <c r="E9" s="760"/>
      <c r="F9" s="760"/>
      <c r="G9" s="760"/>
      <c r="H9" s="760"/>
      <c r="I9" s="761"/>
    </row>
    <row r="10" spans="1:9" s="87" customFormat="1" ht="11.25" x14ac:dyDescent="0.2">
      <c r="C10" s="89"/>
    </row>
    <row r="11" spans="1:9" s="87" customFormat="1" ht="11.25" x14ac:dyDescent="0.2">
      <c r="A11" s="742" t="s">
        <v>180</v>
      </c>
      <c r="B11" s="742"/>
      <c r="C11" s="742"/>
      <c r="D11" s="742"/>
      <c r="E11" s="742"/>
      <c r="F11" s="742"/>
      <c r="G11" s="742"/>
      <c r="H11" s="742"/>
      <c r="I11" s="742"/>
    </row>
    <row r="12" spans="1:9" s="87" customFormat="1" ht="11.25" x14ac:dyDescent="0.2">
      <c r="C12" s="89"/>
      <c r="D12" s="162"/>
      <c r="E12" s="162"/>
      <c r="F12" s="162"/>
      <c r="G12" s="162"/>
      <c r="H12" s="162"/>
      <c r="I12" s="162"/>
    </row>
    <row r="13" spans="1:9" s="87" customFormat="1" ht="11.25" x14ac:dyDescent="0.2">
      <c r="A13" s="281" t="s">
        <v>68</v>
      </c>
      <c r="B13" s="281" t="s">
        <v>181</v>
      </c>
      <c r="C13" s="281" t="s">
        <v>25</v>
      </c>
      <c r="D13" s="286"/>
      <c r="E13" s="287"/>
      <c r="F13" s="287"/>
      <c r="G13" s="287"/>
      <c r="H13" s="287"/>
      <c r="I13" s="287"/>
    </row>
    <row r="14" spans="1:9" s="87" customFormat="1" ht="11.25" x14ac:dyDescent="0.2">
      <c r="A14" s="288" t="s">
        <v>182</v>
      </c>
      <c r="B14" s="289"/>
      <c r="C14" s="290">
        <v>0</v>
      </c>
      <c r="D14" s="291"/>
      <c r="E14" s="292"/>
      <c r="F14" s="292"/>
      <c r="G14" s="292"/>
      <c r="H14" s="292"/>
      <c r="I14" s="292"/>
    </row>
    <row r="15" spans="1:9" s="87" customFormat="1" ht="11.25" x14ac:dyDescent="0.2">
      <c r="A15" s="762" t="s">
        <v>183</v>
      </c>
      <c r="B15" s="293" t="s">
        <v>70</v>
      </c>
      <c r="C15" s="294">
        <v>9471.4</v>
      </c>
      <c r="D15" s="295"/>
      <c r="E15" s="296"/>
      <c r="F15" s="296"/>
      <c r="G15" s="296"/>
      <c r="H15" s="296"/>
      <c r="I15" s="296"/>
    </row>
    <row r="16" spans="1:9" s="87" customFormat="1" ht="11.25" x14ac:dyDescent="0.2">
      <c r="A16" s="763"/>
      <c r="B16" s="297" t="s">
        <v>71</v>
      </c>
      <c r="C16" s="298">
        <v>3000</v>
      </c>
      <c r="D16" s="299"/>
      <c r="E16" s="300"/>
      <c r="F16" s="300"/>
      <c r="G16" s="300"/>
      <c r="H16" s="300"/>
      <c r="I16" s="300"/>
    </row>
    <row r="17" spans="1:9" s="87" customFormat="1" ht="11.25" x14ac:dyDescent="0.2">
      <c r="A17" s="301" t="s">
        <v>177</v>
      </c>
      <c r="B17" s="302"/>
      <c r="C17" s="283">
        <f>SUM(C14:C16)</f>
        <v>12471.4</v>
      </c>
      <c r="D17" s="303"/>
      <c r="E17" s="303"/>
      <c r="F17" s="303"/>
      <c r="G17" s="303"/>
      <c r="H17" s="303"/>
      <c r="I17" s="303"/>
    </row>
    <row r="18" spans="1:9" s="91" customFormat="1" ht="11.25" x14ac:dyDescent="0.2">
      <c r="A18" s="304"/>
      <c r="C18" s="92"/>
      <c r="D18" s="305"/>
      <c r="E18" s="305"/>
      <c r="F18" s="305"/>
      <c r="G18" s="305"/>
      <c r="H18" s="305"/>
      <c r="I18" s="305"/>
    </row>
    <row r="19" spans="1:9" s="87" customFormat="1" ht="11.25" x14ac:dyDescent="0.2">
      <c r="A19" s="742" t="s">
        <v>184</v>
      </c>
      <c r="B19" s="742"/>
      <c r="C19" s="742"/>
      <c r="D19" s="742"/>
      <c r="E19" s="742"/>
      <c r="F19" s="742"/>
      <c r="G19" s="742"/>
      <c r="H19" s="742"/>
      <c r="I19" s="742"/>
    </row>
    <row r="20" spans="1:9" s="87" customFormat="1" ht="11.25" x14ac:dyDescent="0.2">
      <c r="C20" s="89"/>
    </row>
    <row r="21" spans="1:9" s="309" customFormat="1" ht="21" x14ac:dyDescent="0.15">
      <c r="A21" s="308" t="s">
        <v>181</v>
      </c>
      <c r="B21" s="308" t="s">
        <v>185</v>
      </c>
      <c r="C21" s="307" t="s">
        <v>186</v>
      </c>
      <c r="D21" s="308" t="s">
        <v>187</v>
      </c>
      <c r="E21" s="308" t="s">
        <v>188</v>
      </c>
      <c r="F21" s="764" t="s">
        <v>189</v>
      </c>
      <c r="G21" s="764"/>
      <c r="H21" s="764"/>
      <c r="I21" s="764"/>
    </row>
    <row r="22" spans="1:9" s="87" customFormat="1" ht="11.25" x14ac:dyDescent="0.2">
      <c r="A22" s="310" t="s">
        <v>190</v>
      </c>
      <c r="B22" s="124">
        <v>143609.51</v>
      </c>
      <c r="C22" s="124">
        <v>145373.81</v>
      </c>
      <c r="D22" s="124">
        <v>155384</v>
      </c>
      <c r="E22" s="124">
        <v>133599.32</v>
      </c>
      <c r="F22" s="778" t="s">
        <v>320</v>
      </c>
      <c r="G22" s="779"/>
      <c r="H22" s="779"/>
      <c r="I22" s="780"/>
    </row>
    <row r="23" spans="1:9" s="87" customFormat="1" ht="11.25" x14ac:dyDescent="0.2">
      <c r="A23" s="293" t="s">
        <v>99</v>
      </c>
      <c r="B23" s="125">
        <v>25791</v>
      </c>
      <c r="C23" s="125">
        <v>100828</v>
      </c>
      <c r="D23" s="125">
        <v>92620</v>
      </c>
      <c r="E23" s="125">
        <v>33999</v>
      </c>
      <c r="F23" s="781" t="s">
        <v>321</v>
      </c>
      <c r="G23" s="782"/>
      <c r="H23" s="782"/>
      <c r="I23" s="783"/>
    </row>
    <row r="24" spans="1:9" s="87" customFormat="1" ht="11.25" x14ac:dyDescent="0.2">
      <c r="A24" s="293" t="s">
        <v>71</v>
      </c>
      <c r="B24" s="125">
        <v>69441.53</v>
      </c>
      <c r="C24" s="125">
        <v>3558.47</v>
      </c>
      <c r="D24" s="125">
        <v>30000</v>
      </c>
      <c r="E24" s="125">
        <v>43000</v>
      </c>
      <c r="F24" s="781" t="s">
        <v>322</v>
      </c>
      <c r="G24" s="782"/>
      <c r="H24" s="782"/>
      <c r="I24" s="783"/>
    </row>
    <row r="25" spans="1:9" s="87" customFormat="1" ht="11.25" x14ac:dyDescent="0.2">
      <c r="A25" s="311" t="s">
        <v>193</v>
      </c>
      <c r="B25" s="126">
        <v>15698.02</v>
      </c>
      <c r="C25" s="126">
        <v>34267</v>
      </c>
      <c r="D25" s="126">
        <v>35238</v>
      </c>
      <c r="E25" s="126">
        <f t="shared" ref="E25" si="0">B25+C25-D25</f>
        <v>14727.020000000004</v>
      </c>
      <c r="F25" s="784" t="s">
        <v>323</v>
      </c>
      <c r="G25" s="785"/>
      <c r="H25" s="785"/>
      <c r="I25" s="786"/>
    </row>
    <row r="26" spans="1:9" s="88" customFormat="1" ht="10.5" x14ac:dyDescent="0.15">
      <c r="A26" s="670" t="s">
        <v>34</v>
      </c>
      <c r="B26" s="283">
        <f>SUM(B22:B25)</f>
        <v>254540.06</v>
      </c>
      <c r="C26" s="283">
        <f t="shared" ref="C26:E26" si="1">SUM(C22:C25)</f>
        <v>284027.28000000003</v>
      </c>
      <c r="D26" s="283">
        <f t="shared" si="1"/>
        <v>313242</v>
      </c>
      <c r="E26" s="283">
        <f t="shared" si="1"/>
        <v>225325.34000000003</v>
      </c>
      <c r="F26" s="787"/>
      <c r="G26" s="787"/>
      <c r="H26" s="787"/>
      <c r="I26" s="787"/>
    </row>
    <row r="27" spans="1:9" s="87" customFormat="1" ht="11.25" x14ac:dyDescent="0.2">
      <c r="C27" s="89"/>
    </row>
    <row r="28" spans="1:9" s="87" customFormat="1" ht="11.25" x14ac:dyDescent="0.2">
      <c r="A28" s="742" t="s">
        <v>195</v>
      </c>
      <c r="B28" s="742"/>
      <c r="C28" s="742"/>
      <c r="D28" s="742"/>
      <c r="E28" s="742"/>
      <c r="F28" s="742"/>
      <c r="G28" s="742"/>
      <c r="H28" s="742"/>
      <c r="I28" s="742"/>
    </row>
    <row r="29" spans="1:9" s="87" customFormat="1" ht="11.25" x14ac:dyDescent="0.2">
      <c r="C29" s="89"/>
    </row>
    <row r="30" spans="1:9" s="87" customFormat="1" ht="11.25" x14ac:dyDescent="0.2">
      <c r="A30" s="281" t="s">
        <v>72</v>
      </c>
      <c r="B30" s="281" t="s">
        <v>25</v>
      </c>
      <c r="C30" s="317" t="s">
        <v>73</v>
      </c>
      <c r="D30" s="788" t="s">
        <v>196</v>
      </c>
      <c r="E30" s="788"/>
      <c r="F30" s="788"/>
      <c r="G30" s="788"/>
      <c r="H30" s="788"/>
      <c r="I30" s="788"/>
    </row>
    <row r="31" spans="1:9" s="87" customFormat="1" ht="11.25" x14ac:dyDescent="0.2">
      <c r="A31" s="343"/>
      <c r="B31" s="132">
        <v>0</v>
      </c>
      <c r="C31" s="337"/>
      <c r="D31" s="856"/>
      <c r="E31" s="857"/>
      <c r="F31" s="857"/>
      <c r="G31" s="857"/>
      <c r="H31" s="857"/>
      <c r="I31" s="858"/>
    </row>
    <row r="32" spans="1:9" s="88" customFormat="1" ht="11.25" x14ac:dyDescent="0.2">
      <c r="A32" s="315" t="s">
        <v>34</v>
      </c>
      <c r="B32" s="316">
        <f>SUM(B31:B31)</f>
        <v>0</v>
      </c>
      <c r="C32" s="777"/>
      <c r="D32" s="777"/>
      <c r="E32" s="777"/>
      <c r="F32" s="777"/>
      <c r="G32" s="777"/>
      <c r="H32" s="777"/>
      <c r="I32" s="777"/>
    </row>
    <row r="33" spans="1:9" s="87" customFormat="1" ht="11.25" x14ac:dyDescent="0.2">
      <c r="C33" s="89"/>
    </row>
    <row r="34" spans="1:9" s="87" customFormat="1" ht="11.25" x14ac:dyDescent="0.2">
      <c r="A34" s="742" t="s">
        <v>197</v>
      </c>
      <c r="B34" s="742"/>
      <c r="C34" s="742"/>
      <c r="D34" s="742"/>
      <c r="E34" s="742"/>
      <c r="F34" s="742"/>
      <c r="G34" s="742"/>
      <c r="H34" s="742"/>
      <c r="I34" s="742"/>
    </row>
    <row r="35" spans="1:9" s="87" customFormat="1" ht="11.25" x14ac:dyDescent="0.2">
      <c r="C35" s="89"/>
    </row>
    <row r="36" spans="1:9" s="87" customFormat="1" ht="11.25" x14ac:dyDescent="0.2">
      <c r="A36" s="281" t="s">
        <v>72</v>
      </c>
      <c r="B36" s="281" t="s">
        <v>25</v>
      </c>
      <c r="C36" s="317" t="s">
        <v>73</v>
      </c>
      <c r="D36" s="788" t="s">
        <v>196</v>
      </c>
      <c r="E36" s="788"/>
      <c r="F36" s="788"/>
      <c r="G36" s="788"/>
      <c r="H36" s="788"/>
      <c r="I36" s="788"/>
    </row>
    <row r="37" spans="1:9" s="87" customFormat="1" ht="11.25" x14ac:dyDescent="0.2">
      <c r="A37" s="343"/>
      <c r="B37" s="132">
        <v>0</v>
      </c>
      <c r="C37" s="337"/>
      <c r="D37" s="784"/>
      <c r="E37" s="785"/>
      <c r="F37" s="785"/>
      <c r="G37" s="785"/>
      <c r="H37" s="785"/>
      <c r="I37" s="786"/>
    </row>
    <row r="38" spans="1:9" s="88" customFormat="1" ht="10.5" x14ac:dyDescent="0.15">
      <c r="A38" s="315" t="s">
        <v>34</v>
      </c>
      <c r="B38" s="316">
        <f>SUM(B37:B37)</f>
        <v>0</v>
      </c>
      <c r="C38" s="776"/>
      <c r="D38" s="776"/>
      <c r="E38" s="776"/>
      <c r="F38" s="776"/>
      <c r="G38" s="776"/>
      <c r="H38" s="776"/>
      <c r="I38" s="776"/>
    </row>
    <row r="39" spans="1:9" s="87" customFormat="1" ht="11.25" x14ac:dyDescent="0.2">
      <c r="A39" s="360"/>
      <c r="C39" s="89"/>
    </row>
    <row r="40" spans="1:9" s="87" customFormat="1" ht="11.25" x14ac:dyDescent="0.2">
      <c r="A40" s="281"/>
      <c r="B40" s="281"/>
      <c r="C40" s="317"/>
      <c r="D40" s="788"/>
      <c r="E40" s="788"/>
      <c r="F40" s="788"/>
      <c r="G40" s="788"/>
      <c r="H40" s="788"/>
      <c r="I40" s="788"/>
    </row>
    <row r="41" spans="1:9" s="91" customFormat="1" ht="11.25" x14ac:dyDescent="0.2">
      <c r="A41" s="363"/>
      <c r="B41" s="363"/>
      <c r="C41" s="364"/>
      <c r="D41" s="363"/>
      <c r="E41" s="363"/>
      <c r="F41" s="363"/>
      <c r="G41" s="363"/>
      <c r="H41" s="363"/>
      <c r="I41" s="363"/>
    </row>
    <row r="42" spans="1:9" s="87" customFormat="1" ht="11.25" x14ac:dyDescent="0.2">
      <c r="A42" s="742" t="s">
        <v>198</v>
      </c>
      <c r="B42" s="742"/>
      <c r="C42" s="742"/>
      <c r="D42" s="742"/>
      <c r="E42" s="742"/>
      <c r="F42" s="742"/>
      <c r="G42" s="742"/>
      <c r="H42" s="742"/>
      <c r="I42" s="742"/>
    </row>
    <row r="43" spans="1:9" s="87" customFormat="1" ht="11.25" x14ac:dyDescent="0.2">
      <c r="C43" s="89"/>
    </row>
    <row r="44" spans="1:9" s="87" customFormat="1" ht="21" x14ac:dyDescent="0.2">
      <c r="A44" s="281" t="s">
        <v>25</v>
      </c>
      <c r="B44" s="307" t="s">
        <v>302</v>
      </c>
      <c r="C44" s="765" t="s">
        <v>74</v>
      </c>
      <c r="D44" s="765"/>
      <c r="E44" s="765"/>
      <c r="F44" s="765"/>
      <c r="G44" s="765"/>
      <c r="H44" s="765"/>
      <c r="I44" s="765"/>
    </row>
    <row r="45" spans="1:9" s="87" customFormat="1" ht="21.75" customHeight="1" x14ac:dyDescent="0.2">
      <c r="A45" s="124">
        <v>95450</v>
      </c>
      <c r="B45" s="124">
        <v>126628</v>
      </c>
      <c r="C45" s="847" t="s">
        <v>324</v>
      </c>
      <c r="D45" s="847"/>
      <c r="E45" s="847"/>
      <c r="F45" s="847"/>
      <c r="G45" s="847"/>
      <c r="H45" s="847"/>
      <c r="I45" s="847"/>
    </row>
    <row r="46" spans="1:9" s="88" customFormat="1" ht="10.5" x14ac:dyDescent="0.15">
      <c r="A46" s="283">
        <f>SUM(A45:A45)</f>
        <v>95450</v>
      </c>
      <c r="B46" s="283">
        <f>SUM(B45:B45)</f>
        <v>126628</v>
      </c>
      <c r="C46" s="767" t="s">
        <v>34</v>
      </c>
      <c r="D46" s="767"/>
      <c r="E46" s="767"/>
      <c r="F46" s="767"/>
      <c r="G46" s="767"/>
      <c r="H46" s="767"/>
      <c r="I46" s="767"/>
    </row>
    <row r="47" spans="1:9" s="87" customFormat="1" ht="11.25" x14ac:dyDescent="0.2">
      <c r="C47" s="89"/>
    </row>
    <row r="48" spans="1:9" s="87" customFormat="1" ht="11.25" x14ac:dyDescent="0.2">
      <c r="A48" s="742" t="s">
        <v>199</v>
      </c>
      <c r="B48" s="742"/>
      <c r="C48" s="742"/>
      <c r="D48" s="742"/>
      <c r="E48" s="742"/>
      <c r="F48" s="742"/>
      <c r="G48" s="742"/>
      <c r="H48" s="742"/>
      <c r="I48" s="742"/>
    </row>
    <row r="49" spans="1:7" s="87" customFormat="1" ht="11.25" x14ac:dyDescent="0.2">
      <c r="C49" s="89"/>
    </row>
    <row r="50" spans="1:7" s="121" customFormat="1" ht="34.5" customHeight="1" x14ac:dyDescent="0.25">
      <c r="A50" s="876" t="s">
        <v>101</v>
      </c>
      <c r="B50" s="877"/>
      <c r="C50" s="361" t="s">
        <v>102</v>
      </c>
      <c r="D50" s="361" t="s">
        <v>103</v>
      </c>
      <c r="E50" s="361" t="s">
        <v>104</v>
      </c>
      <c r="F50" s="361" t="s">
        <v>105</v>
      </c>
      <c r="G50" s="361" t="s">
        <v>94</v>
      </c>
    </row>
    <row r="51" spans="1:7" s="122" customFormat="1" ht="10.5" customHeight="1" x14ac:dyDescent="0.2">
      <c r="A51" s="844" t="s">
        <v>325</v>
      </c>
      <c r="B51" s="779"/>
      <c r="C51" s="123" t="s">
        <v>106</v>
      </c>
      <c r="D51" s="154">
        <v>19028</v>
      </c>
      <c r="E51" s="154"/>
      <c r="F51" s="155">
        <v>42065</v>
      </c>
      <c r="G51" s="155" t="s">
        <v>303</v>
      </c>
    </row>
    <row r="52" spans="1:7" s="122" customFormat="1" ht="10.5" customHeight="1" x14ac:dyDescent="0.2">
      <c r="A52" s="878" t="s">
        <v>326</v>
      </c>
      <c r="B52" s="879"/>
      <c r="C52" s="367" t="s">
        <v>362</v>
      </c>
      <c r="D52" s="369"/>
      <c r="E52" s="369">
        <v>12716</v>
      </c>
      <c r="F52" s="368">
        <v>42065</v>
      </c>
      <c r="G52" s="368">
        <v>42065</v>
      </c>
    </row>
    <row r="53" spans="1:7" s="122" customFormat="1" ht="11.25" customHeight="1" x14ac:dyDescent="0.2">
      <c r="A53" s="890"/>
      <c r="B53" s="891"/>
      <c r="C53" s="367" t="s">
        <v>132</v>
      </c>
      <c r="D53" s="369"/>
      <c r="E53" s="369">
        <v>6312</v>
      </c>
      <c r="F53" s="368"/>
      <c r="G53" s="368"/>
    </row>
    <row r="54" spans="1:7" s="122" customFormat="1" ht="11.25" customHeight="1" x14ac:dyDescent="0.2">
      <c r="A54" s="843" t="s">
        <v>329</v>
      </c>
      <c r="B54" s="783"/>
      <c r="C54" s="163" t="s">
        <v>112</v>
      </c>
      <c r="D54" s="130">
        <v>92620</v>
      </c>
      <c r="E54" s="130">
        <v>92620</v>
      </c>
      <c r="F54" s="140">
        <v>42122</v>
      </c>
      <c r="G54" s="140">
        <v>42124</v>
      </c>
    </row>
    <row r="55" spans="1:7" s="122" customFormat="1" ht="24" customHeight="1" x14ac:dyDescent="0.2">
      <c r="A55" s="843" t="s">
        <v>327</v>
      </c>
      <c r="B55" s="783"/>
      <c r="C55" s="163" t="s">
        <v>109</v>
      </c>
      <c r="D55" s="130"/>
      <c r="E55" s="130">
        <v>-1260</v>
      </c>
      <c r="F55" s="140">
        <v>42156</v>
      </c>
      <c r="G55" s="140">
        <v>42156</v>
      </c>
    </row>
    <row r="56" spans="1:7" s="122" customFormat="1" ht="12" x14ac:dyDescent="0.2">
      <c r="A56" s="843" t="s">
        <v>328</v>
      </c>
      <c r="B56" s="783"/>
      <c r="C56" s="163" t="s">
        <v>110</v>
      </c>
      <c r="D56" s="130"/>
      <c r="E56" s="130">
        <v>1260</v>
      </c>
      <c r="F56" s="140">
        <v>42156</v>
      </c>
      <c r="G56" s="140">
        <v>42156</v>
      </c>
    </row>
    <row r="57" spans="1:7" s="122" customFormat="1" ht="12" customHeight="1" x14ac:dyDescent="0.2">
      <c r="A57" s="843" t="s">
        <v>330</v>
      </c>
      <c r="B57" s="783"/>
      <c r="C57" s="139">
        <v>528</v>
      </c>
      <c r="D57" s="130"/>
      <c r="E57" s="130">
        <v>-7000</v>
      </c>
      <c r="F57" s="140" t="s">
        <v>331</v>
      </c>
      <c r="G57" s="140">
        <v>42272</v>
      </c>
    </row>
    <row r="58" spans="1:7" s="122" customFormat="1" ht="12" customHeight="1" x14ac:dyDescent="0.2">
      <c r="A58" s="843" t="s">
        <v>330</v>
      </c>
      <c r="B58" s="783"/>
      <c r="C58" s="163" t="s">
        <v>304</v>
      </c>
      <c r="D58" s="130"/>
      <c r="E58" s="130">
        <v>7000</v>
      </c>
      <c r="F58" s="140" t="s">
        <v>331</v>
      </c>
      <c r="G58" s="140">
        <v>42272</v>
      </c>
    </row>
    <row r="59" spans="1:7" s="122" customFormat="1" ht="12" customHeight="1" x14ac:dyDescent="0.2">
      <c r="A59" s="843" t="s">
        <v>332</v>
      </c>
      <c r="B59" s="783"/>
      <c r="C59" s="163" t="s">
        <v>106</v>
      </c>
      <c r="D59" s="130">
        <v>28756</v>
      </c>
      <c r="E59" s="130"/>
      <c r="F59" s="140">
        <v>42217</v>
      </c>
      <c r="G59" s="140">
        <v>42218</v>
      </c>
    </row>
    <row r="60" spans="1:7" s="122" customFormat="1" ht="12" x14ac:dyDescent="0.2">
      <c r="A60" s="843" t="s">
        <v>1209</v>
      </c>
      <c r="B60" s="783"/>
      <c r="C60" s="163" t="s">
        <v>113</v>
      </c>
      <c r="D60" s="130"/>
      <c r="E60" s="130">
        <v>28756</v>
      </c>
      <c r="F60" s="140">
        <v>42217</v>
      </c>
      <c r="G60" s="140">
        <v>42218</v>
      </c>
    </row>
    <row r="61" spans="1:7" s="122" customFormat="1" ht="12" x14ac:dyDescent="0.2">
      <c r="A61" s="843" t="s">
        <v>305</v>
      </c>
      <c r="B61" s="783"/>
      <c r="C61" s="163" t="s">
        <v>106</v>
      </c>
      <c r="D61" s="130">
        <v>107600</v>
      </c>
      <c r="E61" s="130"/>
      <c r="F61" s="140">
        <v>42217</v>
      </c>
      <c r="G61" s="140">
        <v>42218</v>
      </c>
    </row>
    <row r="62" spans="1:7" s="122" customFormat="1" ht="23.25" customHeight="1" x14ac:dyDescent="0.2">
      <c r="A62" s="843" t="s">
        <v>333</v>
      </c>
      <c r="B62" s="783"/>
      <c r="C62" s="163" t="s">
        <v>113</v>
      </c>
      <c r="D62" s="130"/>
      <c r="E62" s="130">
        <v>105842</v>
      </c>
      <c r="F62" s="140">
        <v>42217</v>
      </c>
      <c r="G62" s="140">
        <v>42218</v>
      </c>
    </row>
    <row r="63" spans="1:7" s="122" customFormat="1" ht="12" x14ac:dyDescent="0.2">
      <c r="A63" s="843" t="s">
        <v>1207</v>
      </c>
      <c r="B63" s="783"/>
      <c r="C63" s="163" t="s">
        <v>107</v>
      </c>
      <c r="D63" s="130"/>
      <c r="E63" s="130">
        <v>1758</v>
      </c>
      <c r="F63" s="140">
        <v>42217</v>
      </c>
      <c r="G63" s="140">
        <v>42218</v>
      </c>
    </row>
    <row r="64" spans="1:7" s="122" customFormat="1" ht="24.75" customHeight="1" x14ac:dyDescent="0.2">
      <c r="A64" s="878" t="s">
        <v>1208</v>
      </c>
      <c r="B64" s="879"/>
      <c r="C64" s="163" t="s">
        <v>361</v>
      </c>
      <c r="D64" s="130">
        <v>70972</v>
      </c>
      <c r="E64" s="130">
        <v>10765</v>
      </c>
      <c r="F64" s="140" t="s">
        <v>306</v>
      </c>
      <c r="G64" s="140" t="s">
        <v>307</v>
      </c>
    </row>
    <row r="65" spans="1:8" s="122" customFormat="1" ht="10.5" customHeight="1" x14ac:dyDescent="0.2">
      <c r="A65" s="888"/>
      <c r="B65" s="889"/>
      <c r="C65" s="163" t="s">
        <v>107</v>
      </c>
      <c r="D65" s="130"/>
      <c r="E65" s="130">
        <v>22282</v>
      </c>
      <c r="F65" s="140"/>
      <c r="G65" s="140"/>
    </row>
    <row r="66" spans="1:8" s="122" customFormat="1" ht="11.25" customHeight="1" x14ac:dyDescent="0.2">
      <c r="A66" s="890"/>
      <c r="B66" s="891"/>
      <c r="C66" s="163" t="s">
        <v>360</v>
      </c>
      <c r="D66" s="130"/>
      <c r="E66" s="130">
        <v>37925</v>
      </c>
      <c r="F66" s="140"/>
      <c r="G66" s="140"/>
    </row>
    <row r="67" spans="1:8" s="122" customFormat="1" ht="23.25" customHeight="1" x14ac:dyDescent="0.2">
      <c r="A67" s="843" t="s">
        <v>335</v>
      </c>
      <c r="B67" s="783"/>
      <c r="C67" s="163" t="s">
        <v>308</v>
      </c>
      <c r="D67" s="130"/>
      <c r="E67" s="130">
        <v>-30891.3</v>
      </c>
      <c r="F67" s="140">
        <v>42248</v>
      </c>
      <c r="G67" s="140" t="s">
        <v>334</v>
      </c>
    </row>
    <row r="68" spans="1:8" s="122" customFormat="1" ht="12" x14ac:dyDescent="0.2">
      <c r="A68" s="843" t="s">
        <v>336</v>
      </c>
      <c r="B68" s="783"/>
      <c r="C68" s="163" t="s">
        <v>309</v>
      </c>
      <c r="D68" s="130"/>
      <c r="E68" s="130">
        <v>30891.3</v>
      </c>
      <c r="F68" s="140">
        <v>42248</v>
      </c>
      <c r="G68" s="140">
        <v>42369</v>
      </c>
    </row>
    <row r="69" spans="1:8" s="122" customFormat="1" ht="24" customHeight="1" x14ac:dyDescent="0.2">
      <c r="A69" s="843" t="s">
        <v>1211</v>
      </c>
      <c r="B69" s="783"/>
      <c r="C69" s="139">
        <v>502</v>
      </c>
      <c r="D69" s="130"/>
      <c r="E69" s="130">
        <v>-170000</v>
      </c>
      <c r="F69" s="140">
        <v>42335</v>
      </c>
      <c r="G69" s="140">
        <v>42335</v>
      </c>
      <c r="H69" s="362"/>
    </row>
    <row r="70" spans="1:8" s="122" customFormat="1" ht="23.25" customHeight="1" x14ac:dyDescent="0.2">
      <c r="A70" s="843" t="s">
        <v>337</v>
      </c>
      <c r="B70" s="783"/>
      <c r="C70" s="163" t="s">
        <v>113</v>
      </c>
      <c r="D70" s="130"/>
      <c r="E70" s="130">
        <v>110000</v>
      </c>
      <c r="F70" s="140">
        <v>42335</v>
      </c>
      <c r="G70" s="140">
        <v>42335</v>
      </c>
      <c r="H70" s="362"/>
    </row>
    <row r="71" spans="1:8" s="122" customFormat="1" ht="24" customHeight="1" x14ac:dyDescent="0.2">
      <c r="A71" s="843" t="s">
        <v>338</v>
      </c>
      <c r="B71" s="783"/>
      <c r="C71" s="163" t="s">
        <v>310</v>
      </c>
      <c r="D71" s="130"/>
      <c r="E71" s="130">
        <v>10000</v>
      </c>
      <c r="F71" s="140">
        <v>42335</v>
      </c>
      <c r="G71" s="140">
        <v>42335</v>
      </c>
    </row>
    <row r="72" spans="1:8" s="122" customFormat="1" ht="24" customHeight="1" x14ac:dyDescent="0.2">
      <c r="A72" s="843" t="s">
        <v>339</v>
      </c>
      <c r="B72" s="783"/>
      <c r="C72" s="163" t="s">
        <v>107</v>
      </c>
      <c r="D72" s="130"/>
      <c r="E72" s="130">
        <v>34000</v>
      </c>
      <c r="F72" s="140">
        <v>42335</v>
      </c>
      <c r="G72" s="140">
        <v>42335</v>
      </c>
    </row>
    <row r="73" spans="1:8" s="122" customFormat="1" ht="23.25" customHeight="1" x14ac:dyDescent="0.2">
      <c r="A73" s="843" t="s">
        <v>340</v>
      </c>
      <c r="B73" s="783"/>
      <c r="C73" s="139">
        <v>501</v>
      </c>
      <c r="D73" s="130"/>
      <c r="E73" s="130">
        <v>16000</v>
      </c>
      <c r="F73" s="140">
        <v>42335</v>
      </c>
      <c r="G73" s="140">
        <v>42335</v>
      </c>
    </row>
    <row r="74" spans="1:8" s="122" customFormat="1" ht="23.25" customHeight="1" x14ac:dyDescent="0.2">
      <c r="A74" s="843" t="s">
        <v>1210</v>
      </c>
      <c r="B74" s="783"/>
      <c r="C74" s="163" t="s">
        <v>311</v>
      </c>
      <c r="D74" s="130"/>
      <c r="E74" s="130">
        <v>-10000</v>
      </c>
      <c r="F74" s="140">
        <v>42361</v>
      </c>
      <c r="G74" s="140">
        <v>42366</v>
      </c>
    </row>
    <row r="75" spans="1:8" s="122" customFormat="1" ht="12" x14ac:dyDescent="0.2">
      <c r="A75" s="843" t="s">
        <v>341</v>
      </c>
      <c r="B75" s="783"/>
      <c r="C75" s="163" t="s">
        <v>113</v>
      </c>
      <c r="D75" s="130"/>
      <c r="E75" s="130">
        <v>10000</v>
      </c>
      <c r="F75" s="140">
        <v>42361</v>
      </c>
      <c r="G75" s="140">
        <v>42366</v>
      </c>
    </row>
    <row r="76" spans="1:8" s="122" customFormat="1" ht="12" x14ac:dyDescent="0.2">
      <c r="A76" s="843" t="s">
        <v>343</v>
      </c>
      <c r="B76" s="783"/>
      <c r="C76" s="163" t="s">
        <v>312</v>
      </c>
      <c r="D76" s="130">
        <v>30000</v>
      </c>
      <c r="E76" s="130"/>
      <c r="F76" s="140">
        <v>42366</v>
      </c>
      <c r="G76" s="140">
        <v>42366</v>
      </c>
    </row>
    <row r="77" spans="1:8" s="122" customFormat="1" ht="12" x14ac:dyDescent="0.2">
      <c r="A77" s="843" t="s">
        <v>342</v>
      </c>
      <c r="B77" s="783"/>
      <c r="C77" s="163" t="s">
        <v>313</v>
      </c>
      <c r="D77" s="130"/>
      <c r="E77" s="130">
        <v>30000</v>
      </c>
      <c r="F77" s="140">
        <v>42366</v>
      </c>
      <c r="G77" s="140">
        <v>42366</v>
      </c>
    </row>
    <row r="78" spans="1:8" s="122" customFormat="1" ht="23.25" customHeight="1" x14ac:dyDescent="0.2">
      <c r="A78" s="843" t="s">
        <v>1212</v>
      </c>
      <c r="B78" s="783"/>
      <c r="C78" s="163" t="s">
        <v>254</v>
      </c>
      <c r="D78" s="130"/>
      <c r="E78" s="130">
        <v>-10326</v>
      </c>
      <c r="F78" s="140">
        <v>42366</v>
      </c>
      <c r="G78" s="140">
        <v>42366</v>
      </c>
    </row>
    <row r="79" spans="1:8" s="122" customFormat="1" ht="10.5" customHeight="1" x14ac:dyDescent="0.2">
      <c r="A79" s="878" t="s">
        <v>344</v>
      </c>
      <c r="B79" s="879"/>
      <c r="C79" s="163" t="s">
        <v>364</v>
      </c>
      <c r="D79" s="130"/>
      <c r="E79" s="130">
        <v>7500</v>
      </c>
      <c r="F79" s="140">
        <v>42336</v>
      </c>
      <c r="G79" s="140">
        <v>42336</v>
      </c>
    </row>
    <row r="80" spans="1:8" s="122" customFormat="1" ht="12" x14ac:dyDescent="0.2">
      <c r="A80" s="890"/>
      <c r="B80" s="891"/>
      <c r="C80" s="163" t="s">
        <v>363</v>
      </c>
      <c r="D80" s="130"/>
      <c r="E80" s="130">
        <v>2700</v>
      </c>
      <c r="F80" s="140"/>
      <c r="G80" s="140"/>
    </row>
    <row r="81" spans="1:7" s="122" customFormat="1" ht="12" x14ac:dyDescent="0.2">
      <c r="A81" s="843" t="s">
        <v>345</v>
      </c>
      <c r="B81" s="783"/>
      <c r="C81" s="163" t="s">
        <v>314</v>
      </c>
      <c r="D81" s="130"/>
      <c r="E81" s="130">
        <v>126</v>
      </c>
      <c r="F81" s="140">
        <v>42366</v>
      </c>
      <c r="G81" s="140">
        <v>42366</v>
      </c>
    </row>
    <row r="82" spans="1:7" s="122" customFormat="1" ht="12" x14ac:dyDescent="0.2">
      <c r="A82" s="843" t="s">
        <v>346</v>
      </c>
      <c r="B82" s="783"/>
      <c r="C82" s="163" t="s">
        <v>315</v>
      </c>
      <c r="D82" s="130"/>
      <c r="E82" s="130">
        <v>-1209</v>
      </c>
      <c r="F82" s="140">
        <v>42366</v>
      </c>
      <c r="G82" s="140">
        <v>42366</v>
      </c>
    </row>
    <row r="83" spans="1:7" s="122" customFormat="1" ht="12" x14ac:dyDescent="0.2">
      <c r="A83" s="843" t="s">
        <v>347</v>
      </c>
      <c r="B83" s="783"/>
      <c r="C83" s="163" t="s">
        <v>316</v>
      </c>
      <c r="D83" s="130"/>
      <c r="E83" s="130">
        <v>1209</v>
      </c>
      <c r="F83" s="140">
        <v>42366</v>
      </c>
      <c r="G83" s="140">
        <v>42366</v>
      </c>
    </row>
    <row r="84" spans="1:7" s="122" customFormat="1" ht="22.5" x14ac:dyDescent="0.2">
      <c r="A84" s="843" t="s">
        <v>348</v>
      </c>
      <c r="B84" s="783"/>
      <c r="C84" s="163" t="s">
        <v>317</v>
      </c>
      <c r="D84" s="130"/>
      <c r="E84" s="130">
        <v>-14525</v>
      </c>
      <c r="F84" s="140">
        <v>42366</v>
      </c>
      <c r="G84" s="140">
        <v>42366</v>
      </c>
    </row>
    <row r="85" spans="1:7" s="122" customFormat="1" ht="12" x14ac:dyDescent="0.2">
      <c r="A85" s="843" t="s">
        <v>349</v>
      </c>
      <c r="B85" s="783"/>
      <c r="C85" s="139">
        <v>501</v>
      </c>
      <c r="D85" s="130"/>
      <c r="E85" s="130">
        <v>10940</v>
      </c>
      <c r="F85" s="140">
        <v>42366</v>
      </c>
      <c r="G85" s="140">
        <v>42366</v>
      </c>
    </row>
    <row r="86" spans="1:7" s="122" customFormat="1" ht="12" x14ac:dyDescent="0.2">
      <c r="A86" s="843" t="s">
        <v>350</v>
      </c>
      <c r="B86" s="783"/>
      <c r="C86" s="163" t="s">
        <v>113</v>
      </c>
      <c r="D86" s="130"/>
      <c r="E86" s="130">
        <v>3585</v>
      </c>
      <c r="F86" s="140">
        <v>42366</v>
      </c>
      <c r="G86" s="140">
        <v>42366</v>
      </c>
    </row>
    <row r="87" spans="1:7" s="122" customFormat="1" ht="12" customHeight="1" x14ac:dyDescent="0.2">
      <c r="A87" s="878" t="s">
        <v>351</v>
      </c>
      <c r="B87" s="879"/>
      <c r="C87" s="163" t="s">
        <v>318</v>
      </c>
      <c r="D87" s="130">
        <v>7300</v>
      </c>
      <c r="E87" s="130"/>
      <c r="F87" s="140">
        <v>42346</v>
      </c>
      <c r="G87" s="140">
        <v>42369</v>
      </c>
    </row>
    <row r="88" spans="1:7" s="122" customFormat="1" ht="12" x14ac:dyDescent="0.2">
      <c r="A88" s="843" t="s">
        <v>352</v>
      </c>
      <c r="B88" s="783"/>
      <c r="C88" s="163" t="s">
        <v>113</v>
      </c>
      <c r="D88" s="130"/>
      <c r="E88" s="130">
        <v>7300</v>
      </c>
      <c r="F88" s="140">
        <v>42346</v>
      </c>
      <c r="G88" s="140">
        <v>42369</v>
      </c>
    </row>
    <row r="89" spans="1:7" s="122" customFormat="1" ht="12" x14ac:dyDescent="0.2">
      <c r="A89" s="843" t="s">
        <v>1213</v>
      </c>
      <c r="B89" s="783"/>
      <c r="C89" s="163">
        <v>518</v>
      </c>
      <c r="D89" s="130"/>
      <c r="E89" s="130">
        <v>-46623.65</v>
      </c>
      <c r="F89" s="140">
        <v>42366</v>
      </c>
      <c r="G89" s="140">
        <v>42366</v>
      </c>
    </row>
    <row r="90" spans="1:7" s="122" customFormat="1" ht="24" customHeight="1" x14ac:dyDescent="0.2">
      <c r="A90" s="843" t="s">
        <v>353</v>
      </c>
      <c r="B90" s="783"/>
      <c r="C90" s="163">
        <v>558</v>
      </c>
      <c r="D90" s="130"/>
      <c r="E90" s="130">
        <v>46623.65</v>
      </c>
      <c r="F90" s="140">
        <v>42366</v>
      </c>
      <c r="G90" s="140">
        <v>42366</v>
      </c>
    </row>
    <row r="91" spans="1:7" s="122" customFormat="1" ht="12" x14ac:dyDescent="0.2">
      <c r="A91" s="843" t="s">
        <v>354</v>
      </c>
      <c r="B91" s="783"/>
      <c r="C91" s="163">
        <v>602</v>
      </c>
      <c r="D91" s="130">
        <v>19680</v>
      </c>
      <c r="E91" s="130"/>
      <c r="F91" s="140">
        <v>42366</v>
      </c>
      <c r="G91" s="140">
        <v>42366</v>
      </c>
    </row>
    <row r="92" spans="1:7" s="122" customFormat="1" ht="12" x14ac:dyDescent="0.2">
      <c r="A92" s="843" t="s">
        <v>355</v>
      </c>
      <c r="B92" s="783"/>
      <c r="C92" s="163">
        <v>558</v>
      </c>
      <c r="D92" s="130"/>
      <c r="E92" s="130">
        <v>19680</v>
      </c>
      <c r="F92" s="140">
        <v>42366</v>
      </c>
      <c r="G92" s="140">
        <v>42366</v>
      </c>
    </row>
    <row r="93" spans="1:7" s="122" customFormat="1" ht="12" x14ac:dyDescent="0.2">
      <c r="A93" s="843" t="s">
        <v>356</v>
      </c>
      <c r="B93" s="783"/>
      <c r="C93" s="163">
        <v>644</v>
      </c>
      <c r="D93" s="130">
        <v>300</v>
      </c>
      <c r="E93" s="130"/>
      <c r="F93" s="140">
        <v>42368</v>
      </c>
      <c r="G93" s="140">
        <v>42368</v>
      </c>
    </row>
    <row r="94" spans="1:7" s="122" customFormat="1" ht="12" x14ac:dyDescent="0.2">
      <c r="A94" s="843" t="s">
        <v>357</v>
      </c>
      <c r="B94" s="783"/>
      <c r="C94" s="163">
        <v>501</v>
      </c>
      <c r="D94" s="130"/>
      <c r="E94" s="130">
        <v>300</v>
      </c>
      <c r="F94" s="140">
        <v>42368</v>
      </c>
      <c r="G94" s="140">
        <v>42368</v>
      </c>
    </row>
    <row r="95" spans="1:7" s="122" customFormat="1" ht="12" customHeight="1" x14ac:dyDescent="0.2">
      <c r="A95" s="884" t="s">
        <v>111</v>
      </c>
      <c r="B95" s="885"/>
      <c r="C95" s="365"/>
      <c r="D95" s="366">
        <f>SUM(D51:D94)</f>
        <v>376256</v>
      </c>
      <c r="E95" s="366">
        <f>SUM(E51:E94)</f>
        <v>376256</v>
      </c>
      <c r="F95" s="886"/>
      <c r="G95" s="887"/>
    </row>
    <row r="96" spans="1:7" s="87" customFormat="1" ht="11.25" x14ac:dyDescent="0.2">
      <c r="C96" s="89"/>
    </row>
    <row r="97" spans="1:9" s="87" customFormat="1" ht="11.25" x14ac:dyDescent="0.2">
      <c r="A97" s="742" t="s">
        <v>211</v>
      </c>
      <c r="B97" s="742"/>
      <c r="C97" s="742"/>
      <c r="D97" s="742"/>
      <c r="E97" s="742"/>
      <c r="F97" s="742"/>
      <c r="G97" s="742"/>
      <c r="H97" s="742"/>
      <c r="I97" s="742"/>
    </row>
    <row r="98" spans="1:9" s="87" customFormat="1" ht="11.25" x14ac:dyDescent="0.2">
      <c r="C98" s="89"/>
    </row>
    <row r="99" spans="1:9" s="151" customFormat="1" ht="31.5" x14ac:dyDescent="0.25">
      <c r="A99" s="743" t="s">
        <v>101</v>
      </c>
      <c r="B99" s="880"/>
      <c r="C99" s="308" t="s">
        <v>102</v>
      </c>
      <c r="D99" s="308" t="s">
        <v>103</v>
      </c>
      <c r="E99" s="308" t="s">
        <v>104</v>
      </c>
      <c r="F99" s="308" t="s">
        <v>105</v>
      </c>
      <c r="G99" s="308" t="s">
        <v>94</v>
      </c>
    </row>
    <row r="100" spans="1:9" s="87" customFormat="1" ht="11.25" x14ac:dyDescent="0.2">
      <c r="A100" s="881"/>
      <c r="B100" s="882"/>
      <c r="C100" s="339"/>
      <c r="D100" s="340">
        <v>0</v>
      </c>
      <c r="E100" s="340">
        <v>0</v>
      </c>
      <c r="F100" s="341"/>
      <c r="G100" s="341"/>
    </row>
    <row r="101" spans="1:9" s="87" customFormat="1" ht="11.25" customHeight="1" x14ac:dyDescent="0.2">
      <c r="A101" s="747" t="s">
        <v>319</v>
      </c>
      <c r="B101" s="883"/>
      <c r="C101" s="320">
        <v>0</v>
      </c>
      <c r="D101" s="90">
        <f>SUM(D100)</f>
        <v>0</v>
      </c>
      <c r="E101" s="90">
        <f>SUM(E100)</f>
        <v>0</v>
      </c>
      <c r="F101" s="749"/>
      <c r="G101" s="750"/>
    </row>
    <row r="102" spans="1:9" s="87" customFormat="1" ht="11.25" x14ac:dyDescent="0.2">
      <c r="C102" s="89"/>
    </row>
    <row r="103" spans="1:9" s="87" customFormat="1" ht="11.25" x14ac:dyDescent="0.2">
      <c r="A103" s="738" t="s">
        <v>212</v>
      </c>
      <c r="B103" s="738"/>
      <c r="C103" s="738"/>
      <c r="D103" s="738"/>
      <c r="E103" s="738"/>
      <c r="F103" s="738"/>
      <c r="G103" s="738"/>
      <c r="H103" s="738"/>
      <c r="I103" s="738"/>
    </row>
    <row r="104" spans="1:9" s="87" customFormat="1" ht="11.25" x14ac:dyDescent="0.2"/>
    <row r="105" spans="1:9" s="87" customFormat="1" ht="12.75" customHeight="1" x14ac:dyDescent="0.2">
      <c r="A105" s="739" t="s">
        <v>358</v>
      </c>
      <c r="B105" s="740"/>
      <c r="C105" s="740"/>
      <c r="D105" s="740"/>
      <c r="E105" s="740"/>
      <c r="F105" s="740"/>
      <c r="G105" s="740"/>
      <c r="H105" s="740"/>
      <c r="I105" s="741"/>
    </row>
    <row r="106" spans="1:9" s="87" customFormat="1" ht="0.75" hidden="1" customHeight="1" x14ac:dyDescent="0.2">
      <c r="A106" s="739"/>
      <c r="B106" s="740"/>
      <c r="C106" s="740"/>
      <c r="D106" s="740"/>
      <c r="E106" s="740"/>
      <c r="F106" s="740"/>
      <c r="G106" s="740"/>
      <c r="H106" s="740"/>
      <c r="I106" s="741"/>
    </row>
    <row r="107" spans="1:9" s="87" customFormat="1" ht="11.25" hidden="1" x14ac:dyDescent="0.2">
      <c r="A107" s="739"/>
      <c r="B107" s="740"/>
      <c r="C107" s="740"/>
      <c r="D107" s="740"/>
      <c r="E107" s="740"/>
      <c r="F107" s="740"/>
      <c r="G107" s="740"/>
      <c r="H107" s="740"/>
      <c r="I107" s="741"/>
    </row>
    <row r="108" spans="1:9" s="87" customFormat="1" ht="11.25" hidden="1" x14ac:dyDescent="0.2"/>
    <row r="109" spans="1:9" s="87" customFormat="1" ht="11.25" x14ac:dyDescent="0.2"/>
    <row r="110" spans="1:9" s="88" customFormat="1" ht="10.5" x14ac:dyDescent="0.15">
      <c r="A110" s="742" t="s">
        <v>213</v>
      </c>
      <c r="B110" s="742"/>
      <c r="C110" s="742"/>
      <c r="D110" s="742"/>
      <c r="E110" s="742"/>
      <c r="F110" s="742"/>
      <c r="G110" s="742"/>
      <c r="H110" s="742"/>
      <c r="I110" s="742"/>
    </row>
    <row r="111" spans="1:9" s="87" customFormat="1" ht="11.25" x14ac:dyDescent="0.2"/>
    <row r="112" spans="1:9" ht="36" customHeight="1" x14ac:dyDescent="0.15">
      <c r="A112" s="732" t="s">
        <v>359</v>
      </c>
      <c r="B112" s="733"/>
      <c r="C112" s="733"/>
      <c r="D112" s="733"/>
      <c r="E112" s="733"/>
      <c r="F112" s="733"/>
      <c r="G112" s="733"/>
      <c r="H112" s="733"/>
      <c r="I112" s="734"/>
    </row>
    <row r="113" spans="1:9" ht="11.25" x14ac:dyDescent="0.15">
      <c r="A113" s="732" t="s">
        <v>216</v>
      </c>
      <c r="B113" s="733"/>
      <c r="C113" s="733"/>
      <c r="D113" s="733"/>
      <c r="E113" s="733"/>
      <c r="F113" s="733"/>
      <c r="G113" s="733"/>
      <c r="H113" s="733"/>
      <c r="I113" s="734"/>
    </row>
  </sheetData>
  <mergeCells count="89">
    <mergeCell ref="A112:I112"/>
    <mergeCell ref="A113:I113"/>
    <mergeCell ref="A64:B66"/>
    <mergeCell ref="A52:B53"/>
    <mergeCell ref="A79:B80"/>
    <mergeCell ref="A107:I107"/>
    <mergeCell ref="A110:I110"/>
    <mergeCell ref="A93:B93"/>
    <mergeCell ref="A94:B94"/>
    <mergeCell ref="A86:B86"/>
    <mergeCell ref="A88:B88"/>
    <mergeCell ref="A89:B89"/>
    <mergeCell ref="A81:B81"/>
    <mergeCell ref="A82:B82"/>
    <mergeCell ref="A83:B83"/>
    <mergeCell ref="A84:B84"/>
    <mergeCell ref="D30:I30"/>
    <mergeCell ref="D31:I31"/>
    <mergeCell ref="C32:I32"/>
    <mergeCell ref="A34:I34"/>
    <mergeCell ref="D36:I36"/>
    <mergeCell ref="D37:I37"/>
    <mergeCell ref="C38:I38"/>
    <mergeCell ref="A87:B87"/>
    <mergeCell ref="A105:I105"/>
    <mergeCell ref="A106:I106"/>
    <mergeCell ref="A99:B99"/>
    <mergeCell ref="A100:B100"/>
    <mergeCell ref="A101:B101"/>
    <mergeCell ref="F101:G101"/>
    <mergeCell ref="A103:I103"/>
    <mergeCell ref="A95:B95"/>
    <mergeCell ref="F95:G95"/>
    <mergeCell ref="A97:I97"/>
    <mergeCell ref="A90:B90"/>
    <mergeCell ref="A91:B91"/>
    <mergeCell ref="A92:B92"/>
    <mergeCell ref="A85:B85"/>
    <mergeCell ref="A75:B75"/>
    <mergeCell ref="A76:B76"/>
    <mergeCell ref="A77:B77"/>
    <mergeCell ref="A78:B78"/>
    <mergeCell ref="A70:B70"/>
    <mergeCell ref="A71:B71"/>
    <mergeCell ref="A72:B72"/>
    <mergeCell ref="A73:B73"/>
    <mergeCell ref="A74:B74"/>
    <mergeCell ref="A48:I48"/>
    <mergeCell ref="A63:B63"/>
    <mergeCell ref="A67:B67"/>
    <mergeCell ref="A68:B68"/>
    <mergeCell ref="A69:B69"/>
    <mergeCell ref="A58:B58"/>
    <mergeCell ref="A59:B59"/>
    <mergeCell ref="A60:B60"/>
    <mergeCell ref="A61:B61"/>
    <mergeCell ref="A62:B62"/>
    <mergeCell ref="A19:I19"/>
    <mergeCell ref="A50:B50"/>
    <mergeCell ref="A51:B51"/>
    <mergeCell ref="A56:B56"/>
    <mergeCell ref="A57:B57"/>
    <mergeCell ref="F24:I24"/>
    <mergeCell ref="F25:I25"/>
    <mergeCell ref="F26:I26"/>
    <mergeCell ref="A28:I28"/>
    <mergeCell ref="D40:I40"/>
    <mergeCell ref="A42:I42"/>
    <mergeCell ref="C44:I44"/>
    <mergeCell ref="C45:I45"/>
    <mergeCell ref="A54:B54"/>
    <mergeCell ref="A55:B55"/>
    <mergeCell ref="C46:I46"/>
    <mergeCell ref="F22:I22"/>
    <mergeCell ref="F23:I23"/>
    <mergeCell ref="A3:I3"/>
    <mergeCell ref="A5:B5"/>
    <mergeCell ref="D5:I5"/>
    <mergeCell ref="A8:B8"/>
    <mergeCell ref="D8:I8"/>
    <mergeCell ref="A6:B6"/>
    <mergeCell ref="D6:I6"/>
    <mergeCell ref="A7:B7"/>
    <mergeCell ref="D7:I7"/>
    <mergeCell ref="A9:B9"/>
    <mergeCell ref="D9:I9"/>
    <mergeCell ref="A11:I11"/>
    <mergeCell ref="A15:A16"/>
    <mergeCell ref="F21:I21"/>
  </mergeCells>
  <printOptions horizontalCentered="1"/>
  <pageMargins left="0.19685039370078741" right="0.19685039370078741" top="0.59055118110236227" bottom="0.59055118110236227" header="0.31496062992125984" footer="0.31496062992125984"/>
  <pageSetup paperSize="9" firstPageNumber="84" orientation="landscape" r:id="rId1"/>
  <headerFooter>
    <oddFooter>&amp;C&amp;8Stránka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34</vt:i4>
      </vt:variant>
    </vt:vector>
  </HeadingPairs>
  <TitlesOfParts>
    <vt:vector size="34" baseType="lpstr">
      <vt:lpstr>MŠ Rumunská text</vt:lpstr>
      <vt:lpstr>MŠ Rumunská tabulka</vt:lpstr>
      <vt:lpstr>MŠ Šárka text</vt:lpstr>
      <vt:lpstr>MŠ Šárka tabulka</vt:lpstr>
      <vt:lpstr>MŠ Partyzánská text</vt:lpstr>
      <vt:lpstr>MŠ Partyzánská - tabulka</vt:lpstr>
      <vt:lpstr>MŠ Smetanova text</vt:lpstr>
      <vt:lpstr>MŠ Smetanova tabulka</vt:lpstr>
      <vt:lpstr>MŠ Moravská text</vt:lpstr>
      <vt:lpstr>MŠ Moravská tabulka</vt:lpstr>
      <vt:lpstr>ZŠ a MŠ Palackého text</vt:lpstr>
      <vt:lpstr> ZŠ a MŠ Palackého tabulka</vt:lpstr>
      <vt:lpstr>ZŠ a MŠ Kollárova text</vt:lpstr>
      <vt:lpstr> ZŠ a MŠ Kollárova - tabulka</vt:lpstr>
      <vt:lpstr>ZŠ a MŠ JŽ Sídl. svobody text</vt:lpstr>
      <vt:lpstr> ZŠ a MŠ JŽ Sídl. svobody tabul</vt:lpstr>
      <vt:lpstr>ZŠ a MŠ Melantrichova text</vt:lpstr>
      <vt:lpstr> ZŠ a MŠ Melantrichova tabulka</vt:lpstr>
      <vt:lpstr>ZŠ Majakovského text</vt:lpstr>
      <vt:lpstr> ZŠ Majakovského tabulka</vt:lpstr>
      <vt:lpstr>RG a ZŠ PV text</vt:lpstr>
      <vt:lpstr>RG a ZŠ PV tabulka</vt:lpstr>
      <vt:lpstr>ZŠ Dr. Horáka text</vt:lpstr>
      <vt:lpstr>ZŠ Dr. Horáka tabulka</vt:lpstr>
      <vt:lpstr>ZŠ E. Valenty text</vt:lpstr>
      <vt:lpstr>ZŠ E. Valenty tabulka</vt:lpstr>
      <vt:lpstr>SC DDM text</vt:lpstr>
      <vt:lpstr>SC DDM tabulka</vt:lpstr>
      <vt:lpstr>ZUŠ text</vt:lpstr>
      <vt:lpstr>ZUŠ tabulka</vt:lpstr>
      <vt:lpstr>MD PV text</vt:lpstr>
      <vt:lpstr>MD PV tabulka</vt:lpstr>
      <vt:lpstr>MK PV text</vt:lpstr>
      <vt:lpstr>MK PV tabulka</vt:lpstr>
    </vt:vector>
  </TitlesOfParts>
  <Company>Městský úřad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Neckař Milan</cp:lastModifiedBy>
  <cp:lastPrinted>2016-04-05T08:45:45Z</cp:lastPrinted>
  <dcterms:created xsi:type="dcterms:W3CDTF">1998-11-03T08:17:51Z</dcterms:created>
  <dcterms:modified xsi:type="dcterms:W3CDTF">2016-04-20T07:58:19Z</dcterms:modified>
</cp:coreProperties>
</file>