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firstSheet="21" activeTab="37"/>
  </bookViews>
  <sheets>
    <sheet name="MŠ Smet1" sheetId="1" r:id="rId1"/>
    <sheet name="MŠ Smet" sheetId="2" r:id="rId2"/>
    <sheet name="MŠ Šárka1" sheetId="3" r:id="rId3"/>
    <sheet name="MŠ Šárka" sheetId="4" r:id="rId4"/>
    <sheet name="MŠ Rum1" sheetId="5" r:id="rId5"/>
    <sheet name="MŠ Rum" sheetId="6" r:id="rId6"/>
    <sheet name="MŠ Mor1" sheetId="7" r:id="rId7"/>
    <sheet name="MŠ Mor" sheetId="8" r:id="rId8"/>
    <sheet name="MŠ Part1" sheetId="9" r:id="rId9"/>
    <sheet name="MŠ Part" sheetId="10" r:id="rId10"/>
    <sheet name="ZŠ Mel1" sheetId="11" r:id="rId11"/>
    <sheet name="ZŠ Mel" sheetId="12" r:id="rId12"/>
    <sheet name="ZŠ Val1" sheetId="13" r:id="rId13"/>
    <sheet name="ZŠ Val" sheetId="14" r:id="rId14"/>
    <sheet name="ZŠ Pal1" sheetId="15" r:id="rId15"/>
    <sheet name="ZŠ Pal" sheetId="16" r:id="rId16"/>
    <sheet name="ZŠ Kol1" sheetId="17" r:id="rId17"/>
    <sheet name="ZŠ Kol" sheetId="18" r:id="rId18"/>
    <sheet name="ZŠ JŽ1" sheetId="19" r:id="rId19"/>
    <sheet name="ZŠ JŽ" sheetId="20" r:id="rId20"/>
    <sheet name="ZŠ Maj1" sheetId="21" r:id="rId21"/>
    <sheet name="ZŠ Maj" sheetId="22" r:id="rId22"/>
    <sheet name="ZŠ Hor1" sheetId="23" r:id="rId23"/>
    <sheet name="ZŠ Hor" sheetId="24" r:id="rId24"/>
    <sheet name="RG1" sheetId="25" r:id="rId25"/>
    <sheet name="RG" sheetId="26" r:id="rId26"/>
    <sheet name="ZUŠ1" sheetId="27" r:id="rId27"/>
    <sheet name="ZUŠ" sheetId="28" r:id="rId28"/>
    <sheet name="DDM1" sheetId="29" r:id="rId29"/>
    <sheet name="DDM" sheetId="30" r:id="rId30"/>
    <sheet name="knihovna1" sheetId="31" r:id="rId31"/>
    <sheet name="knihovna" sheetId="32" r:id="rId32"/>
    <sheet name="divadlo1" sheetId="33" r:id="rId33"/>
    <sheet name="divadlo" sheetId="34" r:id="rId34"/>
    <sheet name="kino1" sheetId="35" r:id="rId35"/>
    <sheet name="kino" sheetId="36" r:id="rId36"/>
    <sheet name="jesle1" sheetId="37" r:id="rId37"/>
    <sheet name="jesle" sheetId="38" r:id="rId38"/>
  </sheets>
  <externalReferences>
    <externalReference r:id="rId39"/>
  </externalReferences>
  <calcPr calcId="145621"/>
</workbook>
</file>

<file path=xl/calcChain.xml><?xml version="1.0" encoding="utf-8"?>
<calcChain xmlns="http://schemas.openxmlformats.org/spreadsheetml/2006/main">
  <c r="E67" i="28" l="1"/>
  <c r="D67" i="28"/>
  <c r="E60" i="28"/>
  <c r="D60" i="28"/>
  <c r="B51" i="28"/>
  <c r="A51" i="28"/>
  <c r="B44" i="28"/>
  <c r="B31" i="28"/>
  <c r="F18" i="28"/>
  <c r="E18" i="28"/>
  <c r="D18" i="28"/>
  <c r="C18" i="28"/>
  <c r="B18" i="28"/>
  <c r="E75" i="14" l="1"/>
  <c r="D75" i="14"/>
  <c r="E65" i="14"/>
  <c r="D65" i="14"/>
  <c r="B36" i="14"/>
  <c r="A36" i="14"/>
  <c r="B29" i="14"/>
  <c r="B23" i="14"/>
  <c r="F17" i="14"/>
  <c r="D17" i="14"/>
  <c r="C17" i="14"/>
  <c r="B17" i="14"/>
  <c r="E16" i="14"/>
  <c r="E15" i="14"/>
  <c r="E17" i="14" s="1"/>
  <c r="E14" i="14"/>
  <c r="E13" i="14"/>
  <c r="E64" i="16" l="1"/>
  <c r="D64" i="16"/>
  <c r="D51" i="16"/>
  <c r="E50" i="16"/>
  <c r="D47" i="16"/>
  <c r="E46" i="16"/>
  <c r="D44" i="16" s="1"/>
  <c r="D54" i="16" s="1"/>
  <c r="E43" i="16"/>
  <c r="E54" i="16" s="1"/>
  <c r="D42" i="16"/>
  <c r="B35" i="16"/>
  <c r="A35" i="16"/>
  <c r="B29" i="16"/>
  <c r="B23" i="16"/>
  <c r="D17" i="16"/>
  <c r="B17" i="16"/>
  <c r="E16" i="16"/>
  <c r="F16" i="16" s="1"/>
  <c r="D15" i="16"/>
  <c r="C15" i="16"/>
  <c r="C17" i="16" s="1"/>
  <c r="B15" i="16"/>
  <c r="E14" i="16"/>
  <c r="E13" i="16"/>
  <c r="E73" i="12"/>
  <c r="D73" i="12"/>
  <c r="E63" i="12"/>
  <c r="D63" i="12"/>
  <c r="B50" i="12"/>
  <c r="A50" i="12"/>
  <c r="B43" i="12"/>
  <c r="B30" i="12"/>
  <c r="F17" i="12"/>
  <c r="D17" i="12"/>
  <c r="C17" i="12"/>
  <c r="E16" i="12"/>
  <c r="E15" i="12"/>
  <c r="E14" i="12"/>
  <c r="B13" i="12"/>
  <c r="B17" i="12" s="1"/>
  <c r="E15" i="16" l="1"/>
  <c r="F15" i="16" s="1"/>
  <c r="F13" i="16"/>
  <c r="F17" i="16" s="1"/>
  <c r="E13" i="12"/>
  <c r="E17" i="12" s="1"/>
  <c r="E17" i="16" l="1"/>
  <c r="E60" i="22"/>
  <c r="D60" i="22"/>
  <c r="B36" i="22"/>
  <c r="A36" i="22"/>
  <c r="B29" i="22"/>
  <c r="B23" i="22"/>
  <c r="F17" i="22"/>
  <c r="E17" i="22"/>
  <c r="D17" i="22"/>
  <c r="C17" i="22"/>
  <c r="B17" i="22"/>
  <c r="G16" i="22"/>
  <c r="G15" i="22"/>
  <c r="G14" i="22"/>
  <c r="G13" i="22"/>
  <c r="D7" i="22"/>
  <c r="E77" i="18" l="1"/>
  <c r="D77" i="18"/>
  <c r="E70" i="18"/>
  <c r="D70" i="18"/>
  <c r="B50" i="18"/>
  <c r="A50" i="18"/>
  <c r="B43" i="18"/>
  <c r="B30" i="18"/>
  <c r="F17" i="18"/>
  <c r="E17" i="18"/>
  <c r="D17" i="18"/>
  <c r="C17" i="18"/>
  <c r="B17" i="18"/>
  <c r="E95" i="20" l="1"/>
  <c r="D95" i="20"/>
  <c r="E87" i="20"/>
  <c r="D87" i="20"/>
  <c r="B53" i="20"/>
  <c r="A53" i="20"/>
  <c r="B46" i="20"/>
  <c r="B35" i="20"/>
  <c r="F19" i="20"/>
  <c r="E19" i="20"/>
  <c r="D19" i="20"/>
  <c r="C19" i="20"/>
  <c r="B19" i="20"/>
  <c r="E78" i="24" l="1"/>
  <c r="D78" i="24"/>
  <c r="E71" i="24"/>
  <c r="D71" i="24"/>
  <c r="B40" i="24"/>
  <c r="A40" i="24"/>
  <c r="B32" i="24"/>
  <c r="B25" i="24"/>
  <c r="D17" i="24"/>
  <c r="F13" i="24"/>
  <c r="F17" i="24" s="1"/>
  <c r="E13" i="24"/>
  <c r="E17" i="24" s="1"/>
  <c r="D13" i="24"/>
  <c r="C13" i="24"/>
  <c r="C17" i="24" s="1"/>
  <c r="B13" i="24"/>
  <c r="B17" i="24" s="1"/>
  <c r="E57" i="26" l="1"/>
  <c r="D57" i="26"/>
  <c r="E46" i="26"/>
  <c r="D46" i="26"/>
  <c r="B30" i="26"/>
  <c r="A30" i="26"/>
  <c r="C17" i="26"/>
  <c r="B17" i="26"/>
  <c r="E16" i="26"/>
  <c r="D16" i="26"/>
  <c r="D17" i="26" s="1"/>
  <c r="E14" i="26"/>
  <c r="F14" i="26" s="1"/>
  <c r="F17" i="26" s="1"/>
  <c r="E17" i="26" l="1"/>
  <c r="E53" i="4" l="1"/>
  <c r="D53" i="4"/>
  <c r="E46" i="4"/>
  <c r="D46" i="4"/>
  <c r="B37" i="4"/>
  <c r="A37" i="4"/>
  <c r="B30" i="4"/>
  <c r="B24" i="4"/>
  <c r="F18" i="4"/>
  <c r="E18" i="4"/>
  <c r="D18" i="4"/>
  <c r="C18" i="4"/>
  <c r="B18" i="4"/>
  <c r="E69" i="2" l="1"/>
  <c r="D69" i="2"/>
  <c r="E62" i="2"/>
  <c r="D62" i="2"/>
  <c r="B50" i="2"/>
  <c r="A50" i="2"/>
  <c r="B43" i="2"/>
  <c r="B30" i="2"/>
  <c r="F17" i="2"/>
  <c r="E17" i="2"/>
  <c r="D17" i="2"/>
  <c r="C17" i="2"/>
  <c r="B17" i="2"/>
  <c r="E56" i="6" l="1"/>
  <c r="D56" i="6"/>
  <c r="D49" i="6"/>
  <c r="B40" i="6"/>
  <c r="A40" i="6"/>
  <c r="B33" i="6"/>
  <c r="B25" i="6"/>
  <c r="F17" i="6"/>
  <c r="E17" i="6"/>
  <c r="D17" i="6"/>
  <c r="C17" i="6"/>
  <c r="B17" i="6"/>
  <c r="E56" i="10" l="1"/>
  <c r="D56" i="10"/>
  <c r="B41" i="10"/>
  <c r="A41" i="10"/>
  <c r="B32" i="10"/>
  <c r="B25" i="10"/>
  <c r="F18" i="10"/>
  <c r="E18" i="10"/>
  <c r="D18" i="10"/>
  <c r="C18" i="10"/>
  <c r="B18" i="10"/>
  <c r="E53" i="8" l="1"/>
  <c r="D53" i="8"/>
  <c r="B37" i="8"/>
  <c r="A37" i="8"/>
  <c r="F17" i="8"/>
  <c r="E17" i="8"/>
  <c r="D17" i="8"/>
  <c r="C17" i="8"/>
  <c r="B17" i="8"/>
  <c r="E77" i="32" l="1"/>
  <c r="D77" i="32"/>
  <c r="E71" i="32"/>
  <c r="D71" i="32"/>
  <c r="B60" i="32"/>
  <c r="A60" i="32"/>
  <c r="B54" i="32"/>
  <c r="B46" i="32"/>
  <c r="F37" i="32"/>
  <c r="E37" i="32"/>
  <c r="D37" i="32"/>
  <c r="C37" i="32"/>
  <c r="B37" i="32"/>
  <c r="E73" i="36" l="1"/>
  <c r="D73" i="36"/>
  <c r="E65" i="36"/>
  <c r="D65" i="36"/>
  <c r="B37" i="36"/>
  <c r="A37" i="36"/>
  <c r="B30" i="36"/>
  <c r="B23" i="36"/>
  <c r="F17" i="36"/>
  <c r="D17" i="36"/>
  <c r="C17" i="36"/>
  <c r="B17" i="36"/>
  <c r="E16" i="36"/>
  <c r="E17" i="36" s="1"/>
  <c r="E14" i="36"/>
  <c r="F17" i="38" l="1"/>
  <c r="E17" i="38"/>
  <c r="D17" i="38"/>
  <c r="C17" i="38"/>
  <c r="B17" i="38"/>
  <c r="E53" i="34"/>
  <c r="D53" i="34"/>
  <c r="E45" i="34"/>
  <c r="D45" i="34"/>
  <c r="B37" i="34"/>
  <c r="A37" i="34"/>
  <c r="B30" i="34"/>
  <c r="B23" i="34"/>
  <c r="F17" i="34"/>
  <c r="E17" i="34"/>
  <c r="D17" i="34"/>
  <c r="C17" i="34"/>
  <c r="B17" i="34"/>
  <c r="E63" i="30" l="1"/>
  <c r="D63" i="30"/>
  <c r="E57" i="30"/>
  <c r="D57" i="30"/>
  <c r="B40" i="30"/>
  <c r="A40" i="30"/>
  <c r="B34" i="30"/>
  <c r="B28" i="30"/>
  <c r="D18" i="30"/>
  <c r="C18" i="30"/>
  <c r="E17" i="30"/>
  <c r="E16" i="30"/>
  <c r="F15" i="30"/>
  <c r="F18" i="30" s="1"/>
  <c r="C15" i="30"/>
  <c r="B15" i="30"/>
  <c r="B18" i="30" s="1"/>
  <c r="E14" i="30"/>
  <c r="E13" i="30"/>
  <c r="E15" i="30" l="1"/>
  <c r="E18" i="30" s="1"/>
  <c r="W36" i="27" l="1"/>
  <c r="R36" i="27"/>
  <c r="M36" i="27"/>
  <c r="H36" i="27"/>
  <c r="W35" i="27"/>
  <c r="R35" i="27"/>
  <c r="M35" i="27"/>
  <c r="H35" i="27"/>
  <c r="W34" i="27"/>
  <c r="R34" i="27"/>
  <c r="M34" i="27"/>
  <c r="H34" i="27"/>
  <c r="W32" i="27"/>
  <c r="R32" i="27"/>
  <c r="M32" i="27"/>
  <c r="I32" i="27"/>
  <c r="G32" i="27"/>
  <c r="H32" i="27" s="1"/>
  <c r="F32" i="27"/>
  <c r="E32" i="27"/>
  <c r="W31" i="27"/>
  <c r="R31" i="27"/>
  <c r="M31" i="27"/>
  <c r="I31" i="27"/>
  <c r="G31" i="27"/>
  <c r="H31" i="27" s="1"/>
  <c r="F31" i="27"/>
  <c r="E31" i="27"/>
  <c r="W30" i="27"/>
  <c r="R30" i="27"/>
  <c r="M30" i="27"/>
  <c r="I30" i="27"/>
  <c r="G30" i="27"/>
  <c r="H30" i="27" s="1"/>
  <c r="F30" i="27"/>
  <c r="E30" i="27"/>
  <c r="W29" i="27"/>
  <c r="R29" i="27"/>
  <c r="M29" i="27"/>
  <c r="I29" i="27"/>
  <c r="G29" i="27"/>
  <c r="H29" i="27" s="1"/>
  <c r="F29" i="27"/>
  <c r="E29" i="27"/>
  <c r="W28" i="27"/>
  <c r="R28" i="27"/>
  <c r="M28" i="27"/>
  <c r="I28" i="27"/>
  <c r="G28" i="27"/>
  <c r="H28" i="27" s="1"/>
  <c r="F28" i="27"/>
  <c r="E28" i="27"/>
  <c r="W27" i="27"/>
  <c r="R27" i="27"/>
  <c r="M27" i="27"/>
  <c r="I27" i="27"/>
  <c r="G27" i="27"/>
  <c r="H27" i="27" s="1"/>
  <c r="F27" i="27"/>
  <c r="E27" i="27"/>
  <c r="W26" i="27"/>
  <c r="R26" i="27"/>
  <c r="M26" i="27"/>
  <c r="I26" i="27"/>
  <c r="G26" i="27"/>
  <c r="H26" i="27" s="1"/>
  <c r="F26" i="27"/>
  <c r="E26" i="27"/>
  <c r="W25" i="27"/>
  <c r="R25" i="27"/>
  <c r="M25" i="27"/>
  <c r="I25" i="27"/>
  <c r="G25" i="27"/>
  <c r="H25" i="27" s="1"/>
  <c r="F25" i="27"/>
  <c r="E25" i="27"/>
  <c r="W24" i="27"/>
  <c r="R24" i="27"/>
  <c r="M24" i="27"/>
  <c r="I24" i="27"/>
  <c r="G24" i="27"/>
  <c r="H24" i="27" s="1"/>
  <c r="F24" i="27"/>
  <c r="E24" i="27"/>
  <c r="W23" i="27"/>
  <c r="R23" i="27"/>
  <c r="M23" i="27"/>
  <c r="I23" i="27"/>
  <c r="G23" i="27"/>
  <c r="H23" i="27" s="1"/>
  <c r="F23" i="27"/>
  <c r="E23" i="27"/>
  <c r="W22" i="27"/>
  <c r="R22" i="27"/>
  <c r="M22" i="27"/>
  <c r="I22" i="27"/>
  <c r="G22" i="27"/>
  <c r="H22" i="27" s="1"/>
  <c r="F22" i="27"/>
  <c r="E22" i="27"/>
  <c r="W21" i="27"/>
  <c r="R21" i="27"/>
  <c r="M21" i="27"/>
  <c r="I21" i="27"/>
  <c r="G21" i="27"/>
  <c r="H21" i="27" s="1"/>
  <c r="F21" i="27"/>
  <c r="E21" i="27"/>
  <c r="W20" i="27"/>
  <c r="R20" i="27"/>
  <c r="M20" i="27"/>
  <c r="I20" i="27"/>
  <c r="G20" i="27"/>
  <c r="H20" i="27" s="1"/>
  <c r="F20" i="27"/>
  <c r="E20" i="27"/>
  <c r="W19" i="27"/>
  <c r="R19" i="27"/>
  <c r="M19" i="27"/>
  <c r="I19" i="27"/>
  <c r="G19" i="27"/>
  <c r="H19" i="27" s="1"/>
  <c r="F19" i="27"/>
  <c r="E19" i="27"/>
  <c r="W18" i="27"/>
  <c r="R18" i="27"/>
  <c r="M18" i="27"/>
  <c r="I18" i="27"/>
  <c r="G18" i="27"/>
  <c r="H18" i="27" s="1"/>
  <c r="F18" i="27"/>
  <c r="E18" i="27"/>
  <c r="W17" i="27"/>
  <c r="R17" i="27"/>
  <c r="M17" i="27"/>
  <c r="I17" i="27"/>
  <c r="G17" i="27"/>
  <c r="H17" i="27" s="1"/>
  <c r="F17" i="27"/>
  <c r="E17" i="27"/>
  <c r="W16" i="27"/>
  <c r="R16" i="27"/>
  <c r="M16" i="27"/>
  <c r="I16" i="27"/>
  <c r="G16" i="27"/>
  <c r="H16" i="27" s="1"/>
  <c r="F16" i="27"/>
  <c r="E16" i="27"/>
  <c r="W15" i="27"/>
  <c r="R15" i="27"/>
  <c r="M15" i="27"/>
  <c r="I15" i="27"/>
  <c r="G15" i="27"/>
  <c r="H15" i="27" s="1"/>
  <c r="F15" i="27"/>
  <c r="E15" i="27"/>
  <c r="W14" i="27"/>
  <c r="R14" i="27"/>
  <c r="M14" i="27"/>
  <c r="I14" i="27"/>
  <c r="G14" i="27"/>
  <c r="H14" i="27" s="1"/>
  <c r="F14" i="27"/>
  <c r="E14" i="27"/>
  <c r="W13" i="27"/>
  <c r="R13" i="27"/>
  <c r="M13" i="27"/>
  <c r="I13" i="27"/>
  <c r="G13" i="27"/>
  <c r="H13" i="27" s="1"/>
  <c r="F13" i="27"/>
  <c r="E13" i="27"/>
  <c r="W12" i="27"/>
  <c r="R12" i="27"/>
  <c r="M12" i="27"/>
  <c r="I12" i="27"/>
  <c r="G12" i="27"/>
  <c r="H12" i="27" s="1"/>
  <c r="F12" i="27"/>
  <c r="E12" i="27"/>
  <c r="X11" i="27"/>
  <c r="V11" i="27"/>
  <c r="W11" i="27" s="1"/>
  <c r="U11" i="27"/>
  <c r="T11" i="27"/>
  <c r="S11" i="27"/>
  <c r="R11" i="27"/>
  <c r="Q11" i="27"/>
  <c r="P11" i="27"/>
  <c r="O11" i="27"/>
  <c r="N11" i="27"/>
  <c r="L11" i="27"/>
  <c r="K11" i="27"/>
  <c r="M11" i="27" s="1"/>
  <c r="J11" i="27"/>
  <c r="I11" i="27"/>
  <c r="G11" i="27"/>
  <c r="H11" i="27" s="1"/>
  <c r="F11" i="27"/>
  <c r="E11" i="27"/>
  <c r="W10" i="27"/>
  <c r="R10" i="27"/>
  <c r="M10" i="27"/>
  <c r="I10" i="27"/>
  <c r="G10" i="27"/>
  <c r="H10" i="27" s="1"/>
  <c r="F10" i="27"/>
  <c r="E10" i="27"/>
  <c r="W9" i="27"/>
  <c r="R9" i="27"/>
  <c r="M9" i="27"/>
  <c r="I9" i="27"/>
  <c r="G9" i="27"/>
  <c r="H9" i="27" s="1"/>
  <c r="F9" i="27"/>
  <c r="E9" i="27"/>
  <c r="W8" i="27"/>
  <c r="R8" i="27"/>
  <c r="M8" i="27"/>
  <c r="I8" i="27"/>
  <c r="G8" i="27"/>
  <c r="H8" i="27" s="1"/>
  <c r="F8" i="27"/>
  <c r="E8" i="27"/>
  <c r="W7" i="27"/>
  <c r="R7" i="27"/>
  <c r="M7" i="27"/>
  <c r="I7" i="27"/>
  <c r="G7" i="27"/>
  <c r="H7" i="27" s="1"/>
  <c r="F7" i="27"/>
  <c r="E7" i="27"/>
  <c r="X6" i="27"/>
  <c r="X33" i="27" s="1"/>
  <c r="V6" i="27"/>
  <c r="W6" i="27" s="1"/>
  <c r="U6" i="27"/>
  <c r="U33" i="27" s="1"/>
  <c r="T6" i="27"/>
  <c r="T33" i="27" s="1"/>
  <c r="S6" i="27"/>
  <c r="S33" i="27" s="1"/>
  <c r="R6" i="27"/>
  <c r="Q6" i="27"/>
  <c r="Q33" i="27" s="1"/>
  <c r="R33" i="27" s="1"/>
  <c r="P6" i="27"/>
  <c r="P33" i="27" s="1"/>
  <c r="O6" i="27"/>
  <c r="O33" i="27" s="1"/>
  <c r="N6" i="27"/>
  <c r="N33" i="27" s="1"/>
  <c r="L6" i="27"/>
  <c r="L33" i="27" s="1"/>
  <c r="M33" i="27" s="1"/>
  <c r="K6" i="27"/>
  <c r="K33" i="27" s="1"/>
  <c r="J6" i="27"/>
  <c r="J33" i="27" s="1"/>
  <c r="I6" i="27"/>
  <c r="I33" i="27" s="1"/>
  <c r="G6" i="27"/>
  <c r="H6" i="27" s="1"/>
  <c r="F6" i="27"/>
  <c r="F33" i="27" s="1"/>
  <c r="E6" i="27"/>
  <c r="E33" i="27" s="1"/>
  <c r="M6" i="27" l="1"/>
  <c r="V33" i="27"/>
  <c r="W33" i="27" s="1"/>
  <c r="G33" i="27"/>
  <c r="H33" i="27" s="1"/>
  <c r="H36" i="13" l="1"/>
  <c r="H35" i="13"/>
  <c r="H34" i="13"/>
  <c r="I32" i="13"/>
  <c r="G32" i="13"/>
  <c r="F32" i="13"/>
  <c r="E32" i="13"/>
  <c r="I31" i="13"/>
  <c r="G31" i="13"/>
  <c r="F31" i="13"/>
  <c r="E31" i="13"/>
  <c r="I30" i="13"/>
  <c r="G30" i="13"/>
  <c r="F30" i="13"/>
  <c r="E30" i="13"/>
  <c r="M29" i="13"/>
  <c r="I29" i="13"/>
  <c r="H29" i="13"/>
  <c r="G29" i="13"/>
  <c r="F29" i="13"/>
  <c r="E29" i="13"/>
  <c r="W28" i="13"/>
  <c r="R28" i="13"/>
  <c r="I28" i="13"/>
  <c r="G28" i="13"/>
  <c r="H28" i="13" s="1"/>
  <c r="F28" i="13"/>
  <c r="E28" i="13"/>
  <c r="I27" i="13"/>
  <c r="G27" i="13"/>
  <c r="F27" i="13"/>
  <c r="E27" i="13"/>
  <c r="W26" i="13"/>
  <c r="M26" i="13"/>
  <c r="I26" i="13"/>
  <c r="G26" i="13"/>
  <c r="H26" i="13" s="1"/>
  <c r="F26" i="13"/>
  <c r="E26" i="13"/>
  <c r="M25" i="13"/>
  <c r="I25" i="13"/>
  <c r="H25" i="13"/>
  <c r="G25" i="13"/>
  <c r="F25" i="13"/>
  <c r="E25" i="13"/>
  <c r="I24" i="13"/>
  <c r="G24" i="13"/>
  <c r="F24" i="13"/>
  <c r="E24" i="13"/>
  <c r="I23" i="13"/>
  <c r="G23" i="13"/>
  <c r="F23" i="13"/>
  <c r="E23" i="13"/>
  <c r="I22" i="13"/>
  <c r="G22" i="13"/>
  <c r="F22" i="13"/>
  <c r="E22" i="13"/>
  <c r="W21" i="13"/>
  <c r="R21" i="13"/>
  <c r="M21" i="13"/>
  <c r="I21" i="13"/>
  <c r="H21" i="13"/>
  <c r="G21" i="13"/>
  <c r="F21" i="13"/>
  <c r="E21" i="13"/>
  <c r="W20" i="13"/>
  <c r="R20" i="13"/>
  <c r="M20" i="13"/>
  <c r="I20" i="13"/>
  <c r="H20" i="13"/>
  <c r="G20" i="13"/>
  <c r="F20" i="13"/>
  <c r="E20" i="13"/>
  <c r="W19" i="13"/>
  <c r="R19" i="13"/>
  <c r="M19" i="13"/>
  <c r="I19" i="13"/>
  <c r="H19" i="13"/>
  <c r="G19" i="13"/>
  <c r="F19" i="13"/>
  <c r="E19" i="13"/>
  <c r="W18" i="13"/>
  <c r="R18" i="13"/>
  <c r="M18" i="13"/>
  <c r="I18" i="13"/>
  <c r="H18" i="13"/>
  <c r="G18" i="13"/>
  <c r="F18" i="13"/>
  <c r="E18" i="13"/>
  <c r="M17" i="13"/>
  <c r="I17" i="13"/>
  <c r="G17" i="13"/>
  <c r="H17" i="13" s="1"/>
  <c r="F17" i="13"/>
  <c r="E17" i="13"/>
  <c r="R16" i="13"/>
  <c r="M16" i="13"/>
  <c r="I16" i="13"/>
  <c r="G16" i="13"/>
  <c r="F16" i="13"/>
  <c r="H16" i="13" s="1"/>
  <c r="E16" i="13"/>
  <c r="W15" i="13"/>
  <c r="M15" i="13"/>
  <c r="I15" i="13"/>
  <c r="H15" i="13"/>
  <c r="G15" i="13"/>
  <c r="F15" i="13"/>
  <c r="E15" i="13"/>
  <c r="I14" i="13"/>
  <c r="I11" i="13" s="1"/>
  <c r="G14" i="13"/>
  <c r="F14" i="13"/>
  <c r="E14" i="13"/>
  <c r="E11" i="13" s="1"/>
  <c r="W13" i="13"/>
  <c r="M13" i="13"/>
  <c r="I13" i="13"/>
  <c r="G13" i="13"/>
  <c r="H13" i="13" s="1"/>
  <c r="F13" i="13"/>
  <c r="E13" i="13"/>
  <c r="W12" i="13"/>
  <c r="R12" i="13"/>
  <c r="M12" i="13"/>
  <c r="I12" i="13"/>
  <c r="G12" i="13"/>
  <c r="H12" i="13" s="1"/>
  <c r="F12" i="13"/>
  <c r="E12" i="13"/>
  <c r="X11" i="13"/>
  <c r="W11" i="13"/>
  <c r="V11" i="13"/>
  <c r="U11" i="13"/>
  <c r="T11" i="13"/>
  <c r="S11" i="13"/>
  <c r="Q11" i="13"/>
  <c r="P11" i="13"/>
  <c r="R11" i="13" s="1"/>
  <c r="O11" i="13"/>
  <c r="N11" i="13"/>
  <c r="L11" i="13"/>
  <c r="M11" i="13" s="1"/>
  <c r="K11" i="13"/>
  <c r="J11" i="13"/>
  <c r="G11" i="13"/>
  <c r="I10" i="13"/>
  <c r="G10" i="13"/>
  <c r="F10" i="13"/>
  <c r="E10" i="13"/>
  <c r="R9" i="13"/>
  <c r="M9" i="13"/>
  <c r="I9" i="13"/>
  <c r="G9" i="13"/>
  <c r="H9" i="13" s="1"/>
  <c r="F9" i="13"/>
  <c r="E9" i="13"/>
  <c r="I8" i="13"/>
  <c r="G8" i="13"/>
  <c r="G6" i="13" s="1"/>
  <c r="F8" i="13"/>
  <c r="F6" i="13" s="1"/>
  <c r="E8" i="13"/>
  <c r="W7" i="13"/>
  <c r="M7" i="13"/>
  <c r="I7" i="13"/>
  <c r="G7" i="13"/>
  <c r="F7" i="13"/>
  <c r="H7" i="13" s="1"/>
  <c r="E7" i="13"/>
  <c r="X6" i="13"/>
  <c r="X33" i="13" s="1"/>
  <c r="V6" i="13"/>
  <c r="W6" i="13" s="1"/>
  <c r="U6" i="13"/>
  <c r="U33" i="13" s="1"/>
  <c r="T6" i="13"/>
  <c r="T33" i="13" s="1"/>
  <c r="S6" i="13"/>
  <c r="S33" i="13" s="1"/>
  <c r="Q6" i="13"/>
  <c r="R6" i="13" s="1"/>
  <c r="P6" i="13"/>
  <c r="P33" i="13" s="1"/>
  <c r="O6" i="13"/>
  <c r="O33" i="13" s="1"/>
  <c r="N6" i="13"/>
  <c r="N33" i="13" s="1"/>
  <c r="M6" i="13"/>
  <c r="L6" i="13"/>
  <c r="L33" i="13" s="1"/>
  <c r="K6" i="13"/>
  <c r="K33" i="13" s="1"/>
  <c r="J6" i="13"/>
  <c r="J33" i="13" s="1"/>
  <c r="I6" i="13"/>
  <c r="I33" i="13" s="1"/>
  <c r="E6" i="13"/>
  <c r="E33" i="13" s="1"/>
  <c r="G33" i="13" l="1"/>
  <c r="H6" i="13"/>
  <c r="F11" i="13"/>
  <c r="H11" i="13" s="1"/>
  <c r="Q33" i="13"/>
  <c r="V33" i="13"/>
  <c r="W33" i="13" s="1"/>
  <c r="F33" i="13" l="1"/>
  <c r="H36" i="15" l="1"/>
  <c r="H35" i="15"/>
  <c r="S34" i="15"/>
  <c r="O34" i="15"/>
  <c r="I32" i="15"/>
  <c r="G32" i="15"/>
  <c r="F32" i="15"/>
  <c r="E32" i="15"/>
  <c r="I31" i="15"/>
  <c r="G31" i="15"/>
  <c r="F31" i="15"/>
  <c r="E31" i="15"/>
  <c r="I30" i="15"/>
  <c r="G30" i="15"/>
  <c r="F30" i="15"/>
  <c r="E30" i="15"/>
  <c r="K29" i="15"/>
  <c r="M29" i="15" s="1"/>
  <c r="I29" i="15"/>
  <c r="G29" i="15"/>
  <c r="H29" i="15" s="1"/>
  <c r="F29" i="15"/>
  <c r="E29" i="15"/>
  <c r="Q28" i="15"/>
  <c r="R28" i="15" s="1"/>
  <c r="P28" i="15"/>
  <c r="F28" i="15" s="1"/>
  <c r="M28" i="15"/>
  <c r="K28" i="15"/>
  <c r="I28" i="15"/>
  <c r="G28" i="15"/>
  <c r="E28" i="15"/>
  <c r="I27" i="15"/>
  <c r="G27" i="15"/>
  <c r="F27" i="15"/>
  <c r="E27" i="15"/>
  <c r="W26" i="15"/>
  <c r="M26" i="15"/>
  <c r="K26" i="15"/>
  <c r="I26" i="15"/>
  <c r="G26" i="15"/>
  <c r="H26" i="15" s="1"/>
  <c r="F26" i="15"/>
  <c r="E26" i="15"/>
  <c r="I25" i="15"/>
  <c r="G25" i="15"/>
  <c r="F25" i="15"/>
  <c r="E25" i="15"/>
  <c r="I24" i="15"/>
  <c r="G24" i="15"/>
  <c r="F24" i="15"/>
  <c r="E24" i="15"/>
  <c r="I23" i="15"/>
  <c r="G23" i="15"/>
  <c r="F23" i="15"/>
  <c r="E23" i="15"/>
  <c r="I22" i="15"/>
  <c r="G22" i="15"/>
  <c r="F22" i="15"/>
  <c r="E22" i="15"/>
  <c r="W21" i="15"/>
  <c r="R21" i="15"/>
  <c r="Q21" i="15"/>
  <c r="P21" i="15"/>
  <c r="M21" i="15"/>
  <c r="I21" i="15"/>
  <c r="G21" i="15"/>
  <c r="H21" i="15" s="1"/>
  <c r="F21" i="15"/>
  <c r="E21" i="15"/>
  <c r="V20" i="15"/>
  <c r="W20" i="15" s="1"/>
  <c r="T20" i="15"/>
  <c r="Q20" i="15"/>
  <c r="O20" i="15"/>
  <c r="P20" i="15" s="1"/>
  <c r="I20" i="15"/>
  <c r="G20" i="15"/>
  <c r="E20" i="15"/>
  <c r="W19" i="15"/>
  <c r="Q19" i="15"/>
  <c r="R19" i="15" s="1"/>
  <c r="P19" i="15"/>
  <c r="P34" i="15" s="1"/>
  <c r="M19" i="15"/>
  <c r="I19" i="15"/>
  <c r="I34" i="15" s="1"/>
  <c r="G19" i="15"/>
  <c r="G34" i="15" s="1"/>
  <c r="E19" i="15"/>
  <c r="E34" i="15" s="1"/>
  <c r="W18" i="15"/>
  <c r="R18" i="15"/>
  <c r="Q18" i="15"/>
  <c r="P18" i="15"/>
  <c r="M18" i="15"/>
  <c r="I18" i="15"/>
  <c r="G18" i="15"/>
  <c r="H18" i="15" s="1"/>
  <c r="F18" i="15"/>
  <c r="E18" i="15"/>
  <c r="M17" i="15"/>
  <c r="I17" i="15"/>
  <c r="G17" i="15"/>
  <c r="H17" i="15" s="1"/>
  <c r="F17" i="15"/>
  <c r="E17" i="15"/>
  <c r="P16" i="15"/>
  <c r="R16" i="15" s="1"/>
  <c r="M16" i="15"/>
  <c r="I16" i="15"/>
  <c r="G16" i="15"/>
  <c r="E16" i="15"/>
  <c r="W15" i="15"/>
  <c r="M15" i="15"/>
  <c r="K15" i="15"/>
  <c r="I15" i="15"/>
  <c r="G15" i="15"/>
  <c r="H15" i="15" s="1"/>
  <c r="F15" i="15"/>
  <c r="E15" i="15"/>
  <c r="I14" i="15"/>
  <c r="G14" i="15"/>
  <c r="F14" i="15"/>
  <c r="E14" i="15"/>
  <c r="W13" i="15"/>
  <c r="M13" i="15"/>
  <c r="I13" i="15"/>
  <c r="G13" i="15"/>
  <c r="H13" i="15" s="1"/>
  <c r="F13" i="15"/>
  <c r="E13" i="15"/>
  <c r="W12" i="15"/>
  <c r="P12" i="15"/>
  <c r="F12" i="15" s="1"/>
  <c r="K12" i="15"/>
  <c r="M12" i="15" s="1"/>
  <c r="I12" i="15"/>
  <c r="G12" i="15"/>
  <c r="E12" i="15"/>
  <c r="X11" i="15"/>
  <c r="V11" i="15"/>
  <c r="W11" i="15" s="1"/>
  <c r="U11" i="15"/>
  <c r="T11" i="15"/>
  <c r="S11" i="15"/>
  <c r="Q11" i="15"/>
  <c r="N11" i="15"/>
  <c r="L11" i="15"/>
  <c r="M11" i="15" s="1"/>
  <c r="K11" i="15"/>
  <c r="J11" i="15"/>
  <c r="I11" i="15"/>
  <c r="E11" i="15"/>
  <c r="I10" i="15"/>
  <c r="G10" i="15"/>
  <c r="F10" i="15"/>
  <c r="E10" i="15"/>
  <c r="R9" i="15"/>
  <c r="Q9" i="15"/>
  <c r="P9" i="15"/>
  <c r="K9" i="15"/>
  <c r="M9" i="15" s="1"/>
  <c r="I9" i="15"/>
  <c r="G9" i="15"/>
  <c r="E9" i="15"/>
  <c r="R8" i="15"/>
  <c r="M8" i="15"/>
  <c r="I8" i="15"/>
  <c r="I6" i="15" s="1"/>
  <c r="I33" i="15" s="1"/>
  <c r="G8" i="15"/>
  <c r="F8" i="15"/>
  <c r="H8" i="15" s="1"/>
  <c r="E8" i="15"/>
  <c r="E6" i="15" s="1"/>
  <c r="E33" i="15" s="1"/>
  <c r="W7" i="15"/>
  <c r="T7" i="15"/>
  <c r="L7" i="15"/>
  <c r="L6" i="15" s="1"/>
  <c r="K7" i="15"/>
  <c r="I7" i="15"/>
  <c r="G7" i="15"/>
  <c r="H7" i="15" s="1"/>
  <c r="F7" i="15"/>
  <c r="E7" i="15"/>
  <c r="X6" i="15"/>
  <c r="X33" i="15" s="1"/>
  <c r="W6" i="15"/>
  <c r="V6" i="15"/>
  <c r="V33" i="15" s="1"/>
  <c r="U6" i="15"/>
  <c r="U33" i="15" s="1"/>
  <c r="T6" i="15"/>
  <c r="T33" i="15" s="1"/>
  <c r="S6" i="15"/>
  <c r="S33" i="15" s="1"/>
  <c r="Q6" i="15"/>
  <c r="Q33" i="15" s="1"/>
  <c r="P6" i="15"/>
  <c r="O6" i="15"/>
  <c r="N6" i="15"/>
  <c r="N33" i="15" s="1"/>
  <c r="K6" i="15"/>
  <c r="K33" i="15" s="1"/>
  <c r="J6" i="15"/>
  <c r="J33" i="15" s="1"/>
  <c r="G6" i="15"/>
  <c r="H28" i="15" l="1"/>
  <c r="G33" i="15"/>
  <c r="W33" i="15"/>
  <c r="M6" i="15"/>
  <c r="L33" i="15"/>
  <c r="H12" i="15"/>
  <c r="F20" i="15"/>
  <c r="H20" i="15" s="1"/>
  <c r="R20" i="15"/>
  <c r="P11" i="15"/>
  <c r="P33" i="15" s="1"/>
  <c r="R11" i="15"/>
  <c r="H34" i="15"/>
  <c r="F6" i="15"/>
  <c r="R6" i="15"/>
  <c r="G11" i="15"/>
  <c r="O11" i="15"/>
  <c r="O33" i="15" s="1"/>
  <c r="F16" i="15"/>
  <c r="H16" i="15" s="1"/>
  <c r="F19" i="15"/>
  <c r="F34" i="15" s="1"/>
  <c r="Q34" i="15"/>
  <c r="F9" i="15"/>
  <c r="H9" i="15" s="1"/>
  <c r="M7" i="15"/>
  <c r="R12" i="15"/>
  <c r="H19" i="15"/>
  <c r="F11" i="15" l="1"/>
  <c r="H11" i="15" s="1"/>
  <c r="F33" i="15"/>
  <c r="H6" i="15"/>
  <c r="W36" i="11"/>
  <c r="R36" i="11"/>
  <c r="M36" i="11"/>
  <c r="H36" i="11"/>
  <c r="W35" i="11"/>
  <c r="R35" i="11"/>
  <c r="M35" i="11"/>
  <c r="H35" i="11"/>
  <c r="W34" i="11"/>
  <c r="R34" i="11"/>
  <c r="M34" i="11"/>
  <c r="I32" i="11"/>
  <c r="G32" i="11"/>
  <c r="F32" i="11"/>
  <c r="E32" i="11"/>
  <c r="I31" i="11"/>
  <c r="G31" i="11"/>
  <c r="F31" i="11"/>
  <c r="E31" i="11"/>
  <c r="I30" i="11"/>
  <c r="G30" i="11"/>
  <c r="F30" i="11"/>
  <c r="E30" i="11"/>
  <c r="K29" i="11"/>
  <c r="M29" i="11" s="1"/>
  <c r="I29" i="11"/>
  <c r="G29" i="11"/>
  <c r="H29" i="11" s="1"/>
  <c r="F29" i="11"/>
  <c r="E29" i="11"/>
  <c r="R28" i="11"/>
  <c r="L28" i="11"/>
  <c r="M28" i="11" s="1"/>
  <c r="I28" i="11"/>
  <c r="F28" i="11"/>
  <c r="E28" i="11"/>
  <c r="I27" i="11"/>
  <c r="G27" i="11"/>
  <c r="F27" i="11"/>
  <c r="E27" i="11"/>
  <c r="W26" i="11"/>
  <c r="I26" i="11"/>
  <c r="G26" i="11"/>
  <c r="F26" i="11"/>
  <c r="E26" i="11"/>
  <c r="I25" i="11"/>
  <c r="G25" i="11"/>
  <c r="F25" i="11"/>
  <c r="E25" i="11"/>
  <c r="I24" i="11"/>
  <c r="G24" i="11"/>
  <c r="F24" i="11"/>
  <c r="E24" i="11"/>
  <c r="I23" i="11"/>
  <c r="G23" i="11"/>
  <c r="F23" i="11"/>
  <c r="E23" i="11"/>
  <c r="I22" i="11"/>
  <c r="G22" i="11"/>
  <c r="F22" i="11"/>
  <c r="E22" i="11"/>
  <c r="W21" i="11"/>
  <c r="Q21" i="11"/>
  <c r="L21" i="11"/>
  <c r="M21" i="11" s="1"/>
  <c r="I21" i="11"/>
  <c r="V20" i="11"/>
  <c r="W20" i="11" s="1"/>
  <c r="U20" i="11"/>
  <c r="U11" i="11" s="1"/>
  <c r="Q20" i="11"/>
  <c r="R20" i="11" s="1"/>
  <c r="P20" i="11"/>
  <c r="L20" i="11"/>
  <c r="M20" i="11" s="1"/>
  <c r="K20" i="11"/>
  <c r="I20" i="11"/>
  <c r="G20" i="11"/>
  <c r="H20" i="11" s="1"/>
  <c r="F20" i="11"/>
  <c r="W19" i="11"/>
  <c r="Q19" i="11"/>
  <c r="R19" i="11" s="1"/>
  <c r="O19" i="11"/>
  <c r="O20" i="11" s="1"/>
  <c r="K19" i="11"/>
  <c r="I19" i="11"/>
  <c r="I34" i="11" s="1"/>
  <c r="F19" i="11"/>
  <c r="F34" i="11" s="1"/>
  <c r="E19" i="11"/>
  <c r="E34" i="11" s="1"/>
  <c r="W18" i="11"/>
  <c r="R18" i="11"/>
  <c r="L18" i="11"/>
  <c r="M18" i="11" s="1"/>
  <c r="K18" i="11"/>
  <c r="I18" i="11"/>
  <c r="G18" i="11"/>
  <c r="H18" i="11" s="1"/>
  <c r="F18" i="11"/>
  <c r="E18" i="11"/>
  <c r="M17" i="11"/>
  <c r="I17" i="11"/>
  <c r="G17" i="11"/>
  <c r="H17" i="11" s="1"/>
  <c r="F17" i="11"/>
  <c r="E17" i="11"/>
  <c r="R16" i="11"/>
  <c r="L16" i="11"/>
  <c r="M16" i="11" s="1"/>
  <c r="I16" i="11"/>
  <c r="F16" i="11"/>
  <c r="E16" i="11"/>
  <c r="K15" i="11"/>
  <c r="M15" i="11" s="1"/>
  <c r="I15" i="11"/>
  <c r="H15" i="11"/>
  <c r="G15" i="11"/>
  <c r="F15" i="11"/>
  <c r="E15" i="11"/>
  <c r="I14" i="11"/>
  <c r="G14" i="11"/>
  <c r="F14" i="11"/>
  <c r="E14" i="11"/>
  <c r="W13" i="11"/>
  <c r="L13" i="11"/>
  <c r="M13" i="11" s="1"/>
  <c r="I13" i="11"/>
  <c r="I11" i="11" s="1"/>
  <c r="F13" i="11"/>
  <c r="E13" i="11"/>
  <c r="W12" i="11"/>
  <c r="R12" i="11"/>
  <c r="L12" i="11"/>
  <c r="M12" i="11" s="1"/>
  <c r="K12" i="11"/>
  <c r="K11" i="11" s="1"/>
  <c r="I12" i="11"/>
  <c r="F12" i="11"/>
  <c r="E12" i="11"/>
  <c r="X11" i="11"/>
  <c r="V11" i="11"/>
  <c r="W11" i="11" s="1"/>
  <c r="T11" i="11"/>
  <c r="S11" i="11"/>
  <c r="N11" i="11"/>
  <c r="J11" i="11"/>
  <c r="I10" i="11"/>
  <c r="G10" i="11"/>
  <c r="F10" i="11"/>
  <c r="E10" i="11"/>
  <c r="W9" i="11"/>
  <c r="Q9" i="11"/>
  <c r="L9" i="11" s="1"/>
  <c r="K9" i="11"/>
  <c r="F9" i="11" s="1"/>
  <c r="F6" i="11" s="1"/>
  <c r="I9" i="11"/>
  <c r="I6" i="11" s="1"/>
  <c r="E9" i="11"/>
  <c r="E6" i="11" s="1"/>
  <c r="M8" i="11"/>
  <c r="I8" i="11"/>
  <c r="G8" i="11"/>
  <c r="H8" i="11" s="1"/>
  <c r="F8" i="11"/>
  <c r="E8" i="11"/>
  <c r="W7" i="11"/>
  <c r="M7" i="11"/>
  <c r="L7" i="11"/>
  <c r="I7" i="11"/>
  <c r="G7" i="11"/>
  <c r="H7" i="11" s="1"/>
  <c r="F7" i="11"/>
  <c r="E7" i="11"/>
  <c r="X6" i="11"/>
  <c r="X33" i="11" s="1"/>
  <c r="W6" i="11"/>
  <c r="V6" i="11"/>
  <c r="V33" i="11" s="1"/>
  <c r="U6" i="11"/>
  <c r="U33" i="11" s="1"/>
  <c r="T6" i="11"/>
  <c r="T33" i="11" s="1"/>
  <c r="S6" i="11"/>
  <c r="S33" i="11" s="1"/>
  <c r="P6" i="11"/>
  <c r="O6" i="11"/>
  <c r="N6" i="11"/>
  <c r="N33" i="11" s="1"/>
  <c r="K6" i="11"/>
  <c r="K33" i="11" s="1"/>
  <c r="J6" i="11"/>
  <c r="J33" i="11" s="1"/>
  <c r="O21" i="11" l="1"/>
  <c r="E21" i="11" s="1"/>
  <c r="O11" i="11"/>
  <c r="O33" i="11" s="1"/>
  <c r="E20" i="11"/>
  <c r="W33" i="11"/>
  <c r="I33" i="11"/>
  <c r="E11" i="11"/>
  <c r="G9" i="11"/>
  <c r="L6" i="11"/>
  <c r="M9" i="11"/>
  <c r="E33" i="11"/>
  <c r="R9" i="11"/>
  <c r="Q11" i="11"/>
  <c r="G13" i="11"/>
  <c r="H13" i="11" s="1"/>
  <c r="P21" i="11"/>
  <c r="F21" i="11" s="1"/>
  <c r="F11" i="11" s="1"/>
  <c r="F33" i="11" s="1"/>
  <c r="G21" i="11"/>
  <c r="G12" i="11"/>
  <c r="Q6" i="11"/>
  <c r="L11" i="11"/>
  <c r="M11" i="11" s="1"/>
  <c r="G16" i="11"/>
  <c r="H16" i="11" s="1"/>
  <c r="L19" i="11"/>
  <c r="G28" i="11"/>
  <c r="H28" i="11" s="1"/>
  <c r="Q33" i="11" l="1"/>
  <c r="R6" i="11"/>
  <c r="G19" i="11"/>
  <c r="M19" i="11"/>
  <c r="H12" i="11"/>
  <c r="R11" i="11"/>
  <c r="R21" i="11"/>
  <c r="P11" i="11"/>
  <c r="P33" i="11" s="1"/>
  <c r="H21" i="11"/>
  <c r="L33" i="11"/>
  <c r="M33" i="11" s="1"/>
  <c r="M6" i="11"/>
  <c r="H9" i="11"/>
  <c r="G6" i="11"/>
  <c r="G34" i="11" l="1"/>
  <c r="H34" i="11" s="1"/>
  <c r="H19" i="11"/>
  <c r="G33" i="11"/>
  <c r="H33" i="11" s="1"/>
  <c r="H6" i="11"/>
  <c r="G11" i="11"/>
  <c r="H11" i="11" s="1"/>
  <c r="R33" i="11"/>
  <c r="W36" i="21" l="1"/>
  <c r="R36" i="21"/>
  <c r="W35" i="21"/>
  <c r="R35" i="21"/>
  <c r="W34" i="21"/>
  <c r="R34" i="21"/>
  <c r="I32" i="21"/>
  <c r="G32" i="21"/>
  <c r="F32" i="21"/>
  <c r="E32" i="21"/>
  <c r="I31" i="21"/>
  <c r="G31" i="21"/>
  <c r="F31" i="21"/>
  <c r="E31" i="21"/>
  <c r="I30" i="21"/>
  <c r="G30" i="21"/>
  <c r="F30" i="21"/>
  <c r="E30" i="21"/>
  <c r="M29" i="21"/>
  <c r="I29" i="21"/>
  <c r="H29" i="21"/>
  <c r="G29" i="21"/>
  <c r="F29" i="21"/>
  <c r="E29" i="21"/>
  <c r="M28" i="21"/>
  <c r="I28" i="21"/>
  <c r="G28" i="21"/>
  <c r="H28" i="21" s="1"/>
  <c r="F28" i="21"/>
  <c r="E28" i="21"/>
  <c r="I27" i="21"/>
  <c r="G27" i="21"/>
  <c r="F27" i="21"/>
  <c r="E27" i="21"/>
  <c r="M26" i="21"/>
  <c r="I26" i="21"/>
  <c r="H26" i="21"/>
  <c r="G26" i="21"/>
  <c r="F26" i="21"/>
  <c r="E26" i="21"/>
  <c r="I25" i="21"/>
  <c r="G25" i="21"/>
  <c r="F25" i="21"/>
  <c r="E25" i="21"/>
  <c r="I24" i="21"/>
  <c r="G24" i="21"/>
  <c r="F24" i="21"/>
  <c r="E24" i="21"/>
  <c r="I23" i="21"/>
  <c r="G23" i="21"/>
  <c r="F23" i="21"/>
  <c r="E23" i="21"/>
  <c r="I22" i="21"/>
  <c r="G22" i="21"/>
  <c r="F22" i="21"/>
  <c r="E22" i="21"/>
  <c r="R21" i="21"/>
  <c r="M21" i="21"/>
  <c r="I21" i="21"/>
  <c r="G21" i="21"/>
  <c r="H21" i="21" s="1"/>
  <c r="F21" i="21"/>
  <c r="E21" i="21"/>
  <c r="R20" i="21"/>
  <c r="M20" i="21"/>
  <c r="I20" i="21"/>
  <c r="G20" i="21"/>
  <c r="H20" i="21" s="1"/>
  <c r="F20" i="21"/>
  <c r="E20" i="21"/>
  <c r="R19" i="21"/>
  <c r="M19" i="21"/>
  <c r="I19" i="21"/>
  <c r="G19" i="21"/>
  <c r="H19" i="21" s="1"/>
  <c r="F19" i="21"/>
  <c r="E19" i="21"/>
  <c r="R18" i="21"/>
  <c r="M18" i="21"/>
  <c r="I18" i="21"/>
  <c r="H18" i="21"/>
  <c r="G18" i="21"/>
  <c r="F18" i="21"/>
  <c r="E18" i="21"/>
  <c r="M17" i="21"/>
  <c r="I17" i="21"/>
  <c r="G17" i="21"/>
  <c r="H17" i="21" s="1"/>
  <c r="F17" i="21"/>
  <c r="E17" i="21"/>
  <c r="R16" i="21"/>
  <c r="M16" i="21"/>
  <c r="I16" i="21"/>
  <c r="G16" i="21"/>
  <c r="H16" i="21" s="1"/>
  <c r="F16" i="21"/>
  <c r="E16" i="21"/>
  <c r="E11" i="21" s="1"/>
  <c r="M15" i="21"/>
  <c r="I15" i="21"/>
  <c r="G15" i="21"/>
  <c r="H15" i="21" s="1"/>
  <c r="F15" i="21"/>
  <c r="E15" i="21"/>
  <c r="I14" i="21"/>
  <c r="I11" i="21" s="1"/>
  <c r="G14" i="21"/>
  <c r="F14" i="21"/>
  <c r="E14" i="21"/>
  <c r="W13" i="21"/>
  <c r="M13" i="21"/>
  <c r="I13" i="21"/>
  <c r="G13" i="21"/>
  <c r="H13" i="21" s="1"/>
  <c r="F13" i="21"/>
  <c r="E13" i="21"/>
  <c r="W12" i="21"/>
  <c r="R12" i="21"/>
  <c r="M12" i="21"/>
  <c r="I12" i="21"/>
  <c r="G12" i="21"/>
  <c r="H12" i="21" s="1"/>
  <c r="F12" i="21"/>
  <c r="E12" i="21"/>
  <c r="X11" i="21"/>
  <c r="V11" i="21"/>
  <c r="W11" i="21" s="1"/>
  <c r="U11" i="21"/>
  <c r="T11" i="21"/>
  <c r="S11" i="21"/>
  <c r="R11" i="21"/>
  <c r="Q11" i="21"/>
  <c r="P11" i="21"/>
  <c r="O11" i="21"/>
  <c r="N11" i="21"/>
  <c r="L11" i="21"/>
  <c r="M11" i="21" s="1"/>
  <c r="K11" i="21"/>
  <c r="J11" i="21"/>
  <c r="G11" i="21"/>
  <c r="H11" i="21" s="1"/>
  <c r="F11" i="21"/>
  <c r="W10" i="21"/>
  <c r="I10" i="21"/>
  <c r="G10" i="21"/>
  <c r="F10" i="21"/>
  <c r="E10" i="21"/>
  <c r="R9" i="21"/>
  <c r="M9" i="21"/>
  <c r="I9" i="21"/>
  <c r="G9" i="21"/>
  <c r="H9" i="21" s="1"/>
  <c r="F9" i="21"/>
  <c r="E9" i="21"/>
  <c r="I8" i="21"/>
  <c r="G8" i="21"/>
  <c r="G6" i="21" s="1"/>
  <c r="F8" i="21"/>
  <c r="F6" i="21" s="1"/>
  <c r="F33" i="21" s="1"/>
  <c r="E8" i="21"/>
  <c r="W7" i="21"/>
  <c r="M7" i="21"/>
  <c r="I7" i="21"/>
  <c r="G7" i="21"/>
  <c r="H7" i="21" s="1"/>
  <c r="F7" i="21"/>
  <c r="E7" i="21"/>
  <c r="X6" i="21"/>
  <c r="X33" i="21" s="1"/>
  <c r="V6" i="21"/>
  <c r="V33" i="21" s="1"/>
  <c r="W33" i="21" s="1"/>
  <c r="U6" i="21"/>
  <c r="U33" i="21" s="1"/>
  <c r="T6" i="21"/>
  <c r="T33" i="21" s="1"/>
  <c r="S6" i="21"/>
  <c r="S33" i="21" s="1"/>
  <c r="Q6" i="21"/>
  <c r="R6" i="21" s="1"/>
  <c r="P6" i="21"/>
  <c r="P33" i="21" s="1"/>
  <c r="O6" i="21"/>
  <c r="O33" i="21" s="1"/>
  <c r="N6" i="21"/>
  <c r="N33" i="21" s="1"/>
  <c r="M6" i="21"/>
  <c r="L6" i="21"/>
  <c r="L33" i="21" s="1"/>
  <c r="K6" i="21"/>
  <c r="K33" i="21" s="1"/>
  <c r="J6" i="21"/>
  <c r="J33" i="21" s="1"/>
  <c r="I6" i="21"/>
  <c r="I33" i="21" s="1"/>
  <c r="E6" i="21"/>
  <c r="G33" i="21" l="1"/>
  <c r="H6" i="21"/>
  <c r="E33" i="21"/>
  <c r="Q33" i="21"/>
  <c r="R33" i="21" s="1"/>
  <c r="W6" i="21"/>
  <c r="W36" i="17" l="1"/>
  <c r="R36" i="17"/>
  <c r="M36" i="17"/>
  <c r="H36" i="17"/>
  <c r="W35" i="17"/>
  <c r="R35" i="17"/>
  <c r="M35" i="17"/>
  <c r="H35" i="17"/>
  <c r="W34" i="17"/>
  <c r="R34" i="17"/>
  <c r="M34" i="17"/>
  <c r="H34" i="17"/>
  <c r="M29" i="17"/>
  <c r="I29" i="17"/>
  <c r="G29" i="17"/>
  <c r="H29" i="17" s="1"/>
  <c r="F29" i="17"/>
  <c r="E29" i="17"/>
  <c r="R28" i="17"/>
  <c r="M28" i="17"/>
  <c r="I28" i="17"/>
  <c r="H28" i="17"/>
  <c r="G28" i="17"/>
  <c r="F28" i="17"/>
  <c r="E28" i="17"/>
  <c r="M26" i="17"/>
  <c r="I26" i="17"/>
  <c r="G26" i="17"/>
  <c r="H26" i="17" s="1"/>
  <c r="F26" i="17"/>
  <c r="E26" i="17"/>
  <c r="W21" i="17"/>
  <c r="R21" i="17"/>
  <c r="M21" i="17"/>
  <c r="I21" i="17"/>
  <c r="G21" i="17"/>
  <c r="H21" i="17" s="1"/>
  <c r="F21" i="17"/>
  <c r="E21" i="17"/>
  <c r="W20" i="17"/>
  <c r="R20" i="17"/>
  <c r="M20" i="17"/>
  <c r="I20" i="17"/>
  <c r="G20" i="17"/>
  <c r="H20" i="17" s="1"/>
  <c r="F20" i="17"/>
  <c r="E20" i="17"/>
  <c r="W19" i="17"/>
  <c r="R19" i="17"/>
  <c r="M19" i="17"/>
  <c r="I19" i="17"/>
  <c r="G19" i="17"/>
  <c r="H19" i="17" s="1"/>
  <c r="F19" i="17"/>
  <c r="E19" i="17"/>
  <c r="W18" i="17"/>
  <c r="R18" i="17"/>
  <c r="M18" i="17"/>
  <c r="I18" i="17"/>
  <c r="G18" i="17"/>
  <c r="H18" i="17" s="1"/>
  <c r="F18" i="17"/>
  <c r="E18" i="17"/>
  <c r="M17" i="17"/>
  <c r="I17" i="17"/>
  <c r="H17" i="17"/>
  <c r="G17" i="17"/>
  <c r="F17" i="17"/>
  <c r="E17" i="17"/>
  <c r="R16" i="17"/>
  <c r="M16" i="17"/>
  <c r="I16" i="17"/>
  <c r="H16" i="17"/>
  <c r="G16" i="17"/>
  <c r="F16" i="17"/>
  <c r="E16" i="17"/>
  <c r="W15" i="17"/>
  <c r="M15" i="17"/>
  <c r="I15" i="17"/>
  <c r="G15" i="17"/>
  <c r="H15" i="17" s="1"/>
  <c r="F15" i="17"/>
  <c r="E15" i="17"/>
  <c r="W13" i="17"/>
  <c r="M13" i="17"/>
  <c r="I13" i="17"/>
  <c r="G13" i="17"/>
  <c r="F13" i="17"/>
  <c r="H13" i="17" s="1"/>
  <c r="E13" i="17"/>
  <c r="W12" i="17"/>
  <c r="R12" i="17"/>
  <c r="M12" i="17"/>
  <c r="I12" i="17"/>
  <c r="G12" i="17"/>
  <c r="F12" i="17"/>
  <c r="H12" i="17" s="1"/>
  <c r="E12" i="17"/>
  <c r="X11" i="17"/>
  <c r="V11" i="17"/>
  <c r="W11" i="17" s="1"/>
  <c r="U11" i="17"/>
  <c r="T11" i="17"/>
  <c r="S11" i="17"/>
  <c r="Q11" i="17"/>
  <c r="R11" i="17" s="1"/>
  <c r="P11" i="17"/>
  <c r="O11" i="17"/>
  <c r="N11" i="17"/>
  <c r="M11" i="17"/>
  <c r="L11" i="17"/>
  <c r="K11" i="17"/>
  <c r="J11" i="17"/>
  <c r="I11" i="17"/>
  <c r="F11" i="17"/>
  <c r="E11" i="17"/>
  <c r="R9" i="17"/>
  <c r="M9" i="17"/>
  <c r="I9" i="17"/>
  <c r="H9" i="17"/>
  <c r="G9" i="17"/>
  <c r="F9" i="17"/>
  <c r="E9" i="17"/>
  <c r="M8" i="17"/>
  <c r="I8" i="17"/>
  <c r="G8" i="17"/>
  <c r="H8" i="17" s="1"/>
  <c r="F8" i="17"/>
  <c r="F6" i="17" s="1"/>
  <c r="F33" i="17" s="1"/>
  <c r="E8" i="17"/>
  <c r="W7" i="17"/>
  <c r="M7" i="17"/>
  <c r="I7" i="17"/>
  <c r="G7" i="17"/>
  <c r="F7" i="17"/>
  <c r="H7" i="17" s="1"/>
  <c r="E7" i="17"/>
  <c r="X6" i="17"/>
  <c r="X33" i="17" s="1"/>
  <c r="V6" i="17"/>
  <c r="W6" i="17" s="1"/>
  <c r="U6" i="17"/>
  <c r="U33" i="17" s="1"/>
  <c r="T6" i="17"/>
  <c r="T33" i="17" s="1"/>
  <c r="S6" i="17"/>
  <c r="S33" i="17" s="1"/>
  <c r="Q6" i="17"/>
  <c r="R6" i="17" s="1"/>
  <c r="P6" i="17"/>
  <c r="P33" i="17" s="1"/>
  <c r="O6" i="17"/>
  <c r="O33" i="17" s="1"/>
  <c r="N6" i="17"/>
  <c r="N33" i="17" s="1"/>
  <c r="M6" i="17"/>
  <c r="L6" i="17"/>
  <c r="L33" i="17" s="1"/>
  <c r="K6" i="17"/>
  <c r="K33" i="17" s="1"/>
  <c r="J6" i="17"/>
  <c r="J33" i="17" s="1"/>
  <c r="I6" i="17"/>
  <c r="I33" i="17" s="1"/>
  <c r="E6" i="17"/>
  <c r="E33" i="17" s="1"/>
  <c r="Q33" i="17" l="1"/>
  <c r="V33" i="17"/>
  <c r="W33" i="17" s="1"/>
  <c r="G6" i="17"/>
  <c r="G11" i="17"/>
  <c r="H11" i="17" s="1"/>
  <c r="G33" i="17" l="1"/>
  <c r="H6" i="17"/>
  <c r="W36" i="19" l="1"/>
  <c r="R36" i="19"/>
  <c r="M36" i="19"/>
  <c r="H36" i="19"/>
  <c r="W35" i="19"/>
  <c r="R35" i="19"/>
  <c r="M35" i="19"/>
  <c r="H35" i="19"/>
  <c r="W34" i="19"/>
  <c r="R34" i="19"/>
  <c r="M34" i="19"/>
  <c r="H34" i="19"/>
  <c r="W32" i="19"/>
  <c r="R32" i="19"/>
  <c r="M32" i="19"/>
  <c r="I32" i="19"/>
  <c r="G32" i="19"/>
  <c r="H32" i="19" s="1"/>
  <c r="F32" i="19"/>
  <c r="E32" i="19"/>
  <c r="W31" i="19"/>
  <c r="R31" i="19"/>
  <c r="M31" i="19"/>
  <c r="I31" i="19"/>
  <c r="G31" i="19"/>
  <c r="H31" i="19" s="1"/>
  <c r="F31" i="19"/>
  <c r="E31" i="19"/>
  <c r="W30" i="19"/>
  <c r="R30" i="19"/>
  <c r="M30" i="19"/>
  <c r="I30" i="19"/>
  <c r="G30" i="19"/>
  <c r="H30" i="19" s="1"/>
  <c r="F30" i="19"/>
  <c r="E30" i="19"/>
  <c r="W29" i="19"/>
  <c r="R29" i="19"/>
  <c r="M29" i="19"/>
  <c r="I29" i="19"/>
  <c r="G29" i="19"/>
  <c r="H29" i="19" s="1"/>
  <c r="F29" i="19"/>
  <c r="E29" i="19"/>
  <c r="W28" i="19"/>
  <c r="R28" i="19"/>
  <c r="M28" i="19"/>
  <c r="I28" i="19"/>
  <c r="G28" i="19"/>
  <c r="H28" i="19" s="1"/>
  <c r="F28" i="19"/>
  <c r="E28" i="19"/>
  <c r="W27" i="19"/>
  <c r="R27" i="19"/>
  <c r="M27" i="19"/>
  <c r="I27" i="19"/>
  <c r="G27" i="19"/>
  <c r="H27" i="19" s="1"/>
  <c r="F27" i="19"/>
  <c r="E27" i="19"/>
  <c r="W26" i="19"/>
  <c r="R26" i="19"/>
  <c r="M26" i="19"/>
  <c r="I26" i="19"/>
  <c r="G26" i="19"/>
  <c r="H26" i="19" s="1"/>
  <c r="F26" i="19"/>
  <c r="E26" i="19"/>
  <c r="W25" i="19"/>
  <c r="R25" i="19"/>
  <c r="M25" i="19"/>
  <c r="I25" i="19"/>
  <c r="G25" i="19"/>
  <c r="H25" i="19" s="1"/>
  <c r="F25" i="19"/>
  <c r="E25" i="19"/>
  <c r="W24" i="19"/>
  <c r="R24" i="19"/>
  <c r="M24" i="19"/>
  <c r="I24" i="19"/>
  <c r="G24" i="19"/>
  <c r="H24" i="19" s="1"/>
  <c r="F24" i="19"/>
  <c r="E24" i="19"/>
  <c r="W23" i="19"/>
  <c r="R23" i="19"/>
  <c r="M23" i="19"/>
  <c r="I23" i="19"/>
  <c r="G23" i="19"/>
  <c r="H23" i="19" s="1"/>
  <c r="F23" i="19"/>
  <c r="E23" i="19"/>
  <c r="W22" i="19"/>
  <c r="R22" i="19"/>
  <c r="M22" i="19"/>
  <c r="I22" i="19"/>
  <c r="G22" i="19"/>
  <c r="H22" i="19" s="1"/>
  <c r="F22" i="19"/>
  <c r="E22" i="19"/>
  <c r="W21" i="19"/>
  <c r="R21" i="19"/>
  <c r="M21" i="19"/>
  <c r="I21" i="19"/>
  <c r="G21" i="19"/>
  <c r="H21" i="19" s="1"/>
  <c r="F21" i="19"/>
  <c r="E21" i="19"/>
  <c r="W20" i="19"/>
  <c r="R20" i="19"/>
  <c r="M20" i="19"/>
  <c r="I20" i="19"/>
  <c r="G20" i="19"/>
  <c r="H20" i="19" s="1"/>
  <c r="F20" i="19"/>
  <c r="E20" i="19"/>
  <c r="W19" i="19"/>
  <c r="R19" i="19"/>
  <c r="M19" i="19"/>
  <c r="I19" i="19"/>
  <c r="G19" i="19"/>
  <c r="H19" i="19" s="1"/>
  <c r="F19" i="19"/>
  <c r="E19" i="19"/>
  <c r="W18" i="19"/>
  <c r="R18" i="19"/>
  <c r="M18" i="19"/>
  <c r="I18" i="19"/>
  <c r="G18" i="19"/>
  <c r="H18" i="19" s="1"/>
  <c r="F18" i="19"/>
  <c r="E18" i="19"/>
  <c r="W17" i="19"/>
  <c r="R17" i="19"/>
  <c r="M17" i="19"/>
  <c r="I17" i="19"/>
  <c r="G17" i="19"/>
  <c r="H17" i="19" s="1"/>
  <c r="F17" i="19"/>
  <c r="E17" i="19"/>
  <c r="W16" i="19"/>
  <c r="R16" i="19"/>
  <c r="M16" i="19"/>
  <c r="I16" i="19"/>
  <c r="G16" i="19"/>
  <c r="H16" i="19" s="1"/>
  <c r="F16" i="19"/>
  <c r="E16" i="19"/>
  <c r="W15" i="19"/>
  <c r="R15" i="19"/>
  <c r="M15" i="19"/>
  <c r="I15" i="19"/>
  <c r="G15" i="19"/>
  <c r="H15" i="19" s="1"/>
  <c r="F15" i="19"/>
  <c r="E15" i="19"/>
  <c r="W14" i="19"/>
  <c r="R14" i="19"/>
  <c r="M14" i="19"/>
  <c r="I14" i="19"/>
  <c r="G14" i="19"/>
  <c r="H14" i="19" s="1"/>
  <c r="F14" i="19"/>
  <c r="E14" i="19"/>
  <c r="W13" i="19"/>
  <c r="R13" i="19"/>
  <c r="M13" i="19"/>
  <c r="I13" i="19"/>
  <c r="G13" i="19"/>
  <c r="H13" i="19" s="1"/>
  <c r="F13" i="19"/>
  <c r="E13" i="19"/>
  <c r="W12" i="19"/>
  <c r="R12" i="19"/>
  <c r="M12" i="19"/>
  <c r="I12" i="19"/>
  <c r="G12" i="19"/>
  <c r="H12" i="19" s="1"/>
  <c r="F12" i="19"/>
  <c r="E12" i="19"/>
  <c r="X11" i="19"/>
  <c r="V11" i="19"/>
  <c r="W11" i="19" s="1"/>
  <c r="U11" i="19"/>
  <c r="T11" i="19"/>
  <c r="S11" i="19"/>
  <c r="R11" i="19"/>
  <c r="Q11" i="19"/>
  <c r="P11" i="19"/>
  <c r="O11" i="19"/>
  <c r="N11" i="19"/>
  <c r="L11" i="19"/>
  <c r="K11" i="19"/>
  <c r="M11" i="19" s="1"/>
  <c r="J11" i="19"/>
  <c r="I11" i="19"/>
  <c r="G11" i="19"/>
  <c r="H11" i="19" s="1"/>
  <c r="F11" i="19"/>
  <c r="E11" i="19"/>
  <c r="W10" i="19"/>
  <c r="R10" i="19"/>
  <c r="M10" i="19"/>
  <c r="I10" i="19"/>
  <c r="G10" i="19"/>
  <c r="H10" i="19" s="1"/>
  <c r="F10" i="19"/>
  <c r="E10" i="19"/>
  <c r="W9" i="19"/>
  <c r="R9" i="19"/>
  <c r="M9" i="19"/>
  <c r="I9" i="19"/>
  <c r="G9" i="19"/>
  <c r="H9" i="19" s="1"/>
  <c r="F9" i="19"/>
  <c r="E9" i="19"/>
  <c r="W8" i="19"/>
  <c r="R8" i="19"/>
  <c r="M8" i="19"/>
  <c r="I8" i="19"/>
  <c r="G8" i="19"/>
  <c r="H8" i="19" s="1"/>
  <c r="F8" i="19"/>
  <c r="E8" i="19"/>
  <c r="W7" i="19"/>
  <c r="R7" i="19"/>
  <c r="M7" i="19"/>
  <c r="I7" i="19"/>
  <c r="G7" i="19"/>
  <c r="H7" i="19" s="1"/>
  <c r="F7" i="19"/>
  <c r="E7" i="19"/>
  <c r="X6" i="19"/>
  <c r="X33" i="19" s="1"/>
  <c r="V6" i="19"/>
  <c r="V33" i="19" s="1"/>
  <c r="U6" i="19"/>
  <c r="U33" i="19" s="1"/>
  <c r="T6" i="19"/>
  <c r="T33" i="19" s="1"/>
  <c r="S6" i="19"/>
  <c r="S33" i="19" s="1"/>
  <c r="R6" i="19"/>
  <c r="Q6" i="19"/>
  <c r="Q33" i="19" s="1"/>
  <c r="R33" i="19" s="1"/>
  <c r="P6" i="19"/>
  <c r="P33" i="19" s="1"/>
  <c r="O6" i="19"/>
  <c r="O33" i="19" s="1"/>
  <c r="N6" i="19"/>
  <c r="N33" i="19" s="1"/>
  <c r="L6" i="19"/>
  <c r="L33" i="19" s="1"/>
  <c r="M33" i="19" s="1"/>
  <c r="K6" i="19"/>
  <c r="K33" i="19" s="1"/>
  <c r="J6" i="19"/>
  <c r="J33" i="19" s="1"/>
  <c r="I6" i="19"/>
  <c r="I33" i="19" s="1"/>
  <c r="G6" i="19"/>
  <c r="H6" i="19" s="1"/>
  <c r="F6" i="19"/>
  <c r="F33" i="19" s="1"/>
  <c r="E6" i="19"/>
  <c r="E33" i="19" s="1"/>
  <c r="W33" i="19" l="1"/>
  <c r="W6" i="19"/>
  <c r="M6" i="19"/>
  <c r="G33" i="19"/>
  <c r="H33" i="19" s="1"/>
  <c r="W36" i="23" l="1"/>
  <c r="R36" i="23"/>
  <c r="M36" i="23"/>
  <c r="I36" i="23"/>
  <c r="G36" i="23"/>
  <c r="H36" i="23" s="1"/>
  <c r="F36" i="23"/>
  <c r="E36" i="23"/>
  <c r="W35" i="23"/>
  <c r="R35" i="23"/>
  <c r="M35" i="23"/>
  <c r="I35" i="23"/>
  <c r="G35" i="23"/>
  <c r="H35" i="23" s="1"/>
  <c r="F35" i="23"/>
  <c r="E35" i="23"/>
  <c r="W34" i="23"/>
  <c r="R34" i="23"/>
  <c r="M34" i="23"/>
  <c r="I34" i="23"/>
  <c r="G34" i="23"/>
  <c r="H34" i="23" s="1"/>
  <c r="F34" i="23"/>
  <c r="E34" i="23"/>
  <c r="W32" i="23"/>
  <c r="R32" i="23"/>
  <c r="M32" i="23"/>
  <c r="I32" i="23"/>
  <c r="G32" i="23"/>
  <c r="H32" i="23" s="1"/>
  <c r="F32" i="23"/>
  <c r="E32" i="23"/>
  <c r="W31" i="23"/>
  <c r="R31" i="23"/>
  <c r="M31" i="23"/>
  <c r="I31" i="23"/>
  <c r="G31" i="23"/>
  <c r="H31" i="23" s="1"/>
  <c r="F31" i="23"/>
  <c r="E31" i="23"/>
  <c r="W30" i="23"/>
  <c r="R30" i="23"/>
  <c r="M30" i="23"/>
  <c r="I30" i="23"/>
  <c r="G30" i="23"/>
  <c r="H30" i="23" s="1"/>
  <c r="F30" i="23"/>
  <c r="E30" i="23"/>
  <c r="W29" i="23"/>
  <c r="R29" i="23"/>
  <c r="M29" i="23"/>
  <c r="I29" i="23"/>
  <c r="G29" i="23"/>
  <c r="H29" i="23" s="1"/>
  <c r="F29" i="23"/>
  <c r="E29" i="23"/>
  <c r="W28" i="23"/>
  <c r="Q28" i="23"/>
  <c r="R28" i="23" s="1"/>
  <c r="M28" i="23"/>
  <c r="I28" i="23"/>
  <c r="G28" i="23"/>
  <c r="H28" i="23" s="1"/>
  <c r="F28" i="23"/>
  <c r="E28" i="23"/>
  <c r="W27" i="23"/>
  <c r="R27" i="23"/>
  <c r="M27" i="23"/>
  <c r="I27" i="23"/>
  <c r="G27" i="23"/>
  <c r="H27" i="23" s="1"/>
  <c r="F27" i="23"/>
  <c r="E27" i="23"/>
  <c r="W26" i="23"/>
  <c r="R26" i="23"/>
  <c r="M26" i="23"/>
  <c r="I26" i="23"/>
  <c r="G26" i="23"/>
  <c r="H26" i="23" s="1"/>
  <c r="F26" i="23"/>
  <c r="E26" i="23"/>
  <c r="W25" i="23"/>
  <c r="R25" i="23"/>
  <c r="M25" i="23"/>
  <c r="I25" i="23"/>
  <c r="G25" i="23"/>
  <c r="H25" i="23" s="1"/>
  <c r="F25" i="23"/>
  <c r="E25" i="23"/>
  <c r="W24" i="23"/>
  <c r="R24" i="23"/>
  <c r="M24" i="23"/>
  <c r="I24" i="23"/>
  <c r="G24" i="23"/>
  <c r="H24" i="23" s="1"/>
  <c r="F24" i="23"/>
  <c r="E24" i="23"/>
  <c r="W23" i="23"/>
  <c r="R23" i="23"/>
  <c r="M23" i="23"/>
  <c r="I23" i="23"/>
  <c r="G23" i="23"/>
  <c r="H23" i="23" s="1"/>
  <c r="F23" i="23"/>
  <c r="E23" i="23"/>
  <c r="W22" i="23"/>
  <c r="R22" i="23"/>
  <c r="M22" i="23"/>
  <c r="I22" i="23"/>
  <c r="G22" i="23"/>
  <c r="H22" i="23" s="1"/>
  <c r="F22" i="23"/>
  <c r="E22" i="23"/>
  <c r="W21" i="23"/>
  <c r="R21" i="23"/>
  <c r="Q21" i="23"/>
  <c r="M21" i="23"/>
  <c r="I21" i="23"/>
  <c r="H21" i="23"/>
  <c r="G21" i="23"/>
  <c r="F21" i="23"/>
  <c r="E21" i="23"/>
  <c r="W20" i="23"/>
  <c r="R20" i="23"/>
  <c r="Q20" i="23"/>
  <c r="M20" i="23"/>
  <c r="I20" i="23"/>
  <c r="G20" i="23"/>
  <c r="F20" i="23"/>
  <c r="H20" i="23" s="1"/>
  <c r="E20" i="23"/>
  <c r="W19" i="23"/>
  <c r="Q19" i="23"/>
  <c r="R19" i="23" s="1"/>
  <c r="P19" i="23"/>
  <c r="F19" i="23" s="1"/>
  <c r="O19" i="23"/>
  <c r="M19" i="23"/>
  <c r="I19" i="23"/>
  <c r="E19" i="23"/>
  <c r="W18" i="23"/>
  <c r="R18" i="23"/>
  <c r="Q18" i="23"/>
  <c r="M18" i="23"/>
  <c r="I18" i="23"/>
  <c r="G18" i="23"/>
  <c r="F18" i="23"/>
  <c r="H18" i="23" s="1"/>
  <c r="E18" i="23"/>
  <c r="W17" i="23"/>
  <c r="R17" i="23"/>
  <c r="M17" i="23"/>
  <c r="I17" i="23"/>
  <c r="I11" i="23" s="1"/>
  <c r="G17" i="23"/>
  <c r="F17" i="23"/>
  <c r="H17" i="23" s="1"/>
  <c r="E17" i="23"/>
  <c r="E11" i="23" s="1"/>
  <c r="W16" i="23"/>
  <c r="Q16" i="23"/>
  <c r="R16" i="23" s="1"/>
  <c r="M16" i="23"/>
  <c r="I16" i="23"/>
  <c r="G16" i="23"/>
  <c r="H16" i="23" s="1"/>
  <c r="F16" i="23"/>
  <c r="E16" i="23"/>
  <c r="W15" i="23"/>
  <c r="R15" i="23"/>
  <c r="M15" i="23"/>
  <c r="I15" i="23"/>
  <c r="G15" i="23"/>
  <c r="H15" i="23" s="1"/>
  <c r="F15" i="23"/>
  <c r="E15" i="23"/>
  <c r="W14" i="23"/>
  <c r="R14" i="23"/>
  <c r="M14" i="23"/>
  <c r="I14" i="23"/>
  <c r="G14" i="23"/>
  <c r="H14" i="23" s="1"/>
  <c r="F14" i="23"/>
  <c r="E14" i="23"/>
  <c r="W13" i="23"/>
  <c r="R13" i="23"/>
  <c r="M13" i="23"/>
  <c r="I13" i="23"/>
  <c r="G13" i="23"/>
  <c r="H13" i="23" s="1"/>
  <c r="F13" i="23"/>
  <c r="E13" i="23"/>
  <c r="W12" i="23"/>
  <c r="Q12" i="23"/>
  <c r="Q11" i="23" s="1"/>
  <c r="R11" i="23" s="1"/>
  <c r="M12" i="23"/>
  <c r="I12" i="23"/>
  <c r="G12" i="23"/>
  <c r="H12" i="23" s="1"/>
  <c r="F12" i="23"/>
  <c r="E12" i="23"/>
  <c r="X11" i="23"/>
  <c r="W11" i="23"/>
  <c r="V11" i="23"/>
  <c r="U11" i="23"/>
  <c r="T11" i="23"/>
  <c r="S11" i="23"/>
  <c r="P11" i="23"/>
  <c r="O11" i="23"/>
  <c r="N11" i="23"/>
  <c r="L11" i="23"/>
  <c r="M11" i="23" s="1"/>
  <c r="K11" i="23"/>
  <c r="J11" i="23"/>
  <c r="W10" i="23"/>
  <c r="R10" i="23"/>
  <c r="M10" i="23"/>
  <c r="I10" i="23"/>
  <c r="G10" i="23"/>
  <c r="H10" i="23" s="1"/>
  <c r="F10" i="23"/>
  <c r="E10" i="23"/>
  <c r="W9" i="23"/>
  <c r="R9" i="23"/>
  <c r="Q9" i="23"/>
  <c r="P9" i="23"/>
  <c r="O9" i="23"/>
  <c r="E9" i="23" s="1"/>
  <c r="M9" i="23"/>
  <c r="K9" i="23"/>
  <c r="I9" i="23"/>
  <c r="G9" i="23"/>
  <c r="H9" i="23" s="1"/>
  <c r="F9" i="23"/>
  <c r="W8" i="23"/>
  <c r="R8" i="23"/>
  <c r="M8" i="23"/>
  <c r="L8" i="23"/>
  <c r="I8" i="23"/>
  <c r="I6" i="23" s="1"/>
  <c r="I33" i="23" s="1"/>
  <c r="H8" i="23"/>
  <c r="G8" i="23"/>
  <c r="F8" i="23"/>
  <c r="E8" i="23"/>
  <c r="E6" i="23" s="1"/>
  <c r="E33" i="23" s="1"/>
  <c r="W7" i="23"/>
  <c r="R7" i="23"/>
  <c r="L7" i="23"/>
  <c r="M7" i="23" s="1"/>
  <c r="K7" i="23"/>
  <c r="K6" i="23" s="1"/>
  <c r="K33" i="23" s="1"/>
  <c r="I7" i="23"/>
  <c r="G7" i="23"/>
  <c r="E7" i="23"/>
  <c r="X6" i="23"/>
  <c r="X33" i="23" s="1"/>
  <c r="V6" i="23"/>
  <c r="W6" i="23" s="1"/>
  <c r="U6" i="23"/>
  <c r="U33" i="23" s="1"/>
  <c r="T6" i="23"/>
  <c r="T33" i="23" s="1"/>
  <c r="S6" i="23"/>
  <c r="S33" i="23" s="1"/>
  <c r="R6" i="23"/>
  <c r="Q6" i="23"/>
  <c r="P6" i="23"/>
  <c r="P33" i="23" s="1"/>
  <c r="O6" i="23"/>
  <c r="O33" i="23" s="1"/>
  <c r="N6" i="23"/>
  <c r="N33" i="23" s="1"/>
  <c r="J6" i="23"/>
  <c r="J33" i="23" s="1"/>
  <c r="Q33" i="23" l="1"/>
  <c r="R33" i="23" s="1"/>
  <c r="H7" i="23"/>
  <c r="F11" i="23"/>
  <c r="G19" i="23"/>
  <c r="F7" i="23"/>
  <c r="F6" i="23" s="1"/>
  <c r="V33" i="23"/>
  <c r="W33" i="23" s="1"/>
  <c r="G6" i="23"/>
  <c r="R12" i="23"/>
  <c r="L6" i="23"/>
  <c r="H6" i="23" l="1"/>
  <c r="L33" i="23"/>
  <c r="M33" i="23" s="1"/>
  <c r="M6" i="23"/>
  <c r="F33" i="23"/>
  <c r="G11" i="23"/>
  <c r="H11" i="23" s="1"/>
  <c r="H19" i="23"/>
  <c r="G33" i="23" l="1"/>
  <c r="H33" i="23" s="1"/>
  <c r="H36" i="29" l="1"/>
  <c r="H35" i="29"/>
  <c r="H34" i="29"/>
  <c r="I32" i="29"/>
  <c r="G32" i="29"/>
  <c r="F32" i="29"/>
  <c r="E32" i="29"/>
  <c r="I31" i="29"/>
  <c r="G31" i="29"/>
  <c r="F31" i="29"/>
  <c r="E31" i="29"/>
  <c r="I30" i="29"/>
  <c r="G30" i="29"/>
  <c r="F30" i="29"/>
  <c r="E30" i="29"/>
  <c r="U29" i="29"/>
  <c r="W29" i="29" s="1"/>
  <c r="M29" i="29"/>
  <c r="K29" i="29"/>
  <c r="I29" i="29"/>
  <c r="G29" i="29"/>
  <c r="H29" i="29" s="1"/>
  <c r="F29" i="29"/>
  <c r="E29" i="29"/>
  <c r="U28" i="29"/>
  <c r="W28" i="29" s="1"/>
  <c r="M28" i="29"/>
  <c r="K28" i="29"/>
  <c r="I28" i="29"/>
  <c r="H28" i="29"/>
  <c r="G28" i="29"/>
  <c r="F28" i="29"/>
  <c r="E28" i="29"/>
  <c r="I27" i="29"/>
  <c r="G27" i="29"/>
  <c r="F27" i="29"/>
  <c r="E27" i="29"/>
  <c r="W26" i="29"/>
  <c r="U26" i="29"/>
  <c r="K26" i="29"/>
  <c r="M26" i="29" s="1"/>
  <c r="I26" i="29"/>
  <c r="G26" i="29"/>
  <c r="F26" i="29"/>
  <c r="H26" i="29" s="1"/>
  <c r="E26" i="29"/>
  <c r="M25" i="29"/>
  <c r="I25" i="29"/>
  <c r="G25" i="29"/>
  <c r="H25" i="29" s="1"/>
  <c r="F25" i="29"/>
  <c r="E25" i="29"/>
  <c r="I24" i="29"/>
  <c r="G24" i="29"/>
  <c r="F24" i="29"/>
  <c r="E24" i="29"/>
  <c r="I23" i="29"/>
  <c r="G23" i="29"/>
  <c r="F23" i="29"/>
  <c r="E23" i="29"/>
  <c r="U22" i="29"/>
  <c r="W22" i="29" s="1"/>
  <c r="M22" i="29"/>
  <c r="K22" i="29"/>
  <c r="I22" i="29"/>
  <c r="H22" i="29"/>
  <c r="G22" i="29"/>
  <c r="F22" i="29"/>
  <c r="E22" i="29"/>
  <c r="W21" i="29"/>
  <c r="U21" i="29"/>
  <c r="K21" i="29"/>
  <c r="M21" i="29" s="1"/>
  <c r="I21" i="29"/>
  <c r="G21" i="29"/>
  <c r="F21" i="29"/>
  <c r="H21" i="29" s="1"/>
  <c r="E21" i="29"/>
  <c r="V20" i="29"/>
  <c r="U20" i="29"/>
  <c r="W20" i="29" s="1"/>
  <c r="R20" i="29"/>
  <c r="Q20" i="29"/>
  <c r="P20" i="29"/>
  <c r="L20" i="29"/>
  <c r="M20" i="29" s="1"/>
  <c r="K20" i="29"/>
  <c r="I20" i="29"/>
  <c r="G20" i="29"/>
  <c r="H20" i="29" s="1"/>
  <c r="F20" i="29"/>
  <c r="E20" i="29"/>
  <c r="U19" i="29"/>
  <c r="W19" i="29" s="1"/>
  <c r="O19" i="29"/>
  <c r="P19" i="29" s="1"/>
  <c r="R19" i="29" s="1"/>
  <c r="M19" i="29"/>
  <c r="K19" i="29"/>
  <c r="J19" i="29"/>
  <c r="I19" i="29"/>
  <c r="G19" i="29"/>
  <c r="E19" i="29"/>
  <c r="W18" i="29"/>
  <c r="U18" i="29"/>
  <c r="K18" i="29"/>
  <c r="M18" i="29" s="1"/>
  <c r="I18" i="29"/>
  <c r="G18" i="29"/>
  <c r="F18" i="29"/>
  <c r="H18" i="29" s="1"/>
  <c r="E18" i="29"/>
  <c r="M17" i="29"/>
  <c r="K17" i="29"/>
  <c r="I17" i="29"/>
  <c r="H17" i="29"/>
  <c r="G17" i="29"/>
  <c r="F17" i="29"/>
  <c r="E17" i="29"/>
  <c r="M16" i="29"/>
  <c r="K16" i="29"/>
  <c r="I16" i="29"/>
  <c r="G16" i="29"/>
  <c r="G11" i="29" s="1"/>
  <c r="F16" i="29"/>
  <c r="E16" i="29"/>
  <c r="U15" i="29"/>
  <c r="W15" i="29" s="1"/>
  <c r="M15" i="29"/>
  <c r="K15" i="29"/>
  <c r="I15" i="29"/>
  <c r="H15" i="29"/>
  <c r="G15" i="29"/>
  <c r="F15" i="29"/>
  <c r="E15" i="29"/>
  <c r="I14" i="29"/>
  <c r="G14" i="29"/>
  <c r="F14" i="29"/>
  <c r="E14" i="29"/>
  <c r="W13" i="29"/>
  <c r="U13" i="29"/>
  <c r="K13" i="29"/>
  <c r="M13" i="29" s="1"/>
  <c r="I13" i="29"/>
  <c r="G13" i="29"/>
  <c r="F13" i="29"/>
  <c r="H13" i="29" s="1"/>
  <c r="E13" i="29"/>
  <c r="W12" i="29"/>
  <c r="U12" i="29"/>
  <c r="P12" i="29"/>
  <c r="R12" i="29" s="1"/>
  <c r="O12" i="29"/>
  <c r="K12" i="29"/>
  <c r="M12" i="29" s="1"/>
  <c r="I12" i="29"/>
  <c r="G12" i="29"/>
  <c r="E12" i="29"/>
  <c r="X11" i="29"/>
  <c r="V11" i="29"/>
  <c r="W11" i="29" s="1"/>
  <c r="U11" i="29"/>
  <c r="T11" i="29"/>
  <c r="S11" i="29"/>
  <c r="Q11" i="29"/>
  <c r="N11" i="29"/>
  <c r="L11" i="29"/>
  <c r="J11" i="29"/>
  <c r="I11" i="29"/>
  <c r="E11" i="29"/>
  <c r="I10" i="29"/>
  <c r="G10" i="29"/>
  <c r="F10" i="29"/>
  <c r="E10" i="29"/>
  <c r="O9" i="29"/>
  <c r="P9" i="29" s="1"/>
  <c r="M9" i="29"/>
  <c r="K9" i="29"/>
  <c r="I9" i="29"/>
  <c r="G9" i="29"/>
  <c r="L8" i="29"/>
  <c r="M8" i="29" s="1"/>
  <c r="K8" i="29"/>
  <c r="I8" i="29"/>
  <c r="G8" i="29"/>
  <c r="G6" i="29" s="1"/>
  <c r="F8" i="29"/>
  <c r="E8" i="29"/>
  <c r="U7" i="29"/>
  <c r="W7" i="29" s="1"/>
  <c r="L7" i="29"/>
  <c r="K7" i="29"/>
  <c r="K6" i="29" s="1"/>
  <c r="I7" i="29"/>
  <c r="G7" i="29"/>
  <c r="F7" i="29"/>
  <c r="H7" i="29" s="1"/>
  <c r="E7" i="29"/>
  <c r="X6" i="29"/>
  <c r="X33" i="29" s="1"/>
  <c r="V6" i="29"/>
  <c r="W6" i="29" s="1"/>
  <c r="U6" i="29"/>
  <c r="U33" i="29" s="1"/>
  <c r="T6" i="29"/>
  <c r="T33" i="29" s="1"/>
  <c r="S6" i="29"/>
  <c r="S33" i="29" s="1"/>
  <c r="Q6" i="29"/>
  <c r="N6" i="29"/>
  <c r="N33" i="29" s="1"/>
  <c r="J6" i="29"/>
  <c r="J33" i="29" s="1"/>
  <c r="I6" i="29"/>
  <c r="I33" i="29" s="1"/>
  <c r="G33" i="29" l="1"/>
  <c r="H6" i="29"/>
  <c r="R9" i="29"/>
  <c r="F9" i="29"/>
  <c r="F6" i="29" s="1"/>
  <c r="P6" i="29"/>
  <c r="F19" i="29"/>
  <c r="H19" i="29" s="1"/>
  <c r="H9" i="29"/>
  <c r="R6" i="29"/>
  <c r="R11" i="29"/>
  <c r="L6" i="29"/>
  <c r="M7" i="29"/>
  <c r="P11" i="29"/>
  <c r="H8" i="29"/>
  <c r="F12" i="29"/>
  <c r="H16" i="29"/>
  <c r="Q33" i="29"/>
  <c r="V33" i="29"/>
  <c r="W33" i="29" s="1"/>
  <c r="O6" i="29"/>
  <c r="E9" i="29"/>
  <c r="E6" i="29" s="1"/>
  <c r="E33" i="29" s="1"/>
  <c r="K11" i="29"/>
  <c r="M11" i="29" s="1"/>
  <c r="O11" i="29"/>
  <c r="K33" i="29" l="1"/>
  <c r="P33" i="29"/>
  <c r="O33" i="29"/>
  <c r="F11" i="29"/>
  <c r="H11" i="29" s="1"/>
  <c r="H12" i="29"/>
  <c r="L33" i="29"/>
  <c r="M6" i="29"/>
  <c r="F33" i="29"/>
  <c r="H36" i="25" l="1"/>
  <c r="H35" i="25"/>
  <c r="W32" i="25"/>
  <c r="M32" i="25"/>
  <c r="I32" i="25"/>
  <c r="H32" i="25"/>
  <c r="G32" i="25"/>
  <c r="F32" i="25"/>
  <c r="E32" i="25"/>
  <c r="I31" i="25"/>
  <c r="G31" i="25"/>
  <c r="F31" i="25"/>
  <c r="E31" i="25"/>
  <c r="I30" i="25"/>
  <c r="G30" i="25"/>
  <c r="F30" i="25"/>
  <c r="E30" i="25"/>
  <c r="M29" i="25"/>
  <c r="I29" i="25"/>
  <c r="G29" i="25"/>
  <c r="H29" i="25" s="1"/>
  <c r="F29" i="25"/>
  <c r="E29" i="25"/>
  <c r="R28" i="25"/>
  <c r="M28" i="25"/>
  <c r="I28" i="25"/>
  <c r="G28" i="25"/>
  <c r="H28" i="25" s="1"/>
  <c r="F28" i="25"/>
  <c r="E28" i="25"/>
  <c r="I27" i="25"/>
  <c r="G27" i="25"/>
  <c r="F27" i="25"/>
  <c r="E27" i="25"/>
  <c r="W26" i="25"/>
  <c r="M26" i="25"/>
  <c r="I26" i="25"/>
  <c r="H26" i="25"/>
  <c r="G26" i="25"/>
  <c r="F26" i="25"/>
  <c r="E26" i="25"/>
  <c r="M25" i="25"/>
  <c r="I25" i="25"/>
  <c r="G25" i="25"/>
  <c r="H25" i="25" s="1"/>
  <c r="F25" i="25"/>
  <c r="E25" i="25"/>
  <c r="I24" i="25"/>
  <c r="G24" i="25"/>
  <c r="F24" i="25"/>
  <c r="E24" i="25"/>
  <c r="I23" i="25"/>
  <c r="G23" i="25"/>
  <c r="F23" i="25"/>
  <c r="E23" i="25"/>
  <c r="I22" i="25"/>
  <c r="G22" i="25"/>
  <c r="F22" i="25"/>
  <c r="E22" i="25"/>
  <c r="R21" i="25"/>
  <c r="M21" i="25"/>
  <c r="I21" i="25"/>
  <c r="G21" i="25"/>
  <c r="H21" i="25" s="1"/>
  <c r="F21" i="25"/>
  <c r="E21" i="25"/>
  <c r="R20" i="25"/>
  <c r="M20" i="25"/>
  <c r="I20" i="25"/>
  <c r="H20" i="25"/>
  <c r="G20" i="25"/>
  <c r="F20" i="25"/>
  <c r="E20" i="25"/>
  <c r="W19" i="25"/>
  <c r="R19" i="25"/>
  <c r="M19" i="25"/>
  <c r="I19" i="25"/>
  <c r="H19" i="25"/>
  <c r="G19" i="25"/>
  <c r="G34" i="25" s="1"/>
  <c r="H34" i="25" s="1"/>
  <c r="F19" i="25"/>
  <c r="F34" i="25" s="1"/>
  <c r="E19" i="25"/>
  <c r="E34" i="25" s="1"/>
  <c r="W18" i="25"/>
  <c r="R18" i="25"/>
  <c r="M18" i="25"/>
  <c r="I18" i="25"/>
  <c r="H18" i="25"/>
  <c r="G18" i="25"/>
  <c r="F18" i="25"/>
  <c r="E18" i="25"/>
  <c r="M17" i="25"/>
  <c r="I17" i="25"/>
  <c r="G17" i="25"/>
  <c r="H17" i="25" s="1"/>
  <c r="F17" i="25"/>
  <c r="E17" i="25"/>
  <c r="R16" i="25"/>
  <c r="M16" i="25"/>
  <c r="I16" i="25"/>
  <c r="G16" i="25"/>
  <c r="H16" i="25" s="1"/>
  <c r="F16" i="25"/>
  <c r="F11" i="25" s="1"/>
  <c r="E16" i="25"/>
  <c r="W15" i="25"/>
  <c r="M15" i="25"/>
  <c r="I15" i="25"/>
  <c r="H15" i="25"/>
  <c r="G15" i="25"/>
  <c r="F15" i="25"/>
  <c r="E15" i="25"/>
  <c r="I14" i="25"/>
  <c r="I11" i="25" s="1"/>
  <c r="G14" i="25"/>
  <c r="F14" i="25"/>
  <c r="E14" i="25"/>
  <c r="E11" i="25" s="1"/>
  <c r="W13" i="25"/>
  <c r="M13" i="25"/>
  <c r="I13" i="25"/>
  <c r="G13" i="25"/>
  <c r="H13" i="25" s="1"/>
  <c r="F13" i="25"/>
  <c r="E13" i="25"/>
  <c r="W12" i="25"/>
  <c r="R12" i="25"/>
  <c r="M12" i="25"/>
  <c r="I12" i="25"/>
  <c r="G12" i="25"/>
  <c r="H12" i="25" s="1"/>
  <c r="F12" i="25"/>
  <c r="E12" i="25"/>
  <c r="X11" i="25"/>
  <c r="W11" i="25"/>
  <c r="V11" i="25"/>
  <c r="U11" i="25"/>
  <c r="T11" i="25"/>
  <c r="S11" i="25"/>
  <c r="Q11" i="25"/>
  <c r="R11" i="25" s="1"/>
  <c r="P11" i="25"/>
  <c r="O11" i="25"/>
  <c r="N11" i="25"/>
  <c r="L11" i="25"/>
  <c r="M11" i="25" s="1"/>
  <c r="K11" i="25"/>
  <c r="J11" i="25"/>
  <c r="G11" i="25"/>
  <c r="I10" i="25"/>
  <c r="G10" i="25"/>
  <c r="F10" i="25"/>
  <c r="E10" i="25"/>
  <c r="R9" i="25"/>
  <c r="M9" i="25"/>
  <c r="I9" i="25"/>
  <c r="G9" i="25"/>
  <c r="H9" i="25" s="1"/>
  <c r="F9" i="25"/>
  <c r="F6" i="25" s="1"/>
  <c r="F33" i="25" s="1"/>
  <c r="E9" i="25"/>
  <c r="M8" i="25"/>
  <c r="I8" i="25"/>
  <c r="I6" i="25" s="1"/>
  <c r="I33" i="25" s="1"/>
  <c r="H8" i="25"/>
  <c r="G8" i="25"/>
  <c r="F8" i="25"/>
  <c r="E8" i="25"/>
  <c r="E6" i="25" s="1"/>
  <c r="W7" i="25"/>
  <c r="M7" i="25"/>
  <c r="I7" i="25"/>
  <c r="G7" i="25"/>
  <c r="H7" i="25" s="1"/>
  <c r="F7" i="25"/>
  <c r="E7" i="25"/>
  <c r="X6" i="25"/>
  <c r="X33" i="25" s="1"/>
  <c r="W6" i="25"/>
  <c r="V6" i="25"/>
  <c r="V33" i="25" s="1"/>
  <c r="W33" i="25" s="1"/>
  <c r="U6" i="25"/>
  <c r="U33" i="25" s="1"/>
  <c r="T6" i="25"/>
  <c r="T33" i="25" s="1"/>
  <c r="S6" i="25"/>
  <c r="S33" i="25" s="1"/>
  <c r="Q6" i="25"/>
  <c r="Q33" i="25" s="1"/>
  <c r="P6" i="25"/>
  <c r="P33" i="25" s="1"/>
  <c r="O6" i="25"/>
  <c r="O33" i="25" s="1"/>
  <c r="N6" i="25"/>
  <c r="N33" i="25" s="1"/>
  <c r="L6" i="25"/>
  <c r="L33" i="25" s="1"/>
  <c r="K6" i="25"/>
  <c r="K33" i="25" s="1"/>
  <c r="J6" i="25"/>
  <c r="J33" i="25" s="1"/>
  <c r="G6" i="25"/>
  <c r="G33" i="25" s="1"/>
  <c r="E33" i="25" l="1"/>
  <c r="H11" i="25"/>
  <c r="R6" i="25"/>
  <c r="H6" i="25"/>
  <c r="M6" i="25"/>
  <c r="H34" i="3" l="1"/>
  <c r="I32" i="3"/>
  <c r="G32" i="3"/>
  <c r="F32" i="3"/>
  <c r="E32" i="3"/>
  <c r="I31" i="3"/>
  <c r="G31" i="3"/>
  <c r="F31" i="3"/>
  <c r="E31" i="3"/>
  <c r="I30" i="3"/>
  <c r="G30" i="3"/>
  <c r="F30" i="3"/>
  <c r="E30" i="3"/>
  <c r="M29" i="3"/>
  <c r="H29" i="3"/>
  <c r="G29" i="3"/>
  <c r="F29" i="3"/>
  <c r="E29" i="3"/>
  <c r="M28" i="3"/>
  <c r="G28" i="3"/>
  <c r="H28" i="3" s="1"/>
  <c r="F28" i="3"/>
  <c r="E28" i="3"/>
  <c r="I27" i="3"/>
  <c r="G27" i="3"/>
  <c r="F27" i="3"/>
  <c r="E27" i="3"/>
  <c r="M26" i="3"/>
  <c r="G26" i="3"/>
  <c r="H26" i="3" s="1"/>
  <c r="F26" i="3"/>
  <c r="E26" i="3"/>
  <c r="I25" i="3"/>
  <c r="G25" i="3"/>
  <c r="F25" i="3"/>
  <c r="E25" i="3"/>
  <c r="I24" i="3"/>
  <c r="G24" i="3"/>
  <c r="F24" i="3"/>
  <c r="E24" i="3"/>
  <c r="I23" i="3"/>
  <c r="G23" i="3"/>
  <c r="F23" i="3"/>
  <c r="E23" i="3"/>
  <c r="I22" i="3"/>
  <c r="G22" i="3"/>
  <c r="F22" i="3"/>
  <c r="E22" i="3"/>
  <c r="R21" i="3"/>
  <c r="H21" i="3"/>
  <c r="G21" i="3"/>
  <c r="F21" i="3"/>
  <c r="E21" i="3"/>
  <c r="R20" i="3"/>
  <c r="H20" i="3"/>
  <c r="G20" i="3"/>
  <c r="F20" i="3"/>
  <c r="E20" i="3"/>
  <c r="R19" i="3"/>
  <c r="G19" i="3"/>
  <c r="F19" i="3"/>
  <c r="H19" i="3" s="1"/>
  <c r="E19" i="3"/>
  <c r="R18" i="3"/>
  <c r="M18" i="3"/>
  <c r="H18" i="3"/>
  <c r="G18" i="3"/>
  <c r="F18" i="3"/>
  <c r="E18" i="3"/>
  <c r="M17" i="3"/>
  <c r="H17" i="3"/>
  <c r="G17" i="3"/>
  <c r="F17" i="3"/>
  <c r="E17" i="3"/>
  <c r="M16" i="3"/>
  <c r="I16" i="3"/>
  <c r="G16" i="3"/>
  <c r="H16" i="3" s="1"/>
  <c r="F16" i="3"/>
  <c r="E16" i="3"/>
  <c r="M15" i="3"/>
  <c r="G15" i="3"/>
  <c r="H15" i="3" s="1"/>
  <c r="F15" i="3"/>
  <c r="E15" i="3"/>
  <c r="I14" i="3"/>
  <c r="G14" i="3"/>
  <c r="F14" i="3"/>
  <c r="E14" i="3"/>
  <c r="M13" i="3"/>
  <c r="H13" i="3"/>
  <c r="G13" i="3"/>
  <c r="F13" i="3"/>
  <c r="E13" i="3"/>
  <c r="R12" i="3"/>
  <c r="M12" i="3"/>
  <c r="G12" i="3"/>
  <c r="H12" i="3" s="1"/>
  <c r="F12" i="3"/>
  <c r="F11" i="3" s="1"/>
  <c r="E12" i="3"/>
  <c r="X11" i="3"/>
  <c r="V11" i="3"/>
  <c r="U11" i="3"/>
  <c r="T11" i="3"/>
  <c r="S11" i="3"/>
  <c r="Q11" i="3"/>
  <c r="R11" i="3" s="1"/>
  <c r="P11" i="3"/>
  <c r="O11" i="3"/>
  <c r="N11" i="3"/>
  <c r="M11" i="3"/>
  <c r="L11" i="3"/>
  <c r="K11" i="3"/>
  <c r="J11" i="3"/>
  <c r="I11" i="3"/>
  <c r="E11" i="3"/>
  <c r="M10" i="3"/>
  <c r="I10" i="3"/>
  <c r="G10" i="3"/>
  <c r="H10" i="3" s="1"/>
  <c r="F10" i="3"/>
  <c r="E10" i="3"/>
  <c r="R9" i="3"/>
  <c r="M9" i="3"/>
  <c r="G9" i="3"/>
  <c r="F9" i="3"/>
  <c r="H9" i="3" s="1"/>
  <c r="E9" i="3"/>
  <c r="E6" i="3" s="1"/>
  <c r="E33" i="3" s="1"/>
  <c r="M8" i="3"/>
  <c r="G8" i="3"/>
  <c r="H8" i="3" s="1"/>
  <c r="F8" i="3"/>
  <c r="E8" i="3"/>
  <c r="M7" i="3"/>
  <c r="G7" i="3"/>
  <c r="H7" i="3" s="1"/>
  <c r="F7" i="3"/>
  <c r="E7" i="3"/>
  <c r="X6" i="3"/>
  <c r="X33" i="3" s="1"/>
  <c r="V6" i="3"/>
  <c r="V33" i="3" s="1"/>
  <c r="U6" i="3"/>
  <c r="U33" i="3" s="1"/>
  <c r="T6" i="3"/>
  <c r="T33" i="3" s="1"/>
  <c r="S6" i="3"/>
  <c r="S33" i="3" s="1"/>
  <c r="R6" i="3"/>
  <c r="Q6" i="3"/>
  <c r="Q33" i="3" s="1"/>
  <c r="P6" i="3"/>
  <c r="P33" i="3" s="1"/>
  <c r="O6" i="3"/>
  <c r="O33" i="3" s="1"/>
  <c r="N6" i="3"/>
  <c r="N33" i="3" s="1"/>
  <c r="L6" i="3"/>
  <c r="L33" i="3" s="1"/>
  <c r="K6" i="3"/>
  <c r="K33" i="3" s="1"/>
  <c r="J6" i="3"/>
  <c r="J33" i="3" s="1"/>
  <c r="I6" i="3"/>
  <c r="I33" i="3" s="1"/>
  <c r="F6" i="3"/>
  <c r="F33" i="3" s="1"/>
  <c r="G6" i="3" l="1"/>
  <c r="M6" i="3"/>
  <c r="G11" i="3"/>
  <c r="H11" i="3" s="1"/>
  <c r="H6" i="3" l="1"/>
  <c r="G33" i="3"/>
  <c r="H36" i="1" l="1"/>
  <c r="H35" i="1"/>
  <c r="H34" i="1"/>
  <c r="N32" i="1"/>
  <c r="L32" i="1"/>
  <c r="K32" i="1"/>
  <c r="J32" i="1"/>
  <c r="I32" i="1"/>
  <c r="G32" i="1"/>
  <c r="F32" i="1"/>
  <c r="E32" i="1"/>
  <c r="N31" i="1"/>
  <c r="L31" i="1"/>
  <c r="K31" i="1"/>
  <c r="J31" i="1"/>
  <c r="I31" i="1"/>
  <c r="G31" i="1"/>
  <c r="F31" i="1"/>
  <c r="E31" i="1"/>
  <c r="N30" i="1"/>
  <c r="L30" i="1"/>
  <c r="K30" i="1"/>
  <c r="J30" i="1"/>
  <c r="I30" i="1"/>
  <c r="G30" i="1"/>
  <c r="F30" i="1"/>
  <c r="E30" i="1"/>
  <c r="M29" i="1"/>
  <c r="I29" i="1"/>
  <c r="H29" i="1"/>
  <c r="G29" i="1"/>
  <c r="F29" i="1"/>
  <c r="E29" i="1"/>
  <c r="M28" i="1"/>
  <c r="I28" i="1"/>
  <c r="G28" i="1"/>
  <c r="H28" i="1" s="1"/>
  <c r="F28" i="1"/>
  <c r="E28" i="1"/>
  <c r="I27" i="1"/>
  <c r="G27" i="1"/>
  <c r="F27" i="1"/>
  <c r="E27" i="1"/>
  <c r="W26" i="1"/>
  <c r="M26" i="1"/>
  <c r="I26" i="1"/>
  <c r="G26" i="1"/>
  <c r="H26" i="1" s="1"/>
  <c r="F26" i="1"/>
  <c r="E26" i="1"/>
  <c r="L25" i="1"/>
  <c r="K25" i="1"/>
  <c r="J25" i="1"/>
  <c r="I25" i="1"/>
  <c r="G25" i="1"/>
  <c r="F25" i="1"/>
  <c r="E25" i="1"/>
  <c r="L24" i="1"/>
  <c r="K24" i="1"/>
  <c r="J24" i="1"/>
  <c r="I24" i="1"/>
  <c r="G24" i="1"/>
  <c r="F24" i="1"/>
  <c r="E24" i="1"/>
  <c r="L23" i="1"/>
  <c r="K23" i="1"/>
  <c r="J23" i="1"/>
  <c r="I23" i="1"/>
  <c r="G23" i="1"/>
  <c r="F23" i="1"/>
  <c r="E23" i="1"/>
  <c r="L22" i="1"/>
  <c r="K22" i="1"/>
  <c r="J22" i="1"/>
  <c r="J11" i="1" s="1"/>
  <c r="I22" i="1"/>
  <c r="G22" i="1"/>
  <c r="F22" i="1"/>
  <c r="E22" i="1"/>
  <c r="R21" i="1"/>
  <c r="M21" i="1"/>
  <c r="I21" i="1"/>
  <c r="H21" i="1"/>
  <c r="G21" i="1"/>
  <c r="F21" i="1"/>
  <c r="E21" i="1"/>
  <c r="R20" i="1"/>
  <c r="M20" i="1"/>
  <c r="I20" i="1"/>
  <c r="G20" i="1"/>
  <c r="H20" i="1" s="1"/>
  <c r="F20" i="1"/>
  <c r="E20" i="1"/>
  <c r="R19" i="1"/>
  <c r="M19" i="1"/>
  <c r="I19" i="1"/>
  <c r="G19" i="1"/>
  <c r="H19" i="1" s="1"/>
  <c r="F19" i="1"/>
  <c r="E19" i="1"/>
  <c r="W18" i="1"/>
  <c r="M18" i="1"/>
  <c r="I18" i="1"/>
  <c r="G18" i="1"/>
  <c r="H18" i="1" s="1"/>
  <c r="F18" i="1"/>
  <c r="E18" i="1"/>
  <c r="I17" i="1"/>
  <c r="G17" i="1"/>
  <c r="F17" i="1"/>
  <c r="E17" i="1"/>
  <c r="M16" i="1"/>
  <c r="I16" i="1"/>
  <c r="G16" i="1"/>
  <c r="H16" i="1" s="1"/>
  <c r="F16" i="1"/>
  <c r="E16" i="1"/>
  <c r="W15" i="1"/>
  <c r="M15" i="1"/>
  <c r="I15" i="1"/>
  <c r="G15" i="1"/>
  <c r="H15" i="1" s="1"/>
  <c r="F15" i="1"/>
  <c r="E15" i="1"/>
  <c r="I14" i="1"/>
  <c r="G14" i="1"/>
  <c r="F14" i="1"/>
  <c r="F11" i="1" s="1"/>
  <c r="E14" i="1"/>
  <c r="M13" i="1"/>
  <c r="I13" i="1"/>
  <c r="I11" i="1" s="1"/>
  <c r="H13" i="1"/>
  <c r="G13" i="1"/>
  <c r="F13" i="1"/>
  <c r="E13" i="1"/>
  <c r="E11" i="1" s="1"/>
  <c r="R12" i="1"/>
  <c r="M12" i="1"/>
  <c r="I12" i="1"/>
  <c r="G12" i="1"/>
  <c r="H12" i="1" s="1"/>
  <c r="F12" i="1"/>
  <c r="E12" i="1"/>
  <c r="X11" i="1"/>
  <c r="W11" i="1"/>
  <c r="V11" i="1"/>
  <c r="U11" i="1"/>
  <c r="T11" i="1"/>
  <c r="S11" i="1"/>
  <c r="Q11" i="1"/>
  <c r="R11" i="1" s="1"/>
  <c r="P11" i="1"/>
  <c r="O11" i="1"/>
  <c r="N11" i="1"/>
  <c r="L11" i="1"/>
  <c r="M11" i="1" s="1"/>
  <c r="K11" i="1"/>
  <c r="G11" i="1"/>
  <c r="I10" i="1"/>
  <c r="G10" i="1"/>
  <c r="F10" i="1"/>
  <c r="E10" i="1"/>
  <c r="R9" i="1"/>
  <c r="M9" i="1"/>
  <c r="I9" i="1"/>
  <c r="G9" i="1"/>
  <c r="H9" i="1" s="1"/>
  <c r="F9" i="1"/>
  <c r="E9" i="1"/>
  <c r="I8" i="1"/>
  <c r="G8" i="1"/>
  <c r="G6" i="1" s="1"/>
  <c r="F8" i="1"/>
  <c r="F6" i="1" s="1"/>
  <c r="E8" i="1"/>
  <c r="W7" i="1"/>
  <c r="M7" i="1"/>
  <c r="I7" i="1"/>
  <c r="G7" i="1"/>
  <c r="F7" i="1"/>
  <c r="H7" i="1" s="1"/>
  <c r="E7" i="1"/>
  <c r="X6" i="1"/>
  <c r="X33" i="1" s="1"/>
  <c r="V6" i="1"/>
  <c r="W6" i="1" s="1"/>
  <c r="U6" i="1"/>
  <c r="U33" i="1" s="1"/>
  <c r="T6" i="1"/>
  <c r="T33" i="1" s="1"/>
  <c r="S6" i="1"/>
  <c r="S33" i="1" s="1"/>
  <c r="Q6" i="1"/>
  <c r="R6" i="1" s="1"/>
  <c r="P6" i="1"/>
  <c r="P33" i="1" s="1"/>
  <c r="O6" i="1"/>
  <c r="O33" i="1" s="1"/>
  <c r="N6" i="1"/>
  <c r="N33" i="1" s="1"/>
  <c r="M6" i="1"/>
  <c r="L6" i="1"/>
  <c r="L33" i="1" s="1"/>
  <c r="K6" i="1"/>
  <c r="K33" i="1" s="1"/>
  <c r="J6" i="1"/>
  <c r="J33" i="1" s="1"/>
  <c r="I6" i="1"/>
  <c r="I33" i="1" s="1"/>
  <c r="E6" i="1"/>
  <c r="F33" i="1" l="1"/>
  <c r="G33" i="1"/>
  <c r="H6" i="1"/>
  <c r="H11" i="1"/>
  <c r="E33" i="1"/>
  <c r="Q33" i="1"/>
  <c r="V33" i="1"/>
  <c r="W33" i="1" s="1"/>
  <c r="R36" i="5" l="1"/>
  <c r="R35" i="5"/>
  <c r="R34" i="5"/>
  <c r="M29" i="5"/>
  <c r="I29" i="5"/>
  <c r="G29" i="5"/>
  <c r="H29" i="5" s="1"/>
  <c r="F29" i="5"/>
  <c r="E29" i="5"/>
  <c r="M28" i="5"/>
  <c r="I28" i="5"/>
  <c r="G28" i="5"/>
  <c r="H28" i="5" s="1"/>
  <c r="F28" i="5"/>
  <c r="E28" i="5"/>
  <c r="M26" i="5"/>
  <c r="I26" i="5"/>
  <c r="H26" i="5"/>
  <c r="G26" i="5"/>
  <c r="F26" i="5"/>
  <c r="E26" i="5"/>
  <c r="R21" i="5"/>
  <c r="M21" i="5"/>
  <c r="I21" i="5"/>
  <c r="G21" i="5"/>
  <c r="H21" i="5" s="1"/>
  <c r="F21" i="5"/>
  <c r="E21" i="5"/>
  <c r="R20" i="5"/>
  <c r="M20" i="5"/>
  <c r="I20" i="5"/>
  <c r="G20" i="5"/>
  <c r="H20" i="5" s="1"/>
  <c r="F20" i="5"/>
  <c r="E20" i="5"/>
  <c r="R19" i="5"/>
  <c r="M19" i="5"/>
  <c r="I19" i="5"/>
  <c r="H19" i="5"/>
  <c r="G19" i="5"/>
  <c r="F19" i="5"/>
  <c r="E19" i="5"/>
  <c r="M18" i="5"/>
  <c r="I18" i="5"/>
  <c r="G18" i="5"/>
  <c r="H18" i="5" s="1"/>
  <c r="F18" i="5"/>
  <c r="E18" i="5"/>
  <c r="M17" i="5"/>
  <c r="I17" i="5"/>
  <c r="H17" i="5"/>
  <c r="G17" i="5"/>
  <c r="F17" i="5"/>
  <c r="E17" i="5"/>
  <c r="M16" i="5"/>
  <c r="I16" i="5"/>
  <c r="G16" i="5"/>
  <c r="H16" i="5" s="1"/>
  <c r="F16" i="5"/>
  <c r="E16" i="5"/>
  <c r="M15" i="5"/>
  <c r="I15" i="5"/>
  <c r="H15" i="5"/>
  <c r="G15" i="5"/>
  <c r="F15" i="5"/>
  <c r="E15" i="5"/>
  <c r="M13" i="5"/>
  <c r="I13" i="5"/>
  <c r="G13" i="5"/>
  <c r="H13" i="5" s="1"/>
  <c r="F13" i="5"/>
  <c r="E13" i="5"/>
  <c r="R12" i="5"/>
  <c r="M12" i="5"/>
  <c r="I12" i="5"/>
  <c r="G12" i="5"/>
  <c r="H12" i="5" s="1"/>
  <c r="F12" i="5"/>
  <c r="F11" i="5" s="1"/>
  <c r="E12" i="5"/>
  <c r="S11" i="5"/>
  <c r="Q11" i="5"/>
  <c r="R11" i="5" s="1"/>
  <c r="P11" i="5"/>
  <c r="O11" i="5"/>
  <c r="N11" i="5"/>
  <c r="L11" i="5"/>
  <c r="M11" i="5" s="1"/>
  <c r="K11" i="5"/>
  <c r="J11" i="5"/>
  <c r="I11" i="5"/>
  <c r="E11" i="5"/>
  <c r="R9" i="5"/>
  <c r="M9" i="5"/>
  <c r="I9" i="5"/>
  <c r="G9" i="5"/>
  <c r="H9" i="5" s="1"/>
  <c r="F9" i="5"/>
  <c r="E9" i="5"/>
  <c r="M7" i="5"/>
  <c r="I7" i="5"/>
  <c r="I6" i="5" s="1"/>
  <c r="I33" i="5" s="1"/>
  <c r="G7" i="5"/>
  <c r="H7" i="5" s="1"/>
  <c r="F7" i="5"/>
  <c r="F6" i="5" s="1"/>
  <c r="F33" i="5" s="1"/>
  <c r="E7" i="5"/>
  <c r="E6" i="5" s="1"/>
  <c r="E33" i="5" s="1"/>
  <c r="S6" i="5"/>
  <c r="S33" i="5" s="1"/>
  <c r="Q6" i="5"/>
  <c r="Q33" i="5" s="1"/>
  <c r="P6" i="5"/>
  <c r="P33" i="5" s="1"/>
  <c r="O6" i="5"/>
  <c r="O33" i="5" s="1"/>
  <c r="N6" i="5"/>
  <c r="N33" i="5" s="1"/>
  <c r="L6" i="5"/>
  <c r="L33" i="5" s="1"/>
  <c r="K6" i="5"/>
  <c r="K33" i="5" s="1"/>
  <c r="J6" i="5"/>
  <c r="J33" i="5" s="1"/>
  <c r="G6" i="5" l="1"/>
  <c r="G11" i="5"/>
  <c r="H11" i="5" s="1"/>
  <c r="M6" i="5"/>
  <c r="R6" i="5"/>
  <c r="G33" i="5" l="1"/>
  <c r="H6" i="5"/>
  <c r="R36" i="9" l="1"/>
  <c r="H36" i="9"/>
  <c r="R35" i="9"/>
  <c r="H35" i="9"/>
  <c r="R34" i="9"/>
  <c r="M34" i="9"/>
  <c r="H34" i="9"/>
  <c r="I32" i="9"/>
  <c r="G32" i="9"/>
  <c r="F32" i="9"/>
  <c r="E32" i="9"/>
  <c r="I31" i="9"/>
  <c r="G31" i="9"/>
  <c r="F31" i="9"/>
  <c r="E31" i="9"/>
  <c r="I30" i="9"/>
  <c r="G30" i="9"/>
  <c r="F30" i="9"/>
  <c r="E30" i="9"/>
  <c r="M29" i="9"/>
  <c r="I29" i="9"/>
  <c r="G29" i="9"/>
  <c r="H29" i="9" s="1"/>
  <c r="F29" i="9"/>
  <c r="E29" i="9"/>
  <c r="M28" i="9"/>
  <c r="I28" i="9"/>
  <c r="G28" i="9"/>
  <c r="H28" i="9" s="1"/>
  <c r="F28" i="9"/>
  <c r="E28" i="9"/>
  <c r="I27" i="9"/>
  <c r="G27" i="9"/>
  <c r="F27" i="9"/>
  <c r="E27" i="9"/>
  <c r="M26" i="9"/>
  <c r="I26" i="9"/>
  <c r="G26" i="9"/>
  <c r="H26" i="9" s="1"/>
  <c r="F26" i="9"/>
  <c r="E26" i="9"/>
  <c r="I25" i="9"/>
  <c r="G25" i="9"/>
  <c r="F25" i="9"/>
  <c r="E25" i="9"/>
  <c r="I24" i="9"/>
  <c r="G24" i="9"/>
  <c r="F24" i="9"/>
  <c r="E24" i="9"/>
  <c r="I23" i="9"/>
  <c r="G23" i="9"/>
  <c r="F23" i="9"/>
  <c r="E23" i="9"/>
  <c r="I22" i="9"/>
  <c r="G22" i="9"/>
  <c r="F22" i="9"/>
  <c r="E22" i="9"/>
  <c r="R21" i="9"/>
  <c r="M21" i="9"/>
  <c r="I21" i="9"/>
  <c r="G21" i="9"/>
  <c r="H21" i="9" s="1"/>
  <c r="F21" i="9"/>
  <c r="E21" i="9"/>
  <c r="R20" i="9"/>
  <c r="M20" i="9"/>
  <c r="I20" i="9"/>
  <c r="G20" i="9"/>
  <c r="H20" i="9" s="1"/>
  <c r="F20" i="9"/>
  <c r="E20" i="9"/>
  <c r="R19" i="9"/>
  <c r="M19" i="9"/>
  <c r="I19" i="9"/>
  <c r="H19" i="9"/>
  <c r="G19" i="9"/>
  <c r="F19" i="9"/>
  <c r="E19" i="9"/>
  <c r="R18" i="9"/>
  <c r="M18" i="9"/>
  <c r="I18" i="9"/>
  <c r="G18" i="9"/>
  <c r="H18" i="9" s="1"/>
  <c r="F18" i="9"/>
  <c r="E18" i="9"/>
  <c r="I17" i="9"/>
  <c r="G17" i="9"/>
  <c r="F17" i="9"/>
  <c r="E17" i="9"/>
  <c r="M16" i="9"/>
  <c r="I16" i="9"/>
  <c r="G16" i="9"/>
  <c r="H16" i="9" s="1"/>
  <c r="F16" i="9"/>
  <c r="E16" i="9"/>
  <c r="M15" i="9"/>
  <c r="I15" i="9"/>
  <c r="G15" i="9"/>
  <c r="H15" i="9" s="1"/>
  <c r="F15" i="9"/>
  <c r="E15" i="9"/>
  <c r="I14" i="9"/>
  <c r="G14" i="9"/>
  <c r="F14" i="9"/>
  <c r="E14" i="9"/>
  <c r="M13" i="9"/>
  <c r="I13" i="9"/>
  <c r="G13" i="9"/>
  <c r="H13" i="9" s="1"/>
  <c r="F13" i="9"/>
  <c r="F11" i="9" s="1"/>
  <c r="E13" i="9"/>
  <c r="R12" i="9"/>
  <c r="M12" i="9"/>
  <c r="I12" i="9"/>
  <c r="I11" i="9" s="1"/>
  <c r="H12" i="9"/>
  <c r="G12" i="9"/>
  <c r="F12" i="9"/>
  <c r="E12" i="9"/>
  <c r="E11" i="9" s="1"/>
  <c r="X11" i="9"/>
  <c r="V11" i="9"/>
  <c r="U11" i="9"/>
  <c r="T11" i="9"/>
  <c r="S11" i="9"/>
  <c r="Q11" i="9"/>
  <c r="R11" i="9" s="1"/>
  <c r="P11" i="9"/>
  <c r="O11" i="9"/>
  <c r="N11" i="9"/>
  <c r="L11" i="9"/>
  <c r="M11" i="9" s="1"/>
  <c r="K11" i="9"/>
  <c r="J11" i="9"/>
  <c r="G11" i="9"/>
  <c r="H11" i="9" s="1"/>
  <c r="I10" i="9"/>
  <c r="G10" i="9"/>
  <c r="F10" i="9"/>
  <c r="E10" i="9"/>
  <c r="R9" i="9"/>
  <c r="M9" i="9"/>
  <c r="I9" i="9"/>
  <c r="G9" i="9"/>
  <c r="H9" i="9" s="1"/>
  <c r="F9" i="9"/>
  <c r="E9" i="9"/>
  <c r="M8" i="9"/>
  <c r="I8" i="9"/>
  <c r="H8" i="9"/>
  <c r="G8" i="9"/>
  <c r="F8" i="9"/>
  <c r="E8" i="9"/>
  <c r="M7" i="9"/>
  <c r="I7" i="9"/>
  <c r="G7" i="9"/>
  <c r="H7" i="9" s="1"/>
  <c r="F7" i="9"/>
  <c r="F6" i="9" s="1"/>
  <c r="F33" i="9" s="1"/>
  <c r="E7" i="9"/>
  <c r="X6" i="9"/>
  <c r="X33" i="9" s="1"/>
  <c r="V6" i="9"/>
  <c r="V33" i="9" s="1"/>
  <c r="U6" i="9"/>
  <c r="U33" i="9" s="1"/>
  <c r="T6" i="9"/>
  <c r="T33" i="9" s="1"/>
  <c r="S6" i="9"/>
  <c r="S33" i="9" s="1"/>
  <c r="Q6" i="9"/>
  <c r="Q33" i="9" s="1"/>
  <c r="P6" i="9"/>
  <c r="P33" i="9" s="1"/>
  <c r="O6" i="9"/>
  <c r="O33" i="9" s="1"/>
  <c r="N6" i="9"/>
  <c r="N33" i="9" s="1"/>
  <c r="M6" i="9"/>
  <c r="L6" i="9"/>
  <c r="L33" i="9" s="1"/>
  <c r="K6" i="9"/>
  <c r="K33" i="9" s="1"/>
  <c r="J6" i="9"/>
  <c r="J33" i="9" s="1"/>
  <c r="I6" i="9"/>
  <c r="I33" i="9" s="1"/>
  <c r="E6" i="9"/>
  <c r="E33" i="9" s="1"/>
  <c r="R6" i="9" l="1"/>
  <c r="G6" i="9"/>
  <c r="G33" i="9" l="1"/>
  <c r="H6" i="9"/>
  <c r="R36" i="7" l="1"/>
  <c r="H36" i="7"/>
  <c r="R35" i="7"/>
  <c r="H35" i="7"/>
  <c r="R34" i="7"/>
  <c r="H34" i="7"/>
  <c r="M29" i="7"/>
  <c r="I29" i="7"/>
  <c r="G29" i="7"/>
  <c r="H29" i="7" s="1"/>
  <c r="F29" i="7"/>
  <c r="E29" i="7"/>
  <c r="W28" i="7"/>
  <c r="M28" i="7"/>
  <c r="I28" i="7"/>
  <c r="G28" i="7"/>
  <c r="H28" i="7" s="1"/>
  <c r="F28" i="7"/>
  <c r="E28" i="7"/>
  <c r="M26" i="7"/>
  <c r="I26" i="7"/>
  <c r="H26" i="7"/>
  <c r="G26" i="7"/>
  <c r="F26" i="7"/>
  <c r="E26" i="7"/>
  <c r="R21" i="7"/>
  <c r="M21" i="7"/>
  <c r="I21" i="7"/>
  <c r="H21" i="7"/>
  <c r="G21" i="7"/>
  <c r="F21" i="7"/>
  <c r="E21" i="7"/>
  <c r="R20" i="7"/>
  <c r="I20" i="7"/>
  <c r="G20" i="7"/>
  <c r="H20" i="7" s="1"/>
  <c r="F20" i="7"/>
  <c r="E20" i="7"/>
  <c r="R19" i="7"/>
  <c r="I19" i="7"/>
  <c r="H19" i="7"/>
  <c r="G19" i="7"/>
  <c r="F19" i="7"/>
  <c r="E19" i="7"/>
  <c r="M18" i="7"/>
  <c r="I18" i="7"/>
  <c r="G18" i="7"/>
  <c r="H18" i="7" s="1"/>
  <c r="F18" i="7"/>
  <c r="E18" i="7"/>
  <c r="M17" i="7"/>
  <c r="I17" i="7"/>
  <c r="G17" i="7"/>
  <c r="H17" i="7" s="1"/>
  <c r="F17" i="7"/>
  <c r="E17" i="7"/>
  <c r="M16" i="7"/>
  <c r="I16" i="7"/>
  <c r="G16" i="7"/>
  <c r="H16" i="7" s="1"/>
  <c r="F16" i="7"/>
  <c r="E16" i="7"/>
  <c r="M15" i="7"/>
  <c r="I15" i="7"/>
  <c r="G15" i="7"/>
  <c r="H15" i="7" s="1"/>
  <c r="F15" i="7"/>
  <c r="E15" i="7"/>
  <c r="M13" i="7"/>
  <c r="I13" i="7"/>
  <c r="I11" i="7" s="1"/>
  <c r="G13" i="7"/>
  <c r="H13" i="7" s="1"/>
  <c r="F13" i="7"/>
  <c r="F11" i="7" s="1"/>
  <c r="E13" i="7"/>
  <c r="E11" i="7" s="1"/>
  <c r="M12" i="7"/>
  <c r="I12" i="7"/>
  <c r="G12" i="7"/>
  <c r="H12" i="7" s="1"/>
  <c r="F12" i="7"/>
  <c r="E12" i="7"/>
  <c r="X11" i="7"/>
  <c r="W11" i="7"/>
  <c r="V11" i="7"/>
  <c r="U11" i="7"/>
  <c r="T11" i="7"/>
  <c r="S11" i="7"/>
  <c r="Q11" i="7"/>
  <c r="R11" i="7" s="1"/>
  <c r="P11" i="7"/>
  <c r="O11" i="7"/>
  <c r="N11" i="7"/>
  <c r="L11" i="7"/>
  <c r="M11" i="7" s="1"/>
  <c r="K11" i="7"/>
  <c r="J11" i="7"/>
  <c r="G11" i="7"/>
  <c r="H11" i="7" s="1"/>
  <c r="R9" i="7"/>
  <c r="M9" i="7"/>
  <c r="I9" i="7"/>
  <c r="G9" i="7"/>
  <c r="H9" i="7" s="1"/>
  <c r="F9" i="7"/>
  <c r="F6" i="7" s="1"/>
  <c r="F33" i="7" s="1"/>
  <c r="E9" i="7"/>
  <c r="M8" i="7"/>
  <c r="I8" i="7"/>
  <c r="I6" i="7" s="1"/>
  <c r="H8" i="7"/>
  <c r="G8" i="7"/>
  <c r="F8" i="7"/>
  <c r="E8" i="7"/>
  <c r="E6" i="7" s="1"/>
  <c r="W7" i="7"/>
  <c r="M7" i="7"/>
  <c r="I7" i="7"/>
  <c r="G7" i="7"/>
  <c r="H7" i="7" s="1"/>
  <c r="F7" i="7"/>
  <c r="E7" i="7"/>
  <c r="X6" i="7"/>
  <c r="X33" i="7" s="1"/>
  <c r="W6" i="7"/>
  <c r="V6" i="7"/>
  <c r="V33" i="7" s="1"/>
  <c r="U6" i="7"/>
  <c r="U33" i="7" s="1"/>
  <c r="T6" i="7"/>
  <c r="T33" i="7" s="1"/>
  <c r="S6" i="7"/>
  <c r="S33" i="7" s="1"/>
  <c r="Q6" i="7"/>
  <c r="Q33" i="7" s="1"/>
  <c r="P6" i="7"/>
  <c r="P33" i="7" s="1"/>
  <c r="O6" i="7"/>
  <c r="O33" i="7" s="1"/>
  <c r="N6" i="7"/>
  <c r="N33" i="7" s="1"/>
  <c r="L6" i="7"/>
  <c r="L33" i="7" s="1"/>
  <c r="K6" i="7"/>
  <c r="K33" i="7" s="1"/>
  <c r="J6" i="7"/>
  <c r="J33" i="7" s="1"/>
  <c r="G6" i="7"/>
  <c r="G33" i="7" s="1"/>
  <c r="E33" i="7" l="1"/>
  <c r="I33" i="7"/>
  <c r="W33" i="7"/>
  <c r="R6" i="7"/>
  <c r="H6" i="7"/>
  <c r="M6" i="7"/>
  <c r="W36" i="31" l="1"/>
  <c r="R36" i="31"/>
  <c r="M36" i="31"/>
  <c r="H36" i="31"/>
  <c r="W35" i="31"/>
  <c r="R35" i="31"/>
  <c r="M35" i="31"/>
  <c r="H35" i="31"/>
  <c r="W34" i="31"/>
  <c r="R34" i="31"/>
  <c r="M34" i="31"/>
  <c r="H34" i="31"/>
  <c r="W32" i="31"/>
  <c r="R32" i="31"/>
  <c r="M32" i="31"/>
  <c r="I32" i="31"/>
  <c r="G32" i="31"/>
  <c r="H32" i="31" s="1"/>
  <c r="F32" i="31"/>
  <c r="E32" i="31"/>
  <c r="W31" i="31"/>
  <c r="R31" i="31"/>
  <c r="M31" i="31"/>
  <c r="I31" i="31"/>
  <c r="G31" i="31"/>
  <c r="H31" i="31" s="1"/>
  <c r="F31" i="31"/>
  <c r="E31" i="31"/>
  <c r="W30" i="31"/>
  <c r="R30" i="31"/>
  <c r="M30" i="31"/>
  <c r="I30" i="31"/>
  <c r="G30" i="31"/>
  <c r="H30" i="31" s="1"/>
  <c r="F30" i="31"/>
  <c r="E30" i="31"/>
  <c r="W29" i="31"/>
  <c r="R29" i="31"/>
  <c r="M29" i="31"/>
  <c r="I29" i="31"/>
  <c r="G29" i="31"/>
  <c r="H29" i="31" s="1"/>
  <c r="F29" i="31"/>
  <c r="E29" i="31"/>
  <c r="W28" i="31"/>
  <c r="R28" i="31"/>
  <c r="M28" i="31"/>
  <c r="I28" i="31"/>
  <c r="G28" i="31"/>
  <c r="H28" i="31" s="1"/>
  <c r="F28" i="31"/>
  <c r="E28" i="31"/>
  <c r="W27" i="31"/>
  <c r="R27" i="31"/>
  <c r="M27" i="31"/>
  <c r="I27" i="31"/>
  <c r="G27" i="31"/>
  <c r="H27" i="31" s="1"/>
  <c r="F27" i="31"/>
  <c r="E27" i="31"/>
  <c r="W26" i="31"/>
  <c r="R26" i="31"/>
  <c r="M26" i="31"/>
  <c r="I26" i="31"/>
  <c r="G26" i="31"/>
  <c r="H26" i="31" s="1"/>
  <c r="F26" i="31"/>
  <c r="E26" i="31"/>
  <c r="W25" i="31"/>
  <c r="R25" i="31"/>
  <c r="M25" i="31"/>
  <c r="I25" i="31"/>
  <c r="G25" i="31"/>
  <c r="H25" i="31" s="1"/>
  <c r="F25" i="31"/>
  <c r="E25" i="31"/>
  <c r="W24" i="31"/>
  <c r="R24" i="31"/>
  <c r="M24" i="31"/>
  <c r="I24" i="31"/>
  <c r="G24" i="31"/>
  <c r="H24" i="31" s="1"/>
  <c r="F24" i="31"/>
  <c r="E24" i="31"/>
  <c r="W23" i="31"/>
  <c r="R23" i="31"/>
  <c r="M23" i="31"/>
  <c r="I23" i="31"/>
  <c r="G23" i="31"/>
  <c r="H23" i="31" s="1"/>
  <c r="F23" i="31"/>
  <c r="E23" i="31"/>
  <c r="W22" i="31"/>
  <c r="R22" i="31"/>
  <c r="M22" i="31"/>
  <c r="I22" i="31"/>
  <c r="G22" i="31"/>
  <c r="H22" i="31" s="1"/>
  <c r="F22" i="31"/>
  <c r="E22" i="31"/>
  <c r="W21" i="31"/>
  <c r="R21" i="31"/>
  <c r="M21" i="31"/>
  <c r="I21" i="31"/>
  <c r="G21" i="31"/>
  <c r="H21" i="31" s="1"/>
  <c r="F21" i="31"/>
  <c r="E21" i="31"/>
  <c r="W20" i="31"/>
  <c r="R20" i="31"/>
  <c r="M20" i="31"/>
  <c r="I20" i="31"/>
  <c r="G20" i="31"/>
  <c r="H20" i="31" s="1"/>
  <c r="F20" i="31"/>
  <c r="E20" i="31"/>
  <c r="W19" i="31"/>
  <c r="R19" i="31"/>
  <c r="M19" i="31"/>
  <c r="I19" i="31"/>
  <c r="G19" i="31"/>
  <c r="H19" i="31" s="1"/>
  <c r="F19" i="31"/>
  <c r="E19" i="31"/>
  <c r="W18" i="31"/>
  <c r="R18" i="31"/>
  <c r="M18" i="31"/>
  <c r="I18" i="31"/>
  <c r="G18" i="31"/>
  <c r="H18" i="31" s="1"/>
  <c r="F18" i="31"/>
  <c r="E18" i="31"/>
  <c r="W17" i="31"/>
  <c r="R17" i="31"/>
  <c r="M17" i="31"/>
  <c r="I17" i="31"/>
  <c r="G17" i="31"/>
  <c r="H17" i="31" s="1"/>
  <c r="F17" i="31"/>
  <c r="E17" i="31"/>
  <c r="W16" i="31"/>
  <c r="R16" i="31"/>
  <c r="M16" i="31"/>
  <c r="I16" i="31"/>
  <c r="G16" i="31"/>
  <c r="H16" i="31" s="1"/>
  <c r="F16" i="31"/>
  <c r="E16" i="31"/>
  <c r="W15" i="31"/>
  <c r="R15" i="31"/>
  <c r="M15" i="31"/>
  <c r="I15" i="31"/>
  <c r="G15" i="31"/>
  <c r="H15" i="31" s="1"/>
  <c r="F15" i="31"/>
  <c r="E15" i="31"/>
  <c r="W14" i="31"/>
  <c r="R14" i="31"/>
  <c r="M14" i="31"/>
  <c r="I14" i="31"/>
  <c r="G14" i="31"/>
  <c r="H14" i="31" s="1"/>
  <c r="F14" i="31"/>
  <c r="E14" i="31"/>
  <c r="W13" i="31"/>
  <c r="R13" i="31"/>
  <c r="M13" i="31"/>
  <c r="I13" i="31"/>
  <c r="G13" i="31"/>
  <c r="H13" i="31" s="1"/>
  <c r="F13" i="31"/>
  <c r="E13" i="31"/>
  <c r="W12" i="31"/>
  <c r="R12" i="31"/>
  <c r="M12" i="31"/>
  <c r="I12" i="31"/>
  <c r="G12" i="31"/>
  <c r="H12" i="31" s="1"/>
  <c r="F12" i="31"/>
  <c r="E12" i="31"/>
  <c r="X11" i="31"/>
  <c r="V11" i="31"/>
  <c r="W11" i="31" s="1"/>
  <c r="U11" i="31"/>
  <c r="T11" i="31"/>
  <c r="S11" i="31"/>
  <c r="R11" i="31"/>
  <c r="Q11" i="31"/>
  <c r="P11" i="31"/>
  <c r="O11" i="31"/>
  <c r="N11" i="31"/>
  <c r="L11" i="31"/>
  <c r="K11" i="31"/>
  <c r="M11" i="31" s="1"/>
  <c r="J11" i="31"/>
  <c r="I11" i="31"/>
  <c r="G11" i="31"/>
  <c r="H11" i="31" s="1"/>
  <c r="F11" i="31"/>
  <c r="E11" i="31"/>
  <c r="W10" i="31"/>
  <c r="R10" i="31"/>
  <c r="M10" i="31"/>
  <c r="I10" i="31"/>
  <c r="G10" i="31"/>
  <c r="H10" i="31" s="1"/>
  <c r="F10" i="31"/>
  <c r="E10" i="31"/>
  <c r="W9" i="31"/>
  <c r="R9" i="31"/>
  <c r="M9" i="31"/>
  <c r="I9" i="31"/>
  <c r="G9" i="31"/>
  <c r="H9" i="31" s="1"/>
  <c r="F9" i="31"/>
  <c r="E9" i="31"/>
  <c r="W8" i="31"/>
  <c r="R8" i="31"/>
  <c r="M8" i="31"/>
  <c r="I8" i="31"/>
  <c r="G8" i="31"/>
  <c r="H8" i="31" s="1"/>
  <c r="F8" i="31"/>
  <c r="E8" i="31"/>
  <c r="W7" i="31"/>
  <c r="R7" i="31"/>
  <c r="M7" i="31"/>
  <c r="I7" i="31"/>
  <c r="G7" i="31"/>
  <c r="H7" i="31" s="1"/>
  <c r="F7" i="31"/>
  <c r="E7" i="31"/>
  <c r="X6" i="31"/>
  <c r="X33" i="31" s="1"/>
  <c r="V6" i="31"/>
  <c r="W6" i="31" s="1"/>
  <c r="U6" i="31"/>
  <c r="U33" i="31" s="1"/>
  <c r="T6" i="31"/>
  <c r="T33" i="31" s="1"/>
  <c r="S6" i="31"/>
  <c r="S33" i="31" s="1"/>
  <c r="R6" i="31"/>
  <c r="Q6" i="31"/>
  <c r="Q33" i="31" s="1"/>
  <c r="P6" i="31"/>
  <c r="P33" i="31" s="1"/>
  <c r="O6" i="31"/>
  <c r="O33" i="31" s="1"/>
  <c r="N6" i="31"/>
  <c r="N33" i="31" s="1"/>
  <c r="L6" i="31"/>
  <c r="L33" i="31" s="1"/>
  <c r="K6" i="31"/>
  <c r="K33" i="31" s="1"/>
  <c r="J6" i="31"/>
  <c r="J33" i="31" s="1"/>
  <c r="I6" i="31"/>
  <c r="I33" i="31" s="1"/>
  <c r="G6" i="31"/>
  <c r="H6" i="31" s="1"/>
  <c r="F6" i="31"/>
  <c r="F33" i="31" s="1"/>
  <c r="E6" i="31"/>
  <c r="E33" i="31" s="1"/>
  <c r="M33" i="31" l="1"/>
  <c r="R33" i="31"/>
  <c r="M6" i="31"/>
  <c r="V33" i="31"/>
  <c r="W33" i="31" s="1"/>
  <c r="G33" i="31"/>
  <c r="H33" i="31" s="1"/>
  <c r="W36" i="35" l="1"/>
  <c r="W35" i="35"/>
  <c r="W34" i="35"/>
  <c r="W32" i="35"/>
  <c r="M32" i="35"/>
  <c r="I32" i="35"/>
  <c r="G32" i="35"/>
  <c r="H32" i="35" s="1"/>
  <c r="F32" i="35"/>
  <c r="E32" i="35"/>
  <c r="W31" i="35"/>
  <c r="M31" i="35"/>
  <c r="I31" i="35"/>
  <c r="H31" i="35"/>
  <c r="G31" i="35"/>
  <c r="F31" i="35"/>
  <c r="E31" i="35"/>
  <c r="W30" i="35"/>
  <c r="M30" i="35"/>
  <c r="I30" i="35"/>
  <c r="G30" i="35"/>
  <c r="H30" i="35" s="1"/>
  <c r="F30" i="35"/>
  <c r="E30" i="35"/>
  <c r="W29" i="35"/>
  <c r="M29" i="35"/>
  <c r="I29" i="35"/>
  <c r="G29" i="35"/>
  <c r="H29" i="35" s="1"/>
  <c r="F29" i="35"/>
  <c r="E29" i="35"/>
  <c r="W28" i="35"/>
  <c r="M28" i="35"/>
  <c r="I28" i="35"/>
  <c r="G28" i="35"/>
  <c r="H28" i="35" s="1"/>
  <c r="F28" i="35"/>
  <c r="E28" i="35"/>
  <c r="W27" i="35"/>
  <c r="M27" i="35"/>
  <c r="I27" i="35"/>
  <c r="H27" i="35"/>
  <c r="G27" i="35"/>
  <c r="F27" i="35"/>
  <c r="E27" i="35"/>
  <c r="W26" i="35"/>
  <c r="M26" i="35"/>
  <c r="I26" i="35"/>
  <c r="G26" i="35"/>
  <c r="H26" i="35" s="1"/>
  <c r="F26" i="35"/>
  <c r="E26" i="35"/>
  <c r="W25" i="35"/>
  <c r="M25" i="35"/>
  <c r="I25" i="35"/>
  <c r="G25" i="35"/>
  <c r="H25" i="35" s="1"/>
  <c r="F25" i="35"/>
  <c r="E25" i="35"/>
  <c r="W24" i="35"/>
  <c r="M24" i="35"/>
  <c r="I24" i="35"/>
  <c r="G24" i="35"/>
  <c r="H24" i="35" s="1"/>
  <c r="F24" i="35"/>
  <c r="E24" i="35"/>
  <c r="W23" i="35"/>
  <c r="M23" i="35"/>
  <c r="I23" i="35"/>
  <c r="H23" i="35"/>
  <c r="G23" i="35"/>
  <c r="F23" i="35"/>
  <c r="E23" i="35"/>
  <c r="W22" i="35"/>
  <c r="M22" i="35"/>
  <c r="I22" i="35"/>
  <c r="G22" i="35"/>
  <c r="H22" i="35" s="1"/>
  <c r="F22" i="35"/>
  <c r="E22" i="35"/>
  <c r="W21" i="35"/>
  <c r="M21" i="35"/>
  <c r="I21" i="35"/>
  <c r="G21" i="35"/>
  <c r="H21" i="35" s="1"/>
  <c r="F21" i="35"/>
  <c r="E21" i="35"/>
  <c r="W20" i="35"/>
  <c r="M20" i="35"/>
  <c r="I20" i="35"/>
  <c r="G20" i="35"/>
  <c r="H20" i="35" s="1"/>
  <c r="F20" i="35"/>
  <c r="E20" i="35"/>
  <c r="W19" i="35"/>
  <c r="M19" i="35"/>
  <c r="I19" i="35"/>
  <c r="H19" i="35"/>
  <c r="G19" i="35"/>
  <c r="F19" i="35"/>
  <c r="E19" i="35"/>
  <c r="W18" i="35"/>
  <c r="M18" i="35"/>
  <c r="I18" i="35"/>
  <c r="G18" i="35"/>
  <c r="H18" i="35" s="1"/>
  <c r="F18" i="35"/>
  <c r="E18" i="35"/>
  <c r="W17" i="35"/>
  <c r="M17" i="35"/>
  <c r="I17" i="35"/>
  <c r="G17" i="35"/>
  <c r="H17" i="35" s="1"/>
  <c r="F17" i="35"/>
  <c r="E17" i="35"/>
  <c r="W16" i="35"/>
  <c r="M16" i="35"/>
  <c r="I16" i="35"/>
  <c r="G16" i="35"/>
  <c r="H16" i="35" s="1"/>
  <c r="F16" i="35"/>
  <c r="E16" i="35"/>
  <c r="W15" i="35"/>
  <c r="M15" i="35"/>
  <c r="I15" i="35"/>
  <c r="H15" i="35"/>
  <c r="G15" i="35"/>
  <c r="F15" i="35"/>
  <c r="E15" i="35"/>
  <c r="W14" i="35"/>
  <c r="M14" i="35"/>
  <c r="I14" i="35"/>
  <c r="G14" i="35"/>
  <c r="H14" i="35" s="1"/>
  <c r="F14" i="35"/>
  <c r="E14" i="35"/>
  <c r="W13" i="35"/>
  <c r="M13" i="35"/>
  <c r="I13" i="35"/>
  <c r="G13" i="35"/>
  <c r="H13" i="35" s="1"/>
  <c r="F13" i="35"/>
  <c r="E13" i="35"/>
  <c r="W12" i="35"/>
  <c r="M12" i="35"/>
  <c r="I12" i="35"/>
  <c r="I11" i="35" s="1"/>
  <c r="G12" i="35"/>
  <c r="F12" i="35"/>
  <c r="F11" i="35" s="1"/>
  <c r="E12" i="35"/>
  <c r="E11" i="35" s="1"/>
  <c r="X11" i="35"/>
  <c r="V11" i="35"/>
  <c r="W11" i="35" s="1"/>
  <c r="U11" i="35"/>
  <c r="T11" i="35"/>
  <c r="S11" i="35"/>
  <c r="Q11" i="35"/>
  <c r="P11" i="35"/>
  <c r="O11" i="35"/>
  <c r="N11" i="35"/>
  <c r="L11" i="35"/>
  <c r="M11" i="35" s="1"/>
  <c r="K11" i="35"/>
  <c r="J11" i="35"/>
  <c r="W10" i="35"/>
  <c r="I10" i="35"/>
  <c r="G10" i="35"/>
  <c r="F10" i="35"/>
  <c r="E10" i="35"/>
  <c r="W9" i="35"/>
  <c r="M9" i="35"/>
  <c r="I9" i="35"/>
  <c r="H9" i="35"/>
  <c r="G9" i="35"/>
  <c r="F9" i="35"/>
  <c r="E9" i="35"/>
  <c r="W8" i="35"/>
  <c r="M8" i="35"/>
  <c r="I8" i="35"/>
  <c r="G8" i="35"/>
  <c r="H8" i="35" s="1"/>
  <c r="F8" i="35"/>
  <c r="E8" i="35"/>
  <c r="W7" i="35"/>
  <c r="M7" i="35"/>
  <c r="I7" i="35"/>
  <c r="G7" i="35"/>
  <c r="H7" i="35" s="1"/>
  <c r="F7" i="35"/>
  <c r="F6" i="35" s="1"/>
  <c r="E7" i="35"/>
  <c r="X6" i="35"/>
  <c r="X33" i="35" s="1"/>
  <c r="V6" i="35"/>
  <c r="V33" i="35" s="1"/>
  <c r="U6" i="35"/>
  <c r="U33" i="35" s="1"/>
  <c r="T6" i="35"/>
  <c r="T33" i="35" s="1"/>
  <c r="S6" i="35"/>
  <c r="S33" i="35" s="1"/>
  <c r="Q6" i="35"/>
  <c r="Q33" i="35" s="1"/>
  <c r="P6" i="35"/>
  <c r="P33" i="35" s="1"/>
  <c r="O6" i="35"/>
  <c r="O33" i="35" s="1"/>
  <c r="N6" i="35"/>
  <c r="N33" i="35" s="1"/>
  <c r="M6" i="35"/>
  <c r="L6" i="35"/>
  <c r="L33" i="35" s="1"/>
  <c r="K6" i="35"/>
  <c r="K33" i="35" s="1"/>
  <c r="J6" i="35"/>
  <c r="J33" i="35" s="1"/>
  <c r="I6" i="35"/>
  <c r="I33" i="35" s="1"/>
  <c r="E6" i="35"/>
  <c r="E33" i="35" l="1"/>
  <c r="W33" i="35"/>
  <c r="F33" i="35"/>
  <c r="G11" i="35"/>
  <c r="H11" i="35" s="1"/>
  <c r="H12" i="35"/>
  <c r="W6" i="35"/>
  <c r="G6" i="35"/>
  <c r="G33" i="35" l="1"/>
  <c r="H6" i="35"/>
  <c r="M36" i="37" l="1"/>
  <c r="H36" i="37"/>
  <c r="M35" i="37"/>
  <c r="H35" i="37"/>
  <c r="M34" i="37"/>
  <c r="H34" i="37"/>
  <c r="M29" i="37"/>
  <c r="I29" i="37"/>
  <c r="G29" i="37"/>
  <c r="H29" i="37" s="1"/>
  <c r="F29" i="37"/>
  <c r="E29" i="37"/>
  <c r="M28" i="37"/>
  <c r="I28" i="37"/>
  <c r="G28" i="37"/>
  <c r="H28" i="37" s="1"/>
  <c r="F28" i="37"/>
  <c r="E28" i="37"/>
  <c r="M21" i="37"/>
  <c r="I21" i="37"/>
  <c r="H21" i="37"/>
  <c r="G21" i="37"/>
  <c r="F21" i="37"/>
  <c r="E21" i="37"/>
  <c r="M20" i="37"/>
  <c r="I20" i="37"/>
  <c r="G20" i="37"/>
  <c r="H20" i="37" s="1"/>
  <c r="F20" i="37"/>
  <c r="E20" i="37"/>
  <c r="M19" i="37"/>
  <c r="I19" i="37"/>
  <c r="H19" i="37"/>
  <c r="G19" i="37"/>
  <c r="F19" i="37"/>
  <c r="E19" i="37"/>
  <c r="M18" i="37"/>
  <c r="I18" i="37"/>
  <c r="G18" i="37"/>
  <c r="H18" i="37" s="1"/>
  <c r="F18" i="37"/>
  <c r="E18" i="37"/>
  <c r="M17" i="37"/>
  <c r="I17" i="37"/>
  <c r="G17" i="37"/>
  <c r="H17" i="37" s="1"/>
  <c r="F17" i="37"/>
  <c r="E17" i="37"/>
  <c r="M16" i="37"/>
  <c r="I16" i="37"/>
  <c r="G16" i="37"/>
  <c r="H16" i="37" s="1"/>
  <c r="F16" i="37"/>
  <c r="E16" i="37"/>
  <c r="M15" i="37"/>
  <c r="I15" i="37"/>
  <c r="G15" i="37"/>
  <c r="H15" i="37" s="1"/>
  <c r="F15" i="37"/>
  <c r="E15" i="37"/>
  <c r="M13" i="37"/>
  <c r="I13" i="37"/>
  <c r="G13" i="37"/>
  <c r="H13" i="37" s="1"/>
  <c r="F13" i="37"/>
  <c r="E13" i="37"/>
  <c r="M12" i="37"/>
  <c r="I12" i="37"/>
  <c r="G12" i="37"/>
  <c r="G11" i="37" s="1"/>
  <c r="H11" i="37" s="1"/>
  <c r="F12" i="37"/>
  <c r="E12" i="37"/>
  <c r="N11" i="37"/>
  <c r="M11" i="37"/>
  <c r="L11" i="37"/>
  <c r="K11" i="37"/>
  <c r="J11" i="37"/>
  <c r="I11" i="37"/>
  <c r="F11" i="37"/>
  <c r="E11" i="37"/>
  <c r="M9" i="37"/>
  <c r="I9" i="37"/>
  <c r="G9" i="37"/>
  <c r="H9" i="37" s="1"/>
  <c r="F9" i="37"/>
  <c r="E9" i="37"/>
  <c r="M7" i="37"/>
  <c r="I7" i="37"/>
  <c r="I6" i="37" s="1"/>
  <c r="I33" i="37" s="1"/>
  <c r="G7" i="37"/>
  <c r="H7" i="37" s="1"/>
  <c r="F7" i="37"/>
  <c r="F6" i="37" s="1"/>
  <c r="F33" i="37" s="1"/>
  <c r="E7" i="37"/>
  <c r="E6" i="37" s="1"/>
  <c r="E33" i="37" s="1"/>
  <c r="N6" i="37"/>
  <c r="N33" i="37" s="1"/>
  <c r="L6" i="37"/>
  <c r="M6" i="37" s="1"/>
  <c r="K6" i="37"/>
  <c r="K33" i="37" s="1"/>
  <c r="J6" i="37"/>
  <c r="J33" i="37" s="1"/>
  <c r="G6" i="37"/>
  <c r="G33" i="37" s="1"/>
  <c r="H33" i="37" s="1"/>
  <c r="L33" i="37" l="1"/>
  <c r="H12" i="37"/>
  <c r="H6" i="37"/>
  <c r="W36" i="33" l="1"/>
  <c r="R36" i="33"/>
  <c r="M36" i="33"/>
  <c r="H36" i="33"/>
  <c r="W35" i="33"/>
  <c r="R35" i="33"/>
  <c r="M35" i="33"/>
  <c r="H35" i="33"/>
  <c r="W34" i="33"/>
  <c r="R34" i="33"/>
  <c r="M34" i="33"/>
  <c r="H34" i="33"/>
  <c r="W32" i="33"/>
  <c r="R32" i="33"/>
  <c r="M32" i="33"/>
  <c r="L32" i="33"/>
  <c r="K32" i="33"/>
  <c r="G32" i="33"/>
  <c r="H32" i="33" s="1"/>
  <c r="F32" i="33"/>
  <c r="E32" i="33"/>
  <c r="W31" i="33"/>
  <c r="R31" i="33"/>
  <c r="L31" i="33"/>
  <c r="K31" i="33"/>
  <c r="F31" i="33" s="1"/>
  <c r="H31" i="33" s="1"/>
  <c r="G31" i="33"/>
  <c r="E31" i="33"/>
  <c r="W30" i="33"/>
  <c r="R30" i="33"/>
  <c r="L30" i="33"/>
  <c r="M30" i="33" s="1"/>
  <c r="K30" i="33"/>
  <c r="F30" i="33"/>
  <c r="E30" i="33"/>
  <c r="W29" i="33"/>
  <c r="R29" i="33"/>
  <c r="M29" i="33"/>
  <c r="H29" i="33"/>
  <c r="W28" i="33"/>
  <c r="R28" i="33"/>
  <c r="M28" i="33"/>
  <c r="H28" i="33"/>
  <c r="E28" i="33"/>
  <c r="W27" i="33"/>
  <c r="R27" i="33"/>
  <c r="M27" i="33"/>
  <c r="L27" i="33"/>
  <c r="K27" i="33"/>
  <c r="H27" i="33"/>
  <c r="G27" i="33"/>
  <c r="F27" i="33"/>
  <c r="E27" i="33"/>
  <c r="W26" i="33"/>
  <c r="R26" i="33"/>
  <c r="M26" i="33"/>
  <c r="H26" i="33"/>
  <c r="W25" i="33"/>
  <c r="R25" i="33"/>
  <c r="L25" i="33"/>
  <c r="K25" i="33"/>
  <c r="F25" i="33" s="1"/>
  <c r="H25" i="33" s="1"/>
  <c r="G25" i="33"/>
  <c r="W24" i="33"/>
  <c r="R24" i="33"/>
  <c r="L24" i="33"/>
  <c r="K24" i="33"/>
  <c r="F24" i="33" s="1"/>
  <c r="G24" i="33"/>
  <c r="E24" i="33"/>
  <c r="W23" i="33"/>
  <c r="R23" i="33"/>
  <c r="L23" i="33"/>
  <c r="M23" i="33" s="1"/>
  <c r="K23" i="33"/>
  <c r="F23" i="33"/>
  <c r="E23" i="33"/>
  <c r="W22" i="33"/>
  <c r="R22" i="33"/>
  <c r="M22" i="33"/>
  <c r="H22" i="33"/>
  <c r="W21" i="33"/>
  <c r="R21" i="33"/>
  <c r="M21" i="33"/>
  <c r="H21" i="33"/>
  <c r="W20" i="33"/>
  <c r="R20" i="33"/>
  <c r="M20" i="33"/>
  <c r="H20" i="33"/>
  <c r="W19" i="33"/>
  <c r="R19" i="33"/>
  <c r="M19" i="33"/>
  <c r="H19" i="33"/>
  <c r="W18" i="33"/>
  <c r="R18" i="33"/>
  <c r="M18" i="33"/>
  <c r="H18" i="33"/>
  <c r="W17" i="33"/>
  <c r="R17" i="33"/>
  <c r="M17" i="33"/>
  <c r="H17" i="33"/>
  <c r="W16" i="33"/>
  <c r="R16" i="33"/>
  <c r="M16" i="33"/>
  <c r="H16" i="33"/>
  <c r="W15" i="33"/>
  <c r="R15" i="33"/>
  <c r="M15" i="33"/>
  <c r="H15" i="33"/>
  <c r="W14" i="33"/>
  <c r="R14" i="33"/>
  <c r="M14" i="33"/>
  <c r="L14" i="33"/>
  <c r="L11" i="33" s="1"/>
  <c r="M11" i="33" s="1"/>
  <c r="K14" i="33"/>
  <c r="G14" i="33"/>
  <c r="H14" i="33" s="1"/>
  <c r="F14" i="33"/>
  <c r="E14" i="33"/>
  <c r="W13" i="33"/>
  <c r="R13" i="33"/>
  <c r="M13" i="33"/>
  <c r="H13" i="33"/>
  <c r="W12" i="33"/>
  <c r="R12" i="33"/>
  <c r="M12" i="33"/>
  <c r="H12" i="33"/>
  <c r="X11" i="33"/>
  <c r="V11" i="33"/>
  <c r="W11" i="33" s="1"/>
  <c r="U11" i="33"/>
  <c r="T11" i="33"/>
  <c r="S11" i="33"/>
  <c r="R11" i="33"/>
  <c r="Q11" i="33"/>
  <c r="P11" i="33"/>
  <c r="O11" i="33"/>
  <c r="N11" i="33"/>
  <c r="K11" i="33"/>
  <c r="J11" i="33"/>
  <c r="I11" i="33"/>
  <c r="E11" i="33"/>
  <c r="W10" i="33"/>
  <c r="R10" i="33"/>
  <c r="M10" i="33"/>
  <c r="I10" i="33"/>
  <c r="G10" i="33"/>
  <c r="H10" i="33" s="1"/>
  <c r="F10" i="33"/>
  <c r="E10" i="33"/>
  <c r="W9" i="33"/>
  <c r="R9" i="33"/>
  <c r="M9" i="33"/>
  <c r="H9" i="33"/>
  <c r="W8" i="33"/>
  <c r="R8" i="33"/>
  <c r="M8" i="33"/>
  <c r="H8" i="33"/>
  <c r="W7" i="33"/>
  <c r="R7" i="33"/>
  <c r="M7" i="33"/>
  <c r="H7" i="33"/>
  <c r="X6" i="33"/>
  <c r="X33" i="33" s="1"/>
  <c r="V6" i="33"/>
  <c r="V33" i="33" s="1"/>
  <c r="U6" i="33"/>
  <c r="U33" i="33" s="1"/>
  <c r="T6" i="33"/>
  <c r="T33" i="33" s="1"/>
  <c r="S6" i="33"/>
  <c r="S33" i="33" s="1"/>
  <c r="R6" i="33"/>
  <c r="Q6" i="33"/>
  <c r="Q33" i="33" s="1"/>
  <c r="R33" i="33" s="1"/>
  <c r="P6" i="33"/>
  <c r="P33" i="33" s="1"/>
  <c r="O6" i="33"/>
  <c r="O33" i="33" s="1"/>
  <c r="N6" i="33"/>
  <c r="N33" i="33" s="1"/>
  <c r="L6" i="33"/>
  <c r="L33" i="33" s="1"/>
  <c r="M33" i="33" s="1"/>
  <c r="K6" i="33"/>
  <c r="K33" i="33" s="1"/>
  <c r="J6" i="33"/>
  <c r="J33" i="33" s="1"/>
  <c r="I6" i="33"/>
  <c r="I33" i="33" s="1"/>
  <c r="G6" i="33"/>
  <c r="H6" i="33" s="1"/>
  <c r="F6" i="33"/>
  <c r="E6" i="33"/>
  <c r="E33" i="33" s="1"/>
  <c r="H24" i="33" l="1"/>
  <c r="F11" i="33"/>
  <c r="F33" i="33" s="1"/>
  <c r="W33" i="33"/>
  <c r="W6" i="33"/>
  <c r="M6" i="33"/>
  <c r="M24" i="33"/>
  <c r="M25" i="33"/>
  <c r="M31" i="33"/>
  <c r="G23" i="33"/>
  <c r="G30" i="33"/>
  <c r="H30" i="33" s="1"/>
  <c r="G11" i="33" l="1"/>
  <c r="H23" i="33"/>
  <c r="H11" i="33" l="1"/>
  <c r="G33" i="33"/>
  <c r="H33" i="33" s="1"/>
</calcChain>
</file>

<file path=xl/comments1.xml><?xml version="1.0" encoding="utf-8"?>
<comments xmlns="http://schemas.openxmlformats.org/spreadsheetml/2006/main">
  <authors>
    <author>Ekonomka</author>
  </authors>
  <commentList>
    <comment ref="A44" authorId="0">
      <text>
        <r>
          <rPr>
            <b/>
            <sz val="9"/>
            <color indexed="81"/>
            <rFont val="Tahoma"/>
            <family val="2"/>
            <charset val="238"/>
          </rPr>
          <t>Ekonomka: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<sst xmlns="http://schemas.openxmlformats.org/spreadsheetml/2006/main" count="4299" uniqueCount="821">
  <si>
    <t>Městské divadlo v Prostějově v Prostějově, příspěvková organizace</t>
  </si>
  <si>
    <t>Poř. číslo</t>
  </si>
  <si>
    <t>Ukazatel</t>
  </si>
  <si>
    <t>Měrná jednotka</t>
  </si>
  <si>
    <t>Celkem hlavní činnost</t>
  </si>
  <si>
    <t>Vztah ke zřizovateli</t>
  </si>
  <si>
    <t>Vztah k Olomouckému kraji, popř. SR ČR, EU apod.</t>
  </si>
  <si>
    <t>Celkem doplňková činnost</t>
  </si>
  <si>
    <t>Schválený roční plán</t>
  </si>
  <si>
    <t>K 30.6.2017</t>
  </si>
  <si>
    <t>Srovn. skut. 2016</t>
  </si>
  <si>
    <t>Roční plán</t>
  </si>
  <si>
    <t>Skutečnost</t>
  </si>
  <si>
    <t>SK/RP</t>
  </si>
  <si>
    <t>1.</t>
  </si>
  <si>
    <t>Výnosy celkem</t>
  </si>
  <si>
    <t>Kč</t>
  </si>
  <si>
    <t>2.</t>
  </si>
  <si>
    <t>60X až 64X - Výnosy z činnosti</t>
  </si>
  <si>
    <t>3.</t>
  </si>
  <si>
    <t>66X - Finanční výnosy</t>
  </si>
  <si>
    <t>4.</t>
  </si>
  <si>
    <t>67X - Výnosy z transferů</t>
  </si>
  <si>
    <t>5.</t>
  </si>
  <si>
    <t>Příspěvek na investice</t>
  </si>
  <si>
    <t>6.</t>
  </si>
  <si>
    <t>Náklady celkem</t>
  </si>
  <si>
    <t>7.</t>
  </si>
  <si>
    <t>501 - Spotřeba materiálu</t>
  </si>
  <si>
    <t>8.</t>
  </si>
  <si>
    <t>502 - Spotřeba energie</t>
  </si>
  <si>
    <t>9.</t>
  </si>
  <si>
    <t>50X - Jiné spotřebované nákupy</t>
  </si>
  <si>
    <t>10.</t>
  </si>
  <si>
    <t>511 - Opravy a udržování</t>
  </si>
  <si>
    <t>11.</t>
  </si>
  <si>
    <t>512 - Cestovné</t>
  </si>
  <si>
    <t>12.</t>
  </si>
  <si>
    <t>513 - Náklady na reprezentaci</t>
  </si>
  <si>
    <t>13.</t>
  </si>
  <si>
    <t>518 - Ostatní služby</t>
  </si>
  <si>
    <t>14.</t>
  </si>
  <si>
    <t>521 - Mzdové náklady</t>
  </si>
  <si>
    <t>15.</t>
  </si>
  <si>
    <t>524, 525 - Zákonné a jiné sociální pojištění</t>
  </si>
  <si>
    <t>16.</t>
  </si>
  <si>
    <t>527, 528 - Zákonné a jiné sociální náklady</t>
  </si>
  <si>
    <t>17.</t>
  </si>
  <si>
    <t>53X - Daně a poplatky</t>
  </si>
  <si>
    <t>18.</t>
  </si>
  <si>
    <t>541, 542 - Pokuty, úroky z prodlení a penále</t>
  </si>
  <si>
    <t>19.</t>
  </si>
  <si>
    <t>543 - Dary a jiná bezúplatná předání</t>
  </si>
  <si>
    <t>20.</t>
  </si>
  <si>
    <t>54X - Jiné ostatní náklady</t>
  </si>
  <si>
    <t>21.</t>
  </si>
  <si>
    <t>551 - Odpisy dlouhodobého majetku</t>
  </si>
  <si>
    <t>22.</t>
  </si>
  <si>
    <t>55X - Jiné odpisy, rezervy a opravné položky</t>
  </si>
  <si>
    <t>23.</t>
  </si>
  <si>
    <t>558 - Náklady z drobného dlouhodobého majetku</t>
  </si>
  <si>
    <t>24.</t>
  </si>
  <si>
    <t>549 - Ostatní náklady z činnosti</t>
  </si>
  <si>
    <t>25.</t>
  </si>
  <si>
    <t>56X - Finanční náklady</t>
  </si>
  <si>
    <t>26.</t>
  </si>
  <si>
    <t>57X - Náklady na transfery</t>
  </si>
  <si>
    <t>27.</t>
  </si>
  <si>
    <t>59X - Daň z příjmů</t>
  </si>
  <si>
    <t>28.</t>
  </si>
  <si>
    <t>Výsledek hospodaření</t>
  </si>
  <si>
    <t>29.</t>
  </si>
  <si>
    <t>Průměrná měsíční mzda</t>
  </si>
  <si>
    <t>30.</t>
  </si>
  <si>
    <t>Evid. přepočtený stav pracovníků</t>
  </si>
  <si>
    <t>osob</t>
  </si>
  <si>
    <t>31.</t>
  </si>
  <si>
    <t>Fyzický stav pracovníků</t>
  </si>
  <si>
    <t>Jesle sídliště Svobody v Prostějově, IČO 47920360</t>
  </si>
  <si>
    <t>KINO METRO 70 Prostějov,příspěvková organizace, Školní 3694/1, 79601 Prostějov, IČO:05592178</t>
  </si>
  <si>
    <t>Městská knihovna Prostějov, příspěvková organizace</t>
  </si>
  <si>
    <t>Mateřská škola Prostějov, Moravská ul.30, příspěvková organizace, IČO 70982945</t>
  </si>
  <si>
    <t>Mateřská škola Prostějov, Partyzánská ul. 34 - příspěvková organizace     IČO : 479 224 27</t>
  </si>
  <si>
    <t>0</t>
  </si>
  <si>
    <t>Mateřská škola Prostějov, Rumunská ul.23, IČO 70982821</t>
  </si>
  <si>
    <t>Mateřská škola Prostějov, Smetanova ul. 24, příspěvková organizace</t>
  </si>
  <si>
    <t>Mateřská škola Prostějov, ul. Šárka 4a</t>
  </si>
  <si>
    <t>Reálné gymnázium a základní škola města Prostějova, Studentská ul. 2</t>
  </si>
  <si>
    <t>Sportcentrum - dům dětí a mládeže Prostějov, příspěvková organizace, 796 01 Prostějov, Olympijská 4</t>
  </si>
  <si>
    <t>Základní škola Prostějov, ul. Dr. Horáka 24</t>
  </si>
  <si>
    <t>Celkem</t>
  </si>
  <si>
    <t>Vztah k Olomouckému kraji, popř. SR ČR apod.</t>
  </si>
  <si>
    <t>Doplňková činnost</t>
  </si>
  <si>
    <t>541, 542 - Pokuty, úroky z prodlení  a penále</t>
  </si>
  <si>
    <t>Výsledek hospodaření po zdanění</t>
  </si>
  <si>
    <t>Základní škola a mateřská škola Jana Železného Prostějov, sídliště Svobody 3578/79</t>
  </si>
  <si>
    <t>Základní škola a mateřská škola Prostějov, Kollárova ul.4, IČO 47922494</t>
  </si>
  <si>
    <t>Základní škola Prostějov, ul. Vl. Majakovského 1, IČO 62859056</t>
  </si>
  <si>
    <t>Základní škola a mateřská škola Prostějov, Melantrichova ul. 60</t>
  </si>
  <si>
    <t>Základní škola a mateřská škola Prostějov, Palackého tř. 14</t>
  </si>
  <si>
    <t>Základní škola Prostějov, ul. E. Valenty 52, 796 03 Prostějov</t>
  </si>
  <si>
    <t>Mzdy - OON</t>
  </si>
  <si>
    <t>Jsou vypláceny odměny z DČ - žádný prac. poměr</t>
  </si>
  <si>
    <t>Základní umělecká škola Vladimíra Ambrose Prostějov, Kravařova 14 , 796 01 Prostějov</t>
  </si>
  <si>
    <t>1. Průběžný výsledek hospodaření za I. pololetí roku 2017</t>
  </si>
  <si>
    <t>Kategorie</t>
  </si>
  <si>
    <t>Komentář k tvorbě průběžného výsledku hospodaření za I. pololetí roku 207</t>
  </si>
  <si>
    <t>Hlavní činnost (zřizovatel)</t>
  </si>
  <si>
    <t xml:space="preserve">Hlavní vliv na průběžný výsledek hospodaření mají zatím neuskutečněné práce na stěhování Vápenice. V rozpočtu na rok 2017 je s touto akcí počítáno na druhé pololetí, tzn. v druhém pololetí budou vyšší náklady. Většina oprav na třech pracovištích organizace bude uskutečněna v průběhu prázdnin a podzimu 2017.   </t>
  </si>
  <si>
    <t xml:space="preserve">Hlavní vliv na průběžný výsledek hospodaření mělo nevyfakturování některých pronájmů do 30. 6. 2017 - smlouvy mají fakturační období po tomto datu. </t>
  </si>
  <si>
    <t>Ostatní (kraj, SR ČR, EF apod.)</t>
  </si>
  <si>
    <t>2. Fondové hospodaření příspěvkové organizace v I. pololetí roku 2017 v Kč</t>
  </si>
  <si>
    <t>Fond</t>
  </si>
  <si>
    <t>PZ k 1.1.2017 v  Kč</t>
  </si>
  <si>
    <t>Zdroje fondu v  Kč</t>
  </si>
  <si>
    <t>Čerpání fondu  v  Kč</t>
  </si>
  <si>
    <t>KZ k 30.6.2017 v Kč</t>
  </si>
  <si>
    <t>Finanční krytí fondů k 30.6.2017 v Kč</t>
  </si>
  <si>
    <t>Komentář k peněžním fondům</t>
  </si>
  <si>
    <t>Fond odměn (účet 411)</t>
  </si>
  <si>
    <t>Zdrojem Fondu odměn je ZVH z roku 2016. Čerpáno bylo v červnu 2017 na odměny zaměstnanců.</t>
  </si>
  <si>
    <t>FKSP (účet 412)</t>
  </si>
  <si>
    <t>Z FKSP bylo v prvním pololetí čerpáno na stravování a na odměny zaměstnancům k životnímu jubileu. Fond je tvořen 2 % z mezd. Rozdíl mezi účtem 243 a účtem 412 je způsoben časovým nesouladem převodů mezi jednotlivými bankovními účty. Účty byly vyrovnány 10.7.2017.</t>
  </si>
  <si>
    <t>Rezervní fond tvořený ze zlepšeného VH (účet 413)</t>
  </si>
  <si>
    <t>Rezervní fond je tvořen ze zlepšeného výsledku hospodaření z roku 2016 - v prvním pololetí roku 2017 nebylo z tohoto fondu zatím čerpáno.</t>
  </si>
  <si>
    <t>Rezervní fond z ostatních titulů (účet 414)</t>
  </si>
  <si>
    <t>Zdrojem Rezervního fondu z ostatních titulů byl v červnu 2017 dar 30.000,00 Kč, tento byl vyčerpán na nákup dvou nových kárek na DDC.</t>
  </si>
  <si>
    <t>Fond reprodukce majetku, fond investic (účet 416)</t>
  </si>
  <si>
    <t xml:space="preserve">Zdrojem Fondu reprodukce majetku, fondu investic jsou odpisy a výnos z prodeje vyřazeného majetku. Součástí zůstatku je 317.000,00 Kč investiční příspěvek zřizovatele na víceúčelovou terasu na DDC. Předpoklad kolaudace a proúčtování této investiční akce je podzim 2017. V 2. pololetí 2017 plánuje organizace částečně financovat z tohoto fondu nákup nového nového vícemístného vozu. </t>
  </si>
  <si>
    <t>3. Pohledávky po lhůtě splatnosti</t>
  </si>
  <si>
    <t>Číslo účtu - Název účtu dle rozvahy</t>
  </si>
  <si>
    <t>Číslo faktury</t>
  </si>
  <si>
    <t>Dlužník; způsob vymáhání pohledávky po lhůtě spaltnosti (dosavadní/plánovaný)</t>
  </si>
  <si>
    <t>311 - Odběratelé</t>
  </si>
  <si>
    <t>100/2012</t>
  </si>
  <si>
    <t xml:space="preserve">Prostějovský basketbal s.r.o. v likvidaci, Za Kosteleckou 49 Prostějov, IČ 269 06 104. Dlužník přiznal a odsouhlasil dlužnou částku. Na dohody o smíru však nereagoval. K pohledávce je v plné výši vytvořena opravná položka na účtu 194. Dle výsledku jednání s právníkem Finančního odboru MMPV bude organizace žádat o odpis pohledávky do podrozvahové evidence. </t>
  </si>
  <si>
    <t>123/2012</t>
  </si>
  <si>
    <t>125/2012</t>
  </si>
  <si>
    <t>21/2013</t>
  </si>
  <si>
    <t>67/2013</t>
  </si>
  <si>
    <t>4. Závazky po lhůtě splatnosti</t>
  </si>
  <si>
    <t>Příjemce; způsob úhrady závazku po lhůtě spaltnosti (dosavadní/plánovaný)</t>
  </si>
  <si>
    <t>Organizace nemá žádné závazky po lhůtě splatnosti.</t>
  </si>
  <si>
    <t>5. Přehled přijatých darů v I. pololetí roku 2017</t>
  </si>
  <si>
    <t>Přijato v roce 2017 (Kč)</t>
  </si>
  <si>
    <t>Čerpáno v roce 2017 (Kč)</t>
  </si>
  <si>
    <t>Účel</t>
  </si>
  <si>
    <t>Organizace obdržela neúčelový dar a použit byl na nákup dvou nových kárek na Dětské dopravní centrum.</t>
  </si>
  <si>
    <t>6. Úpravy finančního plánu příspěvkové organizace v I. pololetí roku 2017 v hlavní činnosti</t>
  </si>
  <si>
    <t>Důvod úpravy</t>
  </si>
  <si>
    <t>Analytický účet</t>
  </si>
  <si>
    <t>Částka ± úpravy výnosů v Kč</t>
  </si>
  <si>
    <t>Částka ± úpravy nákladů v Kč</t>
  </si>
  <si>
    <t>Datum schválení úpravy</t>
  </si>
  <si>
    <t>Datum provedení úpravy</t>
  </si>
  <si>
    <t>Úprava finančního plánu č. 1 - Navýšení mzdových prostředků</t>
  </si>
  <si>
    <t>521/0300</t>
  </si>
  <si>
    <t>521/0330</t>
  </si>
  <si>
    <t>524/0300</t>
  </si>
  <si>
    <t>524/0310</t>
  </si>
  <si>
    <t>525/0300</t>
  </si>
  <si>
    <t>527/0300</t>
  </si>
  <si>
    <t>672/0310</t>
  </si>
  <si>
    <t>Úprava finančního plánu č. 2 - Tvorba FI - prodej Pianina Petrof</t>
  </si>
  <si>
    <t>646/0300</t>
  </si>
  <si>
    <t>548/0360</t>
  </si>
  <si>
    <t>518/0380</t>
  </si>
  <si>
    <t xml:space="preserve">Úprava finančního plánu č. 3 - Čerpání FO </t>
  </si>
  <si>
    <t>648/0300</t>
  </si>
  <si>
    <t>Celkem úpravy finančního plánu v Kč</t>
  </si>
  <si>
    <t>7. Úpravy finančního plánu příspěvkové organizace v I. pololetí roku 2017 v doplňkové činnosti</t>
  </si>
  <si>
    <t>Nebyla provedena žádná úprava FP v doplňkové činnosti.</t>
  </si>
  <si>
    <t>8. Plnění opatření z minulého kontrolního dne k výsledkům hospodaření za rok 2017</t>
  </si>
  <si>
    <t>1. Pohledávka po lhůtě splatnosti ve výši 137.201,00 Kč - Dlužníkem je firma Prostějovský basketbal v likvidaci, s. r. o. Likvidátor společnosti stále odmítá komunikovat - nereaguje na zasílané podněty. Na Krajský soud v Brně byla v roce 2016 zaslaná žádost o změnu likvidátora. Organizace dosud neobdržela žádné stanovisko brněnského soudu. K pohledávce je v plné výši vytvořena opravná položka na účtu 194.</t>
  </si>
  <si>
    <t xml:space="preserve">2. Uskutečnit výběrové řízení na nákup nového automobilu pro organizaci, dle výsledků předložit žádost zřizovateli o dofinancování. Výběrové řízení bude ukončeno 3.8.2017. </t>
  </si>
  <si>
    <t>9. Ostatní závěry, popř. opatření, které vyplynuly z jednání kontrolního dne k výsledkům hospodaření za I. pololetí roku 2017</t>
  </si>
  <si>
    <t xml:space="preserve">1. Organizace na základě schválených usnesení 72. RMP ze dne 9.5.2017 č. 7428 a 23. ZMP ze dne 12. a 13. 6.2017 č. 17118 přidělila trvalým peněžním fondů schválený výsledek hospodaření ve výši 184.063,17 Kč, a to rezervnímu fondu částku 84.063,17 Kč a fondu odměn částku 100.000,00 Kč.  </t>
  </si>
  <si>
    <t>2. Pohledávka po lhůtě splatnosti ve výši 137.201,00 Kč - Dlužníkem je firma Prostějovský basketbal v likvidaci, s. r. o. Likvidátor společnosti stále odmítá komunikovat - nereaguje na zasílané podněty. Na Krajský soud v Brně byla zaslaná žádost o změnu likvidátora. Organizace dosud neobdržela žádné stanovisko brněnského soudu. K pohledávce je v plné výši vytvořena opravná položka na účtu 194. Dle výsledku jednání s právníkem Finančního odboru MMPV bude organizace žádat o odpis pohledávky do podrozvahové evidence.</t>
  </si>
  <si>
    <t xml:space="preserve">3. Výběrové řízení na nový vícemístný automobil bude ukončeno 3.8.2017. Dle výsledků tohoto řízení bude podána žádost zřizovateli o dofinancování. </t>
  </si>
  <si>
    <t>V Prostějově dne 21. 7. 2017</t>
  </si>
  <si>
    <t>Mgr. Ivan Nedvěd</t>
  </si>
  <si>
    <t>Zpracovala: Ing. Vlasta Pavlovská</t>
  </si>
  <si>
    <t>ředitel organizace</t>
  </si>
  <si>
    <t>Sportcentrum - dům dětí a mládeže Prostějov</t>
  </si>
  <si>
    <t>Městské divadlo v Prostějově, příspěvková organizace</t>
  </si>
  <si>
    <t xml:space="preserve">Organizace nevytváří průběžný výsledek hospodaření, tzn., že náklady jsou financovány z vlastních tržeb a pravidelně dorovnány z příspěvku od zřizovatele. Tento způsob je vhodné zvolit proto, že se u organizace vytvářejí tržby zejména ve 4. čtvrtletí, nelze je přesně odhadovat ani zastavit. Dorovnaný výsledek na nulu minimalizuje daňovou povinnost organizace. </t>
  </si>
  <si>
    <t>V DČ jsou zatím zaúčtovánány pouze přímé náklady, k 31. 12. 2017 budou zaúčtovány další náklady a výsledek hospodaření bude nižší.</t>
  </si>
  <si>
    <t>Rezervní fond</t>
  </si>
  <si>
    <t>MD vzhledem ke své činnosti potřebuje finannčí rezervu k překlenutí pípadného výkyvu tržeb.</t>
  </si>
  <si>
    <t>Fond investic</t>
  </si>
  <si>
    <t>Organizace požádá zřizovatel o snížení fondu investic o 400 000 Kč z důvodu nerealizovaných oprav v tomto kalendářním roce.</t>
  </si>
  <si>
    <t>Fond odměn</t>
  </si>
  <si>
    <t>Fond odměn bude použit na případné překročení mzdových prostředků.</t>
  </si>
  <si>
    <t>FKSP</t>
  </si>
  <si>
    <t>Zdrojem FKSP je 2% zálohový příděl schválených mzdových prostředků, je používán na příspěvek na stravné pro zaměstnance v hlavním pracovním poměru.</t>
  </si>
  <si>
    <t>Organizace nemá žádné pohledávky po lhůtě splatnosti.</t>
  </si>
  <si>
    <t>Organizace nepřijala žádné finanční dary.</t>
  </si>
  <si>
    <t>Navýšené tržby použity na neplánovaný nákup drobného</t>
  </si>
  <si>
    <t>602/0600</t>
  </si>
  <si>
    <t>DHM z důvodů poruch a neopravitelnosti</t>
  </si>
  <si>
    <t>558/0300</t>
  </si>
  <si>
    <t>Úpravy finančního plánu v hlavní činnosti byl ohlášeny OŠKS.</t>
  </si>
  <si>
    <t>V DČ nebyly prováděny úpravy finančního plánu.</t>
  </si>
  <si>
    <t>Z minulého kontrolního dne nebyla uložena žádná opatření.</t>
  </si>
  <si>
    <t>1. Organizace na základě schválených usnesení 72. RMP ze dne 9.5.2017 č. 7428 a 23. ZMP ze dne 12. a 13. 6.2017 č. 17118 přidělila trvalým peněžním fondům schválený výsledek hospodaření ve výši 52 555,20 Kč, a to rezervnímu fondu částku 52 555,20 Kč.</t>
  </si>
  <si>
    <t>2. Byla opravena chyba v tabulce v řádku výnosy z transferů a předána Ing. Ptáčkové v elektronické formě a vedoucímu OŠKS Mgr. Ivánkovi také v papírové formě. Byla také opravena numerická chyby ve zprávě, část 2. 2. 1. - náklady celkem, skutečnost 1. pololetí 201 - správný údaj je 186 299,- Kč.</t>
  </si>
  <si>
    <t>3. Organizace požádá zřizovatele o snížení fondu investic o 400 000 Kč z důvodů nerealizovaných oprav plánovaných na tento kalendářní rok.</t>
  </si>
  <si>
    <t>V Prostějově 27. 7. 2017</t>
  </si>
  <si>
    <t>zpracovala:</t>
  </si>
  <si>
    <t>Jarmila Jašková, ekonomka</t>
  </si>
  <si>
    <t>PaedDr. Jana Maršálková, ředitelka</t>
  </si>
  <si>
    <t>Jesle sídliště Svobody v Prostějově,přísp.organizace IČO: 479 20 360</t>
  </si>
  <si>
    <t>Průběžný výsledek hospodaření je převážně tvořen vyššími  výnosy a také úsporou ve všech nákladových položkách, jako je spotřeba energie, spotřeba materiálu,služby ostatní a nečerpané náklady DDHM.</t>
  </si>
  <si>
    <t>Tvorba:příděl ZHV</t>
  </si>
  <si>
    <t>Investiční fond</t>
  </si>
  <si>
    <t>Tvorba: příděl ZHV</t>
  </si>
  <si>
    <t>Tvorba: zákonný  příděl  z obj. mzd.p..Čerpání - přísp.na stravu zaměstnanců.Rozdíl ve finančním krytí fondu je  ve výši 2.712,- Kč . V červenci bude proveden převod 2.696,- Kč/ tvorba/,16,- Kč / bankovní poplatky/.</t>
  </si>
  <si>
    <t>Organizace nemá pohledávky po lhůtě splatnosti.</t>
  </si>
  <si>
    <t>Organizace nemá závazky po lhůtě splatnosti.</t>
  </si>
  <si>
    <t>Oraganizace v prvním pololetí nepřijala žádné dary.</t>
  </si>
  <si>
    <t>Organizace v prvním pololetí neprovedla finanční úpravu plánu.</t>
  </si>
  <si>
    <t>Organizace neměla při kontrole hospodaření uloženo žádné opatření .</t>
  </si>
  <si>
    <t>1. Organizace na základě schválených usnesení 72. RMP ze dne 9.5.2017 č. 7428 a 23. ZMP ze dne 12. a 13. 6.2017 č. 17118 přidělila trvalým peněžním fondům schválený výsledek hospodaření ve výši 49.868,49 Kč, a to rezervnímu fondu částku 24,868,49 Kč a fondu odměn částku 25.000,00 Kč.  Z jednání kontrolního dne vyplynulo, že finanční prostředky na provoz, které organizace nárokovala u zřizovatele budou pro příští pololetí dostačující a pokud nedojde k nepředvídatelné situaci, nebude mít organizace další finanční požadavky na rozpočet města Prostějova.</t>
  </si>
  <si>
    <t>V Prostějově dne 27.7.2017                                                                                                                                                  vedoucí sestra jeslí: Marie  Bittnerová   v.r.</t>
  </si>
  <si>
    <t>KINO METRO 70 Prostějov</t>
  </si>
  <si>
    <t>Výše průběžného výsledku hospodaření je způsobena nižším čerpáním nákladů v ukazateli spotřeba energie a cestovného . Zvýšené čerpání u těchto položek proběhne v 2. pololetí 2017. Ve 2. pololetí 2017 proběhne vystěhování nájemníka ze služebního bytu (ukončení nájemní smlouvy), kde očekáváme zvýšené náklady za opravu a udržování.</t>
  </si>
  <si>
    <t>Zvýšené náklady očekáváme ve 2. pololetí 2017 a k 31. 12. 2017 budou přeúčtovány alikvotní díly nákladových položek.</t>
  </si>
  <si>
    <t>Zdrojem fondu investic jsou odpisy majetku a čerpáním fondu je odvod zřizovateli (odpis budovy). V roce 2017 bychom rádi koupili poutač kina (neon) asi v částce 50 000 Kč.</t>
  </si>
  <si>
    <t>Zdrojem FKSP je příděl z mezd a čerpáním fondu je závodní stravování a penzijní pojištění. Rozdíl vznikl zúčtováním stravného, převod finančních prostředků bude proveden.</t>
  </si>
  <si>
    <t>Mzdové náklady</t>
  </si>
  <si>
    <t>Zákonné a jiné sociální pojištění</t>
  </si>
  <si>
    <t>Navýšený výnosy transferů - mzdové prostředky</t>
  </si>
  <si>
    <t>Cestovné</t>
  </si>
  <si>
    <t>Odpisy DHM</t>
  </si>
  <si>
    <t>Navýšený výnosy transferů - odpis</t>
  </si>
  <si>
    <t>Opravy a udržování</t>
  </si>
  <si>
    <t>Spotřeba materiálu</t>
  </si>
  <si>
    <t>Výnosy z činnosti</t>
  </si>
  <si>
    <t>Ostatní služby</t>
  </si>
  <si>
    <t>DDHM nad 3000,-</t>
  </si>
  <si>
    <t>Pojištění</t>
  </si>
  <si>
    <t>Finanční výnosy</t>
  </si>
  <si>
    <t>Zákonné sociální náklady</t>
  </si>
  <si>
    <t>Výnosy DČ</t>
  </si>
  <si>
    <t>Náklady DČ</t>
  </si>
  <si>
    <t>Byly opraveny rozbory hospodaření za 1. pololetí roku 2017 na základě pokynů, včetně doplnění komentáře.</t>
  </si>
  <si>
    <t>Jaroslava Bočková, ekonomka</t>
  </si>
  <si>
    <t>BcA Barbora Prágerová, ředitelka</t>
  </si>
  <si>
    <t>Průběžný výsledek hospodaření ke zřizovateli odráží vyrovnané čerpání nákladů a výnosů za 1. pololetí.</t>
  </si>
  <si>
    <t>Zdrojem byl příděl z VH za rok 2016 ve výši</t>
  </si>
  <si>
    <t>78.082,46,- Kč.</t>
  </si>
  <si>
    <t>Čerpání - převod do výnosů - účelově vázané</t>
  </si>
  <si>
    <t>finanční prostředky ve výši 33.194,- Kč.</t>
  </si>
  <si>
    <t>Ve 2. pol. budou finanční prostředky využity</t>
  </si>
  <si>
    <t>pro další rozvoj činnosti organizace (obnovení</t>
  </si>
  <si>
    <t>výpočetní techniky,nákup knihovního fondu) (obnovení</t>
  </si>
  <si>
    <t>Zdroj tvořily odpisy dlouhodobého majetku</t>
  </si>
  <si>
    <t>ve výši 178.384,- Kč.</t>
  </si>
  <si>
    <t>Čerpání - odvod ve výši 150.500,- Kč - dle</t>
  </si>
  <si>
    <t>usnesení RMP č.7304 ze dne 21.3.2017 -</t>
  </si>
  <si>
    <t>(pololetní částka přidělená na odpisy budov).</t>
  </si>
  <si>
    <t>Předpoklad čerpání ve 2.pol. - dovybavení</t>
  </si>
  <si>
    <t>podkrovního sálu, nákup výpočetní techniky.</t>
  </si>
  <si>
    <t>Za 1.pol.byly pohyby na fondu nulové.</t>
  </si>
  <si>
    <t xml:space="preserve">Zdroj FKSP tvoří příděl 2% z objemu mezd, </t>
  </si>
  <si>
    <t xml:space="preserve">čerpání - příspěvek na stravné zaměstnancům. </t>
  </si>
  <si>
    <t xml:space="preserve">Peněžní krytí je nižší o 8.954,- Kč z toho </t>
  </si>
  <si>
    <t xml:space="preserve">důvodu, že poplatky z běžného účtu ve výši </t>
  </si>
  <si>
    <t xml:space="preserve">329,- Kč budou přeúčtovány až v červenci </t>
  </si>
  <si>
    <t xml:space="preserve">po obdržení výpisu z banky a příděl do FKSP </t>
  </si>
  <si>
    <t xml:space="preserve">za červen ve výši 8.625,- Kč je proveden </t>
  </si>
  <si>
    <t>účetně a převod mezi běžnými účty bude</t>
  </si>
  <si>
    <t>proveden rovněž v měsíci červenci.</t>
  </si>
  <si>
    <t xml:space="preserve">311/0200 - odběratelé, 4. upomínky za čtenáři </t>
  </si>
  <si>
    <t>Jmenovité seznamy dlužníků jsou uloženy v organizaci a pravidelně čtvrtletně zasílány na Magistrát města</t>
  </si>
  <si>
    <t xml:space="preserve">Prostějova. Veškeré pohledávky jsou vymáhány všemi možnými dostupnými prostředky. Některé byly během </t>
  </si>
  <si>
    <t xml:space="preserve">1.pololetí uhrazeny, u jiných nebylo dosaženo kladného výsledku. Během pololetí byly zaúčtovány další </t>
  </si>
  <si>
    <t xml:space="preserve">neuhrazené upomínky. Všechny pohledávky budou i nadále vymáhány všemi dostupnými prostředky. </t>
  </si>
  <si>
    <t>Stručný komentář dosavadního způsobu úhrady závazku po lhůtě splatnosti/plánovaný způsob úhrady závazku po lhůtě splatnosti</t>
  </si>
  <si>
    <t>...atd…</t>
  </si>
  <si>
    <t>Organizace neobdržela v 1. pololetí žádné finanční ani věcné dary.</t>
  </si>
  <si>
    <t xml:space="preserve">Navýšení dle usnesení Rady města Pv č. 7428 ze dne 9.5. (čerpání fondů) </t>
  </si>
  <si>
    <t xml:space="preserve">Navýšení na nákup výpočetní techniky - viz výše uvedené usnesení </t>
  </si>
  <si>
    <t>Snížení z důvodu úspory za odběr plynu - žádost schválena OŠKS MMP</t>
  </si>
  <si>
    <t>502/0310</t>
  </si>
  <si>
    <t xml:space="preserve">Navýšení na pokrytí nákladů za stěhovací práce - dětské oddělení </t>
  </si>
  <si>
    <t>518/0510</t>
  </si>
  <si>
    <t xml:space="preserve">Snížení položky, která bude proúčtována ke konci roku 2017 </t>
  </si>
  <si>
    <t>556/0380</t>
  </si>
  <si>
    <t xml:space="preserve">Navýšení na pojistné přívěsného vozíku - dle faktury z MMP </t>
  </si>
  <si>
    <t>549/0300</t>
  </si>
  <si>
    <t>Organizace nemá doplňkovou činnost.</t>
  </si>
  <si>
    <t>8. Plnění opatření z minulého kontrolního dne k výsledkům hospodaření za rok 2016</t>
  </si>
  <si>
    <t>Při kontrolním dnu k výsledkům hospodaření za rok 2016 nebylo organizaci uloženo žádné opatření.</t>
  </si>
  <si>
    <t>1. Organizace na základě schválených usnesení 72. RMP ze dne 9.5.2017 č. 7428 a 23. ZMP ze dne 12. a 13. 6.2017 č. 17118 přidělila trvalým peněžním fondů schválený výsledek hospodaření ve výši 78.082,46 Kč - převod do rezervního fondu. Z toho částka 33.194,- Kč, která byla účelově vázána na nákup výpočetní techniky, byla v měsíci červnu použita na nákup datového úložiště.</t>
  </si>
  <si>
    <t xml:space="preserve">2. Účastníci kontrolního dne zhodnotili hospodaření organizace za 1. pololetí 2017 vyplývající z rozborové zprávy - celkovou činnost Městské knihovny lze hodnotit pozitivně. </t>
  </si>
  <si>
    <t>3. Rozborová zpráva, předložené tabulky a předepsané výkazy - v pořádku, celkové náklady a výnosy jsou čerpány vyrovnaně v souladu s finančním plánem na rok 2017.</t>
  </si>
  <si>
    <t>4. Účastníci kontrolního dne probrali předpokládaný vývoj hospodaření organizace ve 2. pololetí. Bylo konstatováno, že pokud nenastanou nějaké nepředvídané situace nebo havárie, bude se celkové hospodaření</t>
  </si>
  <si>
    <t>vyvíjet pozitivně v souladu se stanoveným plánem na rok 2017.</t>
  </si>
  <si>
    <t>V Prostějově dne 24.7.2017</t>
  </si>
  <si>
    <t>Zapsala: Jana Zatloukalová</t>
  </si>
  <si>
    <t>Schválil: MgA. Aleš Procházka v.r., ředitel Městské knihovny Prostějov</t>
  </si>
  <si>
    <t>MATEŘSKÁ  ŠKOLA  PROSTĚJOV,  MORAVSKÁ  UL.  30 ,  PŘÍSPĚVKOVÁ  ORGANIZACE              IČ :  70982945</t>
  </si>
  <si>
    <t>Nejsou započítány FA k 30.6.2017, zálohov. platby Domovní správy, stavební opravy  při uzavření MŠ-výrazné čerpání</t>
  </si>
  <si>
    <t>Organizace neměla doplňkovou činnost za I. pol. 2017, bude probíhat ve II. pol. 2017.</t>
  </si>
  <si>
    <t>Použití: obnova nábytku, příp. stavební opravy.</t>
  </si>
  <si>
    <t>Použití: oprava schodů a podesty -  8/2017.</t>
  </si>
  <si>
    <t>Případné dokrytí mezd, odměny zaměstnancům.</t>
  </si>
  <si>
    <t>Čerpání dle plánu FKSP  2017.</t>
  </si>
  <si>
    <t>ORGANIZACE   NEMÁ  POHLEDÁVKY  PO
 LHŮTĚ   SPLATNOSTI</t>
  </si>
  <si>
    <t>ORGANIZACE  NEMÁ  ZÁVAZKY  PO
LHŮTĚ  SPLATNOSTI..</t>
  </si>
  <si>
    <t xml:space="preserve">ORGANIZACE V I. POL. 2017  NEOBDRŽELA
ŽÁDNÝ FINANČNÍ  DAR.
</t>
  </si>
  <si>
    <t xml:space="preserve"> Dětské zahradní prvky a vybavení - čerpání finančních darů z předchozích období.</t>
  </si>
  <si>
    <t>Čerpání  RF  - z ostatních titulů (finanční dary).</t>
  </si>
  <si>
    <t>648/0320</t>
  </si>
  <si>
    <t>Pořízení herních prvků na školní zahradu - vláček.</t>
  </si>
  <si>
    <t>Čerpání  RF  -  ZVH.</t>
  </si>
  <si>
    <t>Pořízení herních prvků na školní zahradu - hrad.</t>
  </si>
  <si>
    <t>Čerpání RF - z ostatních titulů (finanční dary).</t>
  </si>
  <si>
    <t>Pořízení herních trvků na školní zahradu - hrad.</t>
  </si>
  <si>
    <t>Čerpání RF - ZVH</t>
  </si>
  <si>
    <t>Úspory na telefonních poplatcích a školení
- nutný přechod na vývojově vyšší technologic.
platformu  SQL.</t>
  </si>
  <si>
    <t>518/0410
518/0390</t>
  </si>
  <si>
    <t>Technické zhodnocení programu EMA</t>
  </si>
  <si>
    <t>549/0330</t>
  </si>
  <si>
    <t>Navýšení neinvestičního příspěvku zřizovatele
na opravu plotu školní zahrady - MŠ MOR.
Usnesení RMP čís. 7561 ze dne 6.06.2017</t>
  </si>
  <si>
    <t>511/0300</t>
  </si>
  <si>
    <t>7. Úpravy finančního plánu příspěvkové organizace v I. pololetí roku 20176 v doplňkové činnosti</t>
  </si>
  <si>
    <t>Úpravy FP organizace v doplňkové činnosti nebyly provedeny.</t>
  </si>
  <si>
    <t>V roce 2016 organizace nepřekročila závazné ukazatele FP, na  KD  k  31.12. 2016 jí nebyly uloženy žádná opatření ani závěry.</t>
  </si>
  <si>
    <t>Organizaci byl ponechán celý ZVH  pro příděl do peněžních fondů.</t>
  </si>
  <si>
    <t xml:space="preserve">Organizace na základě schválených usnesení 72. RMP ze dne 9.5.2017 č. 7428 a 23. ZMP ze dne 12. a 13. 6.2017 č. 17118 přidělila trvalým peněžním fondů schválený výsledek hospodaření ve výši 20 618,85 Kč, a to rezervnímu fondu částku 15 618,85 Kč a fondu odměn částku 5 000,00Kč. Odvod na účet zřizovatele organizaci nebyl uložen. Finanční prostředky přidělené do RF jsou účelově vázány na obnovu dětských šatních skříněk - bude provedeno
 v srpnu 2017.
Příděl do fondů organizace provedla dne 27. 06. 2017.
</t>
  </si>
  <si>
    <r>
      <t xml:space="preserve"> </t>
    </r>
    <r>
      <rPr>
        <b/>
        <sz val="8"/>
        <rFont val="Times New Roman"/>
        <family val="1"/>
        <charset val="238"/>
      </rPr>
      <t xml:space="preserve">Na KD dne 26. 07. 2017  byl ředitelce školy  přidělen úkol  - zajistit cenové nabídky na :
-  generální opravu střechy vč. zateplení,  zateplení  celého pláště budovy,  pořízení požárního schodiště a opravu terasy na MŠ Raisové
- opravu venkovní terasy na MŠ Moravské
Organizace děkuji za zdárný průběh kontrolního dne.
</t>
    </r>
    <r>
      <rPr>
        <b/>
        <sz val="8"/>
        <color rgb="FFFF0000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V Prostějově dne  27. července  2017                                                                                                                                                                                                                PaedDr. Alena Hekalová, ředitelka školy</t>
    </r>
  </si>
  <si>
    <t>Mateřská škola Prostějov, Partyzánská ul.34</t>
  </si>
  <si>
    <t>Komentář k tvorbě průběžného výsledku hospodaření za I. pololetí roku 2017</t>
  </si>
  <si>
    <t>VH  u pol. 511 stav. opravy -plánovány na červenec-srpen.</t>
  </si>
  <si>
    <t>Organizace nemá DČ.</t>
  </si>
  <si>
    <t>Rezervní fond tvořený z HV (účet 413)</t>
  </si>
  <si>
    <t>Posílení FI na nákup herních prvku.</t>
  </si>
  <si>
    <t>Rezervní fond tvořený z ost. tit. (účet 414)</t>
  </si>
  <si>
    <t>Dětský</t>
  </si>
  <si>
    <t>nábytek.</t>
  </si>
  <si>
    <t>Fond investic (účet 416)</t>
  </si>
  <si>
    <t>Nákup herních prvků na zahrady.</t>
  </si>
  <si>
    <t>Ve 2. pololetí na odměny zaměstnanců.</t>
  </si>
  <si>
    <t>Přísp na stravu, penzij.poj.a prac.a živ.v.</t>
  </si>
  <si>
    <t>3. Krátkodobé pohledávky po lhůtě splatnosti</t>
  </si>
  <si>
    <t>Dlužník; způsob vymáhání pohledávky po lhůtě splatnosti (dosavadní/plánovaný)</t>
  </si>
  <si>
    <t>4. Krátkodobé závazky po lhůtě splatnosti</t>
  </si>
  <si>
    <t>Příjemce; způsob úhrady závazku po lhůtě splatnosti (dosavadní/plánovaný)</t>
  </si>
  <si>
    <t>Zakoupení pomůcky - data projektoru.</t>
  </si>
  <si>
    <t>6. Úpravy finančního plánu hlavní činnosti</t>
  </si>
  <si>
    <t>Odpisy, nákup sporáku 12/2016</t>
  </si>
  <si>
    <t>551/300</t>
  </si>
  <si>
    <t>Ost. nákl. z činn. odběr od firem s NP</t>
  </si>
  <si>
    <t>549/300</t>
  </si>
  <si>
    <t>Dotace realizace opravy chodníku</t>
  </si>
  <si>
    <t>672/500</t>
  </si>
  <si>
    <t>Opravy stavební, oprava chodníku MŠ Květná</t>
  </si>
  <si>
    <t>511/310</t>
  </si>
  <si>
    <t>Výnosy, finanční dar</t>
  </si>
  <si>
    <t>648/300</t>
  </si>
  <si>
    <t>Nákl.z drob.dl.majetku dataprojektor</t>
  </si>
  <si>
    <t>558/300</t>
  </si>
  <si>
    <t>Výnosy,za výlet do ZOO a plav.výcvik dětí</t>
  </si>
  <si>
    <t>649/300</t>
  </si>
  <si>
    <t>Ost. Služby, doprava FTL, plav. Výcvik</t>
  </si>
  <si>
    <t>518/500,550</t>
  </si>
  <si>
    <t>7. Organizace nemá úpravy fin.plánu v doplňkové činnosti</t>
  </si>
  <si>
    <t>Organizace měla vázat 25 880,54 Kč na nákup herního prvku na zahradu, vzhledem k rekonstrukci MŠ A. Krále a opravám na MŠ Květná, bude řešit ve 2. pololetí.</t>
  </si>
  <si>
    <t xml:space="preserve">1. Organizace splnila usnesení RMP č. 7428 ze dne 9.5.2017 a usnesení ZMPV 17118 ze dne 12.6.2017 a přidělila zlepšený výsledek hospodaření ve výši 35 880,54 Kč za rok 2016 </t>
  </si>
  <si>
    <t xml:space="preserve">    do Fondu rezervního 25 880,54 Kč a do Fondu odměn 10 000 Kč.</t>
  </si>
  <si>
    <t>2. Organizace bude ve 2.pololetí řešit nákup zahradních prvků zapojením Fondů rezervního a Fondu investic, až po ukončení plánovaných oprav a rekonstrukci.</t>
  </si>
  <si>
    <t>V Prostějově dne 21.7.2017     zapsala   M. Hošťálková</t>
  </si>
  <si>
    <t>Mateřská škola Prostějov, Rumunská ul. 23, příspěvková organizace</t>
  </si>
  <si>
    <t xml:space="preserve">Výši VH ovlivňují neproúčtované záohy za tepelnou energii, které budou jako každý rok proúčtovány až k 31.12.2017. Organizace vycházela z aktuální kalkulace ceny GJ. DS stanoví zálohy vždy vyšší než je skutečnost, organizace nemůže ovlivnit, DS tak postupuje každoročně. Průběžný výsledek hospodaření organizace k 30.6.2017 je ve srovnání s průběžným výsledkem hospodaření organizace k 30 . 6. 2016 nižší o 39 473,00  Kč, v uplynulém období roku 2017 byly nižší nákldy v  položce  č.558 DDHM o 38 282,00 Kč.      
</t>
  </si>
  <si>
    <t>Organizace nemá doplňkovou činnost</t>
  </si>
  <si>
    <t>V uplynulém období RF nebyl čerpán.</t>
  </si>
  <si>
    <t>V uplynulém období byl pořízen el.kotlík do ŠJ. Organizace plánuje využití na pořízení nového herního prvku na školní zahradu.</t>
  </si>
  <si>
    <t>V uplynulém období FO čerpán nebyl.</t>
  </si>
  <si>
    <t>V 1. pol.čerpán dle zásad a plánu organizace (příspěvky na obědy, na kulturní, tělovýchovné nebo rehabilitační akce, dary k výročí).</t>
  </si>
  <si>
    <t>Organizace nemá pohledávky po lhůtě splatnosti</t>
  </si>
  <si>
    <t>Organizace nemá závazky po lhůtě splatnosti</t>
  </si>
  <si>
    <t>Dar rodičovské veřejnosti, účelově nevázaný, vložen na RF.</t>
  </si>
  <si>
    <t>Ponížení pol. 501 -spotřeba materiálu</t>
  </si>
  <si>
    <t>501/0490</t>
  </si>
  <si>
    <t>Navýšení pol. 549 ostatní náklady z činnosti (technické zhodnocení SW)</t>
  </si>
  <si>
    <t>549/033</t>
  </si>
  <si>
    <t>ponížení pol. 511 opravy nehm. Mejetku</t>
  </si>
  <si>
    <t>511/030</t>
  </si>
  <si>
    <t>navýšení položky 549 ostatní náklady z činnosti</t>
  </si>
  <si>
    <t>549/032</t>
  </si>
  <si>
    <t>7. Úpravy finančního plánu příspěvkové organizace v I. pololetí roku 2017  v doplňkové činnosti</t>
  </si>
  <si>
    <t>Na kontroním dni k výsledkům hospodaření za rok 2016 nebyla organizaci uložena žádná zvláštní opatření.</t>
  </si>
  <si>
    <t>1. Organizace na základě schválených usnesení 72. RMP ze dne 9.5.2017 č. 7428 a 23. ZMP ze dne 12. a 13. 6.2017 č. 17118 přidělila trvalým peněžním fondů schválený výsledek hospodaření ve výši 19 412,00 Kč, a to rezervnímu fondu částku 4 412,00 Kč a fondu odměn částku 15 000,00 Kč. 
Dotace od zřizovatele se jeví v současné době jako optimální a nedojde li k havárii či jiné nepředvídané situaci, nebude mít ve druhém pololetí organizace jiné finanční požadavky na rozpočet města Prostějova.</t>
  </si>
  <si>
    <t xml:space="preserve">Organizaci na kontrolním dni k výsledkům hospodaření za 1. pololetí nebyla uložena žádná zvláštní opatření. </t>
  </si>
  <si>
    <t xml:space="preserve">Organizace uspořila v I. pololetí za energie - plyn (provedené EÚO, rekonstrukce kotelny), dále u pravidelných měsíčních nákladů je v nákladech za I. pololetí pouze 5 měsíčních plateB (do doby odezdvání rozborové zprávy faktury nedojdou). Organizace dále uskuteční nákup majetku až v II. pololetí, kdy je v podzimních měsících snažší dovoz i montáž (nemocnost dětí). Organizace má také vyšší výnosy za školné - větší počet platících dětí. </t>
  </si>
  <si>
    <t xml:space="preserve">Výnosy odpovídají předpokladu, odpisy za 6. měsíců (v roce 2016 odpisy až od února), revize a drobné opravy budou provedeny až v II. pololetí. </t>
  </si>
  <si>
    <t xml:space="preserve">Nižší čerpání v položce ONIV. Čerpání proběhne v II. pololetí. </t>
  </si>
  <si>
    <t>Provedené příděl ze ZHV.</t>
  </si>
  <si>
    <t xml:space="preserve">Čerpání - odvod zřizovatel. </t>
  </si>
  <si>
    <t>Vyplacené odměny.</t>
  </si>
  <si>
    <t>Nepřevedený příděl za 6/17.</t>
  </si>
  <si>
    <t xml:space="preserve">Organizace nemá pohledávky po lhůtě splatnosti. </t>
  </si>
  <si>
    <t>...atd….</t>
  </si>
  <si>
    <t xml:space="preserve">Organizace nemá závazky po lhůtě splatnosti. </t>
  </si>
  <si>
    <t>Organizace v I. pololetí nepřijala žádný dar.</t>
  </si>
  <si>
    <t>1. úspora energie</t>
  </si>
  <si>
    <t>1. oprava podlahy</t>
  </si>
  <si>
    <t>511/0310</t>
  </si>
  <si>
    <t>2. odměna z FO</t>
  </si>
  <si>
    <t>521/0301</t>
  </si>
  <si>
    <t>2. výnosy - použití fondu</t>
  </si>
  <si>
    <t>648/0600</t>
  </si>
  <si>
    <t>3. náklady SP</t>
  </si>
  <si>
    <t>524/0301</t>
  </si>
  <si>
    <t>3. náklady ZP</t>
  </si>
  <si>
    <t>524/0311</t>
  </si>
  <si>
    <t>3. výnosy - použití fondu</t>
  </si>
  <si>
    <t>648/0310</t>
  </si>
  <si>
    <t xml:space="preserve">Organizace v I. pololetí neprovedla úpravu FP v doplňkové činnosti. </t>
  </si>
  <si>
    <r>
      <t>1.</t>
    </r>
    <r>
      <rPr>
        <sz val="8"/>
        <rFont val="Times New Roman"/>
        <family val="1"/>
        <charset val="238"/>
      </rPr>
      <t>Organizaci nebyla účastníky kontrolního dne uložena  opatření vyplývajícího z kontrolního dne k výsledkům hospodaření za za rok 2016.</t>
    </r>
  </si>
  <si>
    <t xml:space="preserve">1. Organizace na základě schválených usnesení 72. RMP ze dne 9.5.2017 č. 7428 a 23. ZMP ze dne 12. a 13. 6.2017 č. 17118 přidělila trvalým peněžním fondů schválený výsledek hospodaření ve výši 272 482,81 Kč, a to rezervnímu fondu částku 272 482,81 Kč. Odvod z fondu investic nebyl nařízen. </t>
  </si>
  <si>
    <r>
      <t>2</t>
    </r>
    <r>
      <rPr>
        <sz val="8"/>
        <rFont val="Times New Roman"/>
        <family val="1"/>
        <charset val="238"/>
      </rPr>
      <t>. Jiné závěry, popř. opatření vyplývající z kontrolního dne k výsledkům hospodaření za I. pololtí roku 2017, nebyly uloženy.</t>
    </r>
  </si>
  <si>
    <t>Jana Baarová,ředitelka školy</t>
  </si>
  <si>
    <t>Přesný název a sídlo příspěvkové organizace: Mateřská škola Prostějov, ul. Šárka 4a, 796 01 Prostějov</t>
  </si>
  <si>
    <t>Výsledek hospodaření je tvořen zejména nevyčerpáním finančních prostředků v položce oprav a nákupů DDHM. Opravy se budou provádět hlavně v průběhu měsíce července a srpna 2017 a nákup DDHM bude dle potřeb organizace realizován během druhého pololetí 2017.</t>
  </si>
  <si>
    <t>Doplňkovou činnost organizace nemá.</t>
  </si>
  <si>
    <t>RF má organizace v plánu čerpat na nákup interaktivní tabule.</t>
  </si>
  <si>
    <t>RF z ostatních titulů</t>
  </si>
  <si>
    <t>Jedná se o sponzorské dary.</t>
  </si>
  <si>
    <t>Fond investic organizace použije částkou 100000,00 Kč na opravu kotle výměnou v MŠ Šárka a na dokrytí univerzálního robota do ŠJ Libušinka. Dále převedené prostředky z RF z výsledku hospodaření použije na opravu plotu v MŠ Šárka. K čerpání dojde v červenci 2017.</t>
  </si>
  <si>
    <t>FO bude organizace čerpat v případě potřeby na mimořádné odměny.</t>
  </si>
  <si>
    <t>Fond FKSP organizace čerpá dle směrnice školy na životní pojištění a životní nebo pracovní výročí v souladu s platnou vyhláškou o FKSP. Rozdíl mezi konečným zůstatkem a finančním krytím je způsoben převodem 2% z hrubých mezd a z odvodů pojištění za zaměstnance, které bude na účtu FKSP v červenci 2017.</t>
  </si>
  <si>
    <t>Organizace nemá po splatnosti žádné pohledávky.</t>
  </si>
  <si>
    <t>Organizace nemá po splatnosti žádné závazky.</t>
  </si>
  <si>
    <t>Nákup didaktických her.</t>
  </si>
  <si>
    <t>Navýšení rozpočtu na opravu vnitřního ochozu - MŠ Dvořákova 5</t>
  </si>
  <si>
    <t>Navýšení rozpočtu na opravu vnitřního ochozu - MŠ Dvořákova</t>
  </si>
  <si>
    <t>Oprava Dvořákova 5</t>
  </si>
  <si>
    <t>nečerpáno</t>
  </si>
  <si>
    <t>Organizaci nebyla uložena žádná opatření z kontrolního dne za rok 2016.</t>
  </si>
  <si>
    <t>1. Organizace na základě schválených usnesení 72. RMP ze dne 9.5.2017 č. 7428 a 23. ZMP ze dne 12. a 13. 6.2017 č. 17118 přidělila trvalým peněžním fondům schválený výsledek hospodaření ve výši 184.696,29 Kč, a to rezervnímu fondu celou částku 184.696,29 Kč.  Určenou částku ve výši 184.696,29 Kč z investičního fondu, po předchozím převodu z rezervního fondu, použije organizace na opravu plotu v MŠ Šárka.</t>
  </si>
  <si>
    <t>Zpracovala: Mgr. Iveta Bittnerová, ředitel</t>
  </si>
  <si>
    <t>Dne: 25. 7. 2017</t>
  </si>
  <si>
    <t>Reálné gymnázium a základní škola města Prostějova, Studentská ul. 2; Studentská 2/4, 796 01 Prostějov</t>
  </si>
  <si>
    <t xml:space="preserve">Hospodaření v organizaci probíhá rovnoměrně v souladu s finančním plánem a  v souladu se školním rokem, zejména v nejvýznamějších položkách spotřeba materiálu a výnosy vlastní činnosti (zejména stravování ve školní jídelně –  60,19% plánu). Celkové náklady vzhledem ke zřizovateli jsou plněny na 52,92% finančního plánu. Náklady na hlavní činnost jsou vykazovány ke konci pololetí ve skutečné výši, snížené o náklady oddělené předběžným rozklíčováním do nákladů doplňkové činnosti rozklíčováním na základě stanovených koeficientů. V oblasti oprav a údržby budou všechny větší opravy provedeny v období hlavních prázdnin, proto je čerpání na úrovni pouze 18,36%. V případě dalšího čerpání fondu odměn (odměna ředitele apod.) bude muset být částečně upraven plán na odvody na sociální a zdravotní zabezpečení a kvůli zaměstnancům vzhledem ke zřizovateli budeme žádat i o úpravu na zákonné sociální náklady (lékařské prohlídky, pracovní ochranné oděvy, odvod na FKSP atd.).               
Celkové výnosy (bez příspěvku zřizovatele)  jsou čerpány ve výši 61,20% upraveného finančního plánu. Tyto výnosy jsou ovlivněny především výší stravného a jeho plněním na 60,23%. 
Do konce roku předpokládáme čerpání příspěvku zřizovatele v souladu s finančním plánem, v některých nákladových položkách bude potřeba upravit finanční plán. Výhledově do konce kalendářního roku organizace vystačí se schválenými finančními prostředky od zřizovatele. </t>
  </si>
  <si>
    <t xml:space="preserve">Průběžný výsledek hospodaření je na konci pololetí pouze předběžný. Vytvořen je z výnosů za stravování a z pronájmů po odečtení konkrétních uskutečněných nákladů vztahujících se k jednotlivým druhům pronájmů (materiál a mzdové náklady na úklid v tělocvičné hale) a náklady rozklíčovanými poměrem k hlavní činnosti, zejména energie, služby, opravy, odpisy. Konečné náklady k celkovým pronájmům budou vyčísleny až na konci roku z celkových nákladů organizace a podle nastavených koeficientů. 
Kvůli plánované rekonstrukci povrchu ve velké tělocvičné hale je pravděpodobné a možné, že nastane jedno až dvouměsíční výpadek v tržbách za pronájmy haly TV. Proto některé plánované čerpání nákladů bude odloženo až na podzim (vybrané opravy, pořízení vybavení), podle propadu v tržbách. </t>
  </si>
  <si>
    <t xml:space="preserve">Příděl  ze zlepšeného výsledku hospodaření roku 2016  - usnesení RMP a ZMP: 141.381,20 Kč na účet rezervního fondu 413. Na účet RF 414 přijaté neúčelové dary: 17.000 Kč. Čerpání z účtu 414: z darů 12.200 Kč na žíněnky do školní družiny; 58.396 Kč na pořízení dataprojektoru do výuky a dvou počítačů včetně monitorů pro vedení školy. Prostředky fondu by měly být do konce roku použity zejména na obnovu vybavení ve škole, a to zejména na obnovu ICT, postupně žákovské lavice a židle do tříd, na vybavení kabinetů dle schváleného plánu.  Dále prostředky z fondu rezervního (413) ve výši 120.000 Kč použijeme, v případě schválení RMP,  na převod do fondu investic a dále na financování opravy výtahu ve škole. Na rezervním fondu tvořeném ze zlepšeného výsledku hospodaření (413) je na konci pololetí zůstatek ve výši 145.316,28 Kč a na rezervním fondu tvořeném z ostatních titulů (dary) je zůstatek  ve výši 121.960,74 Kč.
</t>
  </si>
  <si>
    <t xml:space="preserve">Fond investic byl tvořen průběžně odpisy ze stávajícího majetku ve výši 112.002 Kč (6*18.667 Kč) a odpisy z budov, převedených zřizovatelem k hospodaření, a to ve výši 459.138 Kč do konce června  (6*76.523 Kč). Na druhé straně byl zřizovatelem uložen odvod ve výši jedné čtvrtiny ročního odpisu čtvrtletně, o který byl fond investic ponížen. V následujícím období bude z fondu investic potřeba pořídit do školní jídelny průmyslovou velkokapacitní tunelovou myčku, dále je za hranou životnosti sklopná plynová pánev (149 tis. Kč). 
Předpokládané čerpání: po doplnění z rezervního fondu na opravu výtahu celkem 120.000 Kč. 
Výběrové řízení na sklopnou plynovou pánev bylo odloženo na později (původní pánev z roku 2002 je prozatím funkční). 
V případě dostatečného množství finančních prostředků na fondu investic bude vypsáno výběrové řízení na tunelovou myčku na nádobí, kde se pořizovací cena z nabídek pohybuje od 600 tis. do 880 tis. Kč podle vybavenosti. </t>
  </si>
  <si>
    <t xml:space="preserve">K počátečnímu stavu fondu odměn ve výši 72.584 Kč byl dne 9. 5. 2017 usnesením RMP č. 7428 a dne 12.6.2017 usnesením ZMP č. 17118 schválen příděl ze zlepšeného výsledku hospodaření ve výši 30.000 Kč. Tyto prostředky byly čerpány na odměny zaměstnancům a do konce roku ještě budou čerpány. </t>
  </si>
  <si>
    <t xml:space="preserve">Na fond sociální bylo až do června přijato 265.695,98 Kč jako 2% z objemu vyplacených hrubých mezd, na rozdíl od předchozího období, kdy se odvádělo jen 1,5% z hrubých mezd. Z fondu byly v průběhu jara čerpány průběžně příspěvky na stravování v celkové výši 68.002 Kč (7,- Kč na 1 oběd, od 1.5. zvýšen příspěvek na 10 Kč). Společné aktivity zaměstnanců stály 25.686 Kč. Další aktivity hrazené ze sociálního fondu byly zaměřeny na využití sportovní celkem 4.000 Kč. Zaměstnancům byly poskytnuty odměny k životnímu nebo pracovnímu výročí dosud ve výši 5.000 Kč a příspěvek na penzijní, příp. doplňkové penzijní pojištění ve výši 200 Kč měsíčně/1 zaměstnance, který byl od 1.5. 2017 zvýšen na 300 Kč měsíčně. Celkem bylo z fondu vyplaceno na penzijní pojištění 102.900 Kč od počátku roku. Finanční krytí fondu bylo dorovnáno přídělem 2% z červnových mezd, odvodem příspěvku na stravné a na penzijní připojištění za červen a úhradou faktury, splatné po 30.6. 2017.
</t>
  </si>
  <si>
    <t>K datu vydání rozborové zprávy nejsou ve škole pohledávky po lhůtě splatnosti evidovány.</t>
  </si>
  <si>
    <t>K datu vydání rozborové zprávy nejsou ve škole žádné závazky po lhůtě splatnosti  evidovány.</t>
  </si>
  <si>
    <t>Nadace SOVA,Praha; rozvoj žáků reálného gymnázia a základní školy; z toho čerpáno 12.200 Kč na 2  ks žíněnek pro ŠD</t>
  </si>
  <si>
    <t>Ing. Jiří Zajíček, Praha; účely vymezné §20 odst.8 ZDP č. 586/92 Sb. ve znění pozdějších předpisů; zatím nečerpán</t>
  </si>
  <si>
    <t>Navýšení příspěvku zřizovatele  - na pořízení pomůcek pro žáky prvních tříd ve šk. roce 2017/2018;  RMP rozhodnutí č.7491</t>
  </si>
  <si>
    <t>672.0500</t>
  </si>
  <si>
    <t>Spotřeba materiálu  -  spotřební materiál pro žáky 1. tříd</t>
  </si>
  <si>
    <t>501.0330</t>
  </si>
  <si>
    <t xml:space="preserve">Ostatní výnosy z činnosti - navýšení o úsporu z úroků (výnosy ze sběru, náhrady od fyz. osob, od pojišťovny)  </t>
  </si>
  <si>
    <t>649.0320</t>
  </si>
  <si>
    <t>Daně - srážková daň z úroku na bankovních účtech  a daň z příjmu PO (230 Kč)</t>
  </si>
  <si>
    <t>591.0300</t>
  </si>
  <si>
    <t>Cestovné - pro žáky na turnaje a sportovní utkání, hrazené ze sběru</t>
  </si>
  <si>
    <t>512.0318</t>
  </si>
  <si>
    <t>Čerpání fondů - posílení čerpání fondu rezervního - dary 2017</t>
  </si>
  <si>
    <t>648.0300</t>
  </si>
  <si>
    <t>Pořízení DDHM z darů 2017 na rezervním fondu</t>
  </si>
  <si>
    <t>558.0300</t>
  </si>
  <si>
    <t xml:space="preserve">Pořízení DDHM - obměna ICT, nákup noteboků - snížení položky ve  prospěch revitalizace počítačů v MMU </t>
  </si>
  <si>
    <t>Ostatní náklady z činnosti - technické zhodnocení 30 ks počítačů v učebně MMU</t>
  </si>
  <si>
    <t>549.0320</t>
  </si>
  <si>
    <t>Prodaný materiál - čipy - snížení položky z důvodu vyřazení 37 ks</t>
  </si>
  <si>
    <t>544.0300</t>
  </si>
  <si>
    <t>Ostatní náklady z činnosti - likvidace poškozených čipů (37 ks)</t>
  </si>
  <si>
    <t>Výnosy z prodeje služeb - stravné - navýšení - akce Sokolské župy 28.5.</t>
  </si>
  <si>
    <t>602.0001</t>
  </si>
  <si>
    <t xml:space="preserve">Výnosy z prodeje služeb - kurz keramika </t>
  </si>
  <si>
    <t>602.0035</t>
  </si>
  <si>
    <t xml:space="preserve">Mzdové náklady - OON ve ŠJ </t>
  </si>
  <si>
    <t>521.0032</t>
  </si>
  <si>
    <t xml:space="preserve">Mzdové náklady - OON kurz keramiky </t>
  </si>
  <si>
    <t>521.0035</t>
  </si>
  <si>
    <t xml:space="preserve">Daně - zaplacená daň z příjmu PO za rok 2016 (230 Kč)  </t>
  </si>
  <si>
    <t>Výnosy z pronájmu - posílení na úkor daně z příjmu</t>
  </si>
  <si>
    <t>603.0001</t>
  </si>
  <si>
    <t xml:space="preserve">1. RMP a ZMP schválilo ponechání části výsledku hospodaření ve výši 171.381,20 Kč organizaci pro příděl do peněžních fondů organizace a na základě závěru z kontrolního dne následovně: do rezervního fondu bylo schváleno převést 141.381,20 Kč a do fondu odměn částku ve výši 30.000,00 Kč.
</t>
  </si>
  <si>
    <t xml:space="preserve">1. Organizace na základě schválených usnesení 72. RMP ze dne 9.5.2017 č. 7428 a 23. ZMP ze dne 12. a 13. 6.2017 č. 17118 přidělila trvalým peněžním fondů schválený výsledek hospodaření ve výši 171.381,20 Kč, a to rezervnímu fondu částku 141.381,20 Kč a fondu odměn částku 30.000 Kč. Tento příděl organizace provedla k datu 28.6.2017. </t>
  </si>
  <si>
    <t>Příspěvková organizace: Základní škola Prostějov, ul. Dr. Horáka 24</t>
  </si>
  <si>
    <t>HV v 1. pololetí r. 2017 je aktuální stav, který umožňuje další čerpání nákladů na opravy.</t>
  </si>
  <si>
    <t>HV v DČ odpovídá předpokladu na 1. pololetí r. 2017.</t>
  </si>
  <si>
    <t>Tvořen dary, kladným HV za rok 2016. Čerpání - odvod zřizovateli.</t>
  </si>
  <si>
    <t>Čerpán na opravy.</t>
  </si>
  <si>
    <t>Čerpán na odměnu ředitelce školy.</t>
  </si>
  <si>
    <t>Rozdíl je způsoben zpracováním mezd a vyúčtováním příspěvku na stravné zamců za červen 2017.</t>
  </si>
  <si>
    <t>194/0302 - opravné položky k odběratelům (děti Erlichovy)</t>
  </si>
  <si>
    <t xml:space="preserve">Celková výše dluhu za stravné dětí Erlichových je 2.421 Kč, vymáháno písemně, po konzultaci s MaMPV a ustanovení škodní komise odepisováno, již odepsáno 1.533,60 Kč. </t>
  </si>
  <si>
    <t>nejsou</t>
  </si>
  <si>
    <t>Nadace SOVA - nábytek ŠD.</t>
  </si>
  <si>
    <t>Dar nadace Women for women (obědy pro děti - deti Sedlákovy)</t>
  </si>
  <si>
    <t>Dar SRPŠ - vstupenky na divadelní představení "Dívčí válka".</t>
  </si>
  <si>
    <t>Navýšení finančního plánu - nadace SOVA. RMP usnesení č. 7150 ze dne 7.2.2017</t>
  </si>
  <si>
    <t>648 0880</t>
  </si>
  <si>
    <t>31.3.2017</t>
  </si>
  <si>
    <t>558 0880</t>
  </si>
  <si>
    <t>Čerpání IF. RMP usnesení č. 61024 ze dne 8.11.2016</t>
  </si>
  <si>
    <t>511 0880</t>
  </si>
  <si>
    <t>Projekt WOMEN FOR WOMEN. Souhlas zřizovatele 18.7.2016 Mgr. Petr Ivánek</t>
  </si>
  <si>
    <t>602 0880</t>
  </si>
  <si>
    <t>1.4.2017</t>
  </si>
  <si>
    <t>12.5.2017</t>
  </si>
  <si>
    <t>Navýšení neinvestičního příspěvku. RMP usnesení č. 7494 ze dne 23.5.2017</t>
  </si>
  <si>
    <t>672 0880</t>
  </si>
  <si>
    <t>5.6.2017</t>
  </si>
  <si>
    <t>501 0880</t>
  </si>
  <si>
    <t>Navýšení neinvestičního příspěvku. RMP usnesení č. 7491 ze dne 23.5.2017</t>
  </si>
  <si>
    <t>6.6.2017</t>
  </si>
  <si>
    <t>Převod mezi nákladovými účty. Oznámeno zřizovateli.</t>
  </si>
  <si>
    <t>28.6.2017</t>
  </si>
  <si>
    <t>502 0880</t>
  </si>
  <si>
    <t>Projekt WOMEN FOR WOMEN. RMP usnesení č. 7625 ze dne 27.6.2017</t>
  </si>
  <si>
    <t>27.6.2017</t>
  </si>
  <si>
    <t>30.6.2017</t>
  </si>
  <si>
    <t>Finanční dar SRPŠ. RMP usnesení č. 7626 ze dne 27.6.2017</t>
  </si>
  <si>
    <t>Důvod úpravy (textově popsáno)</t>
  </si>
  <si>
    <t>999/9999</t>
  </si>
  <si>
    <t>DD.MM.RRRR</t>
  </si>
  <si>
    <r>
      <t xml:space="preserve">atd. </t>
    </r>
    <r>
      <rPr>
        <sz val="8"/>
        <color rgb="FFFF0000"/>
        <rFont val="Times New Roman"/>
        <family val="1"/>
        <charset val="238"/>
      </rPr>
      <t>Důvod úpravy (textově popsáno)</t>
    </r>
  </si>
  <si>
    <t>Organizaci byl uložen odvod zřizovateli za nevyčerpané finanční prostředky za vedení zájmových kroužků. RMP rozhodla odvést kladný HV za rok 2016.</t>
  </si>
  <si>
    <t>1. Organizace na základě schválených usnesení 72. RMP ze dne 9.5.2017 č. 7428 a 23. ZMP ze dne 12. a 13. 6.2017 č. 17118 přidělila trvalým peněžním fondů schválený výsledek hospodaření ve výši 18.395,37 Kč, a to rezervnímu fondu částku 18.395,37 Kč, následně převést do fondu investičního.  Určenou částku ve výši 18.395,37 Kč odvedla z rezervního fondu, na účet zřizovatele dne 26.6.2017.</t>
  </si>
  <si>
    <t>2. Uvést stručně ostatní závěry, popř. opatření vyplývající z kontrolního dne k výsledkům hospodaření za I. pololtí roku 2017, pokud byly řešeny</t>
  </si>
  <si>
    <t>… atd. … Uvést stručně ostatní závěry, popř. opatření vyplývající z kontrolního dne k výsledkům hospodaření za I. pololtí roku 2017, pokud byly řešeny</t>
  </si>
  <si>
    <t>Poznámka:</t>
  </si>
  <si>
    <t>Červené texty nahradit vlastním komentářem</t>
  </si>
  <si>
    <t>Základní škola a mateřská škola Jana Železného Prostějov, Sídliště svobody 3578/79</t>
  </si>
  <si>
    <t>Komentář k tvorbě průběžného výsledku hospodaření za I. pololetí roku 2016</t>
  </si>
  <si>
    <t>VH je tvořen z dotace zřizovatele, náklady budou čerpány v měsíci 7-8/2017.</t>
  </si>
  <si>
    <t xml:space="preserve">VH-jedná se převážně o zisk z pronájmů, a zisk z poskytnuté stravy pro ostatní subjekty. </t>
  </si>
  <si>
    <t>Průběžný výsledek hospodaření v hlavní činnosti ve vztahu ke zřizovateli je ve výši 1 321 484,10 Kč. Je to dáno systémem účtování přijatých dotací, které jsou účtovány do výnosů. Náklady</t>
  </si>
  <si>
    <t>budou čerpány během měsíců července a srpna 2017.</t>
  </si>
  <si>
    <t>Finanční krytí fondů k 30.6.2016 v Kč</t>
  </si>
  <si>
    <t>Rezervní fond tvořený ZVH (účet413)</t>
  </si>
  <si>
    <t>Použití RF na nákup notebooku</t>
  </si>
  <si>
    <t>Rezevní fond tvořený z ostat.titulů (účet414)</t>
  </si>
  <si>
    <t>Použití RF z přijatých darů</t>
  </si>
  <si>
    <t>Odvod odpisů z budov zřizovateli =čerpání fondu</t>
  </si>
  <si>
    <t>RMP schválila finanční odměnu z FO= čerpání</t>
  </si>
  <si>
    <t>Rozdíl je tvořen nepřeved.částkou -tvorba FKSP 6/2017 a nesplacenými půjčakami zaměstnanců a nepřevedeným příspěvkem na obědy.</t>
  </si>
  <si>
    <t>Využití Investičního fondu :</t>
  </si>
  <si>
    <t>Technické zhodnocení výtahů v mateřské škole   :   600 000.- Kč</t>
  </si>
  <si>
    <t>Nákup průmyslové myčky nádobí pro ZŠ:</t>
  </si>
  <si>
    <t xml:space="preserve">   782 000.- Kč</t>
  </si>
  <si>
    <t>Nákup vybavení pro 2 ŠJ:</t>
  </si>
  <si>
    <t xml:space="preserve">   510 000.- Kč</t>
  </si>
  <si>
    <t>315/0300 Pohledávky-stravné ŠJ</t>
  </si>
  <si>
    <t>Müller Nicholas</t>
  </si>
  <si>
    <t>Pohledávky byly předány Okresnímu soudu, uhrazeny soudní poplatky a po konzultace s právničkou finan. Odboru Mgr. Lešanskou předány</t>
  </si>
  <si>
    <t>Müllerová Helena</t>
  </si>
  <si>
    <t>advokátní kanceláři Klapka k dalším právním úkonům.Přetrvává řešení pohledávek po lhůtě splatnosti.</t>
  </si>
  <si>
    <t>Dle sdělení advokátní kanceláře je vše v řešení exek. úřadu- exek. příkaz k prodeji movitých věcí povinné.</t>
  </si>
  <si>
    <t>Dne 3. 7. 2017 byl dán souhlas řídícím odborem k odepsání pohledávky v plné výši. Účetně bude řešeno v měsíci červenec 2017.</t>
  </si>
  <si>
    <t>Přijato v roce 2016 (Kč)</t>
  </si>
  <si>
    <t>Čerpáno v roce 2016 (Kč)</t>
  </si>
  <si>
    <t>Peněžitý dar účelově neurčený, během I. pololetí 2017 plně vyčerpán na nákup učebních pomůcek.</t>
  </si>
  <si>
    <t>Navýšení neinvestičního příspěvku -usnesení</t>
  </si>
  <si>
    <t>501/0700</t>
  </si>
  <si>
    <t>513/0700</t>
  </si>
  <si>
    <t>RMP č. 7117-Projekt Zdravé Město</t>
  </si>
  <si>
    <t>672/0500</t>
  </si>
  <si>
    <t>RMP č. 7394 - oprava pískoviště,oprava bezdrátové</t>
  </si>
  <si>
    <t>sítě</t>
  </si>
  <si>
    <t>RMP č. 7496</t>
  </si>
  <si>
    <t>Oprava WC v MŠ, nákup nábytku pro 1. třídu.</t>
  </si>
  <si>
    <t>501/0430</t>
  </si>
  <si>
    <t>501/0333</t>
  </si>
  <si>
    <t>RMP č. 7491-pomůcky pro žáky 1.tříd</t>
  </si>
  <si>
    <t>Navýšení neinvestičního příspěvku - usnesení</t>
  </si>
  <si>
    <t>RMP č. 7559</t>
  </si>
  <si>
    <t>oprava chodníků v MŠ</t>
  </si>
  <si>
    <t>RMP č. 7627</t>
  </si>
  <si>
    <t>oprava podlah v malé tělocvičně v ZŠ</t>
  </si>
  <si>
    <t>Čerpání FO- dle usnesení RMP č.7615</t>
  </si>
  <si>
    <t>648/0610</t>
  </si>
  <si>
    <t>Posílení nákl. Účtu Cestovné -úhrady zahran.</t>
  </si>
  <si>
    <t>501/0330</t>
  </si>
  <si>
    <t>stravného při výměnném pobytu</t>
  </si>
  <si>
    <t>512/0300</t>
  </si>
  <si>
    <t>Úspora náklad.účtu 549 a posílení nákl. Účtu 518</t>
  </si>
  <si>
    <t>pro úhradu nákladů spojených s VZMR</t>
  </si>
  <si>
    <t xml:space="preserve">Použití RF-ostatní zdroje - sponzorský dar </t>
  </si>
  <si>
    <t>648/0350</t>
  </si>
  <si>
    <t>nákup učební pomůcky</t>
  </si>
  <si>
    <t>558/0800</t>
  </si>
  <si>
    <t>použití RF-financová nákladů -nákup notebook</t>
  </si>
  <si>
    <t>1. Nadále spolupracovat s právníkem FO a řešit   vymáhámí pohledávek po lhůtě splatnosti.</t>
  </si>
  <si>
    <t xml:space="preserve">1. Organizace na základě schválených usnesení 72. RMP ze dne 9.5.2017 č. 7428 a 23.ZMP ze dne 12. a 13. 6. 2017 č. 17118 přidělila trvalým peněžním fondům schválený výsledek hospodaření </t>
  </si>
  <si>
    <t xml:space="preserve">ve výši 116 610,15 Kč, a to rezervnímu fondu částku 106 610,15 Kč a fondu odměn částku 10 000,00 Kč. </t>
  </si>
  <si>
    <t>2. Účetně provést vyřazení pohledávky po lhůtě splatnosti - sourozenci Müllerovi.</t>
  </si>
  <si>
    <t>V Prostějově 26.7.2017</t>
  </si>
  <si>
    <t>Jan Krchňavý</t>
  </si>
  <si>
    <t>ředitel školy</t>
  </si>
  <si>
    <t>Tesaříková</t>
  </si>
  <si>
    <t>Základní škola a mateřská škola Prostějov, Kollárova 4, 796 01 Prostějov, IČO 47922494</t>
  </si>
  <si>
    <t>Z důvodu dokrytí ztráty z roku 2016 organizace provádí úsporná opatření, zejména v položkách materiál a opravy</t>
  </si>
  <si>
    <t>HV ovlivněn neproúčtovanými náklady týkající se pronájmu tělocvičny. Propočet bude proveden dle skutečnosti k 31.12.</t>
  </si>
  <si>
    <t>finanční krytí na BÚ</t>
  </si>
  <si>
    <t>rozdíl 27.479 Kč - tvorba z mezd, převod v 7/2017</t>
  </si>
  <si>
    <t>Organizace neeviduje pohledávky po lhůtě splatnosti.</t>
  </si>
  <si>
    <t>Organizace neeviduje závazky po lhůtě splatnosti.</t>
  </si>
  <si>
    <t>dar na stravu žáků od společnosti WOMEN FOR WOMEN, vyúčtování bude provedeno k 31.8.</t>
  </si>
  <si>
    <t>dar KPŠ na dopravu žáků - školní výlet</t>
  </si>
  <si>
    <t>navýšení neinvestičního příspěvku na provoz - oprava sociálního zařízení</t>
  </si>
  <si>
    <t>navýšení položky stavební opravy - oprava sociálního zařízení</t>
  </si>
  <si>
    <t>navýšení položky ostatní náklady - TZ nemovitého majetku (zabudování ventilátoru)</t>
  </si>
  <si>
    <t>549/0310</t>
  </si>
  <si>
    <t>ponížení položky materiál (OEM) - úsporná opatření</t>
  </si>
  <si>
    <t xml:space="preserve">navýšení neinvestičního příspěvku na provoz - učební pomůcky pro I.třidu </t>
  </si>
  <si>
    <t>navýšení položky materiál - učební pomůcky pro I.třídu</t>
  </si>
  <si>
    <t>501/0342</t>
  </si>
  <si>
    <t>navýšení položky cestovné - cestovní náhrady ostatní (porady)</t>
  </si>
  <si>
    <t>512/0310</t>
  </si>
  <si>
    <t>navýšení položky zúčzování fondů - finanční dar KPŠ na dopravu žáků (školní výlet)</t>
  </si>
  <si>
    <t>navýšení položky služby - doprava žáků na školní výlet</t>
  </si>
  <si>
    <t>518/0500</t>
  </si>
  <si>
    <t>navýšení položky mzdy (doplatek ÚP)</t>
  </si>
  <si>
    <t>navýšení položky sociální pojištění (doplatek ÚP)</t>
  </si>
  <si>
    <t>navýšení položky zdravotní pojištění (doplatek ÚP)</t>
  </si>
  <si>
    <t>30.6.2017.</t>
  </si>
  <si>
    <t>navýšení položky základní sociální náklady</t>
  </si>
  <si>
    <t>ponížení položky materiál na opravy - úsporná opatření</t>
  </si>
  <si>
    <t>501/0460</t>
  </si>
  <si>
    <t>navýšení položky tržby vlastní - školení ICT</t>
  </si>
  <si>
    <t>602/0040</t>
  </si>
  <si>
    <t>navýšení položky služby - školení ICT</t>
  </si>
  <si>
    <t>518/0090</t>
  </si>
  <si>
    <t>Vzniklá ztráta za rok 2016 bude pokryta finančními prostředky určených na provoz roku 2017. Z tohoto důvodu organizace provádí úsporná opatření o to zejména v položkách materiál a opravy.</t>
  </si>
  <si>
    <t>1. Organizace na základě schválených usnesení 72. RMP ze dne 9.5.2017 č. 7428 a 23. ZMP ze dne 12. a 13. 6.2017 č. 17118 přidělila trvalým peněžním fondů schválený výsledek hospodaření ve výši 0,00 Kč.</t>
  </si>
  <si>
    <t>Organizace provede opravu Přílohy č.1 - Schválený roční plán a srovnatelná skutečnost 2016 ve vztahu ke zřizovateli. Tyto údaje budou rovněž opraveny ve "Zprávě o hospodaření organizace za I.pololetí 2017".</t>
  </si>
  <si>
    <r>
      <t xml:space="preserve">Projevilo se </t>
    </r>
    <r>
      <rPr>
        <u/>
        <sz val="8"/>
        <rFont val="Times New Roman"/>
        <family val="1"/>
        <charset val="238"/>
      </rPr>
      <t>vyšší plnění</t>
    </r>
    <r>
      <rPr>
        <sz val="8"/>
        <rFont val="Times New Roman"/>
        <family val="1"/>
        <charset val="238"/>
      </rPr>
      <t xml:space="preserve"> u výnosů z činnosti (70,46 %). Je to způsobeno tím, že poplatky za ŠD jsou v 1. pololetí za 6 měsíců a ve 2. pololetí budou jen za 4 měsíce. Dále jsme přijali 625,- Kč od žáků za zničené učebnice a 629,- Kč za železný šrot. Čerpali jsme rezervní fond (10.224,- Kč) a přijali věcný dar v hodnotě 10.000,- Kč. Nepatrně vyšší je plnění mzdových nákladů (53,10 %), což je zapříčiněno tím, že se platily dohody pro vedoucí zájmových kroužků za 6 měsíců a ve 2. pololetí již opět jen za 4 měsíce. Správci hřiště jsme byli nuceni zvýšit minimální hodinovou mzdu. Zákonné a jiné sociální náklady (56,63 %) - příplatky na stravování zaměstnanců jsme plánovali ve výši 31.000,- Kč a zatím jsme do května utratili 20.120,- Kč. Díky hlavním prázdninám a Vánocům (kdy se zaměstnanci nestravují) nám plánovaná částka zřejmě postačí. Ostatní náklady z činnosti - 60,60 % plnění FP - jedná se o pojištění, které se hradí 1x ročně. Naopak </t>
    </r>
    <r>
      <rPr>
        <u/>
        <sz val="8"/>
        <rFont val="Times New Roman"/>
        <family val="1"/>
        <charset val="238"/>
      </rPr>
      <t>nižší plnění</t>
    </r>
    <r>
      <rPr>
        <sz val="8"/>
        <rFont val="Times New Roman"/>
        <family val="1"/>
        <charset val="238"/>
      </rPr>
      <t xml:space="preserve"> je u oprav a udržování  (7,69 %) zapříčiněno tím, že veškeré opravy a malování směřujeme na období hlavních prázdnin, kdy se bude provádět hlavně oprava stupaček na WC. Proběhne údržba klimatizace, vzduchotechniky a výtahu. Navíc nevzniklo mnoho problémů, které by se musely řešit dodavatelsky.  Kč. Zákonné a jiné sociální pojištění  - nižší čerpání (33,11 % FP)  je způsobeno tím, že správce hřiště nastoupil až 1.4.2017, pracovní smlouvu má do 31.12.2017, pracuje přes prázdniny, čerpání bude na 100 % FP.  V porovnání se stejným obdobím roku 2016 je průběžný výsledek hospodaření v hlavní činnosti nepatrně vyšší, což je převážně způsobeno malým čerpání v položce oprav a údržby. </t>
    </r>
  </si>
  <si>
    <t>Neevidujeme pohledávky po lhlůtě splatnosti.</t>
  </si>
  <si>
    <t>Neevidujeme závazky po lhůtě splatnosti.</t>
  </si>
  <si>
    <t>Finanční dar Nadace SOVA na materiální vybavení školních družin.</t>
  </si>
  <si>
    <t>Věcný dar - spotřební materiál do výtvarných činností ve školní družině.</t>
  </si>
  <si>
    <t>finanční dar Nadace SOVA</t>
  </si>
  <si>
    <t>schválené čerpání rezervního fondu</t>
  </si>
  <si>
    <t>501/0360</t>
  </si>
  <si>
    <t>RMP dne 7.2.2017 usnesením č. 7150 schválila přijetí finančního daru od Nadace SOVA a zároveň doporučila použití na materiální vybavení školních družin.</t>
  </si>
  <si>
    <t>přijetí věcného daru od dárce Smíšené zboží PAJA</t>
  </si>
  <si>
    <t>649/0310</t>
  </si>
  <si>
    <t>spotřební materiál do výtvarných šinností ŠD</t>
  </si>
  <si>
    <t>RMP dne 23.5.2017 usnesením č. 7488 vyslovila souhlas s přijetím věcného daru - spotřební materiál do výtvarných činností ve školní družině (barvy, pastelky, papíry, štětce apod.).</t>
  </si>
  <si>
    <t>navýšení neinvestičního příspěvku</t>
  </si>
  <si>
    <t>pořízení pomůcek pro žáky 1. třídy ve šk. roce 2017/2018</t>
  </si>
  <si>
    <t>RMP usnesením č. 7491 ze dne 23.5.2017 schválila navýšení neinvestičního příspěvku na pořízení pomůcek pro žáky 1. třídy ve šk. roce 2017/2018.</t>
  </si>
  <si>
    <t>drobný dlouhodobý majetek</t>
  </si>
  <si>
    <t>operaticní evidence majetku hmotného (účet 902)</t>
  </si>
  <si>
    <t>Organizace měla schválený nákup DDHM ve výši 17.000,- Kč. Měl být pořízen nerez vozík do výdejny stravy a křovinořez. Protože se nám podařilo zakoupit nerez vozík výrazně levnější, bylo možné zakoupit potřebné 2 gastronádoby a nerez nástavec na stůl na odkládání příborů.</t>
  </si>
  <si>
    <r>
      <rPr>
        <b/>
        <sz val="10"/>
        <color theme="1"/>
        <rFont val="Times New Roman"/>
        <family val="1"/>
        <charset val="238"/>
      </rPr>
      <t>Komentář:</t>
    </r>
    <r>
      <rPr>
        <sz val="9"/>
        <color theme="1"/>
        <rFont val="Times New Roman"/>
        <family val="1"/>
        <charset val="238"/>
      </rPr>
      <t xml:space="preserve">  Upravovat finanční plán zatím nebudeme, protože už v 1. pololetí se mnoho nájemců předčasně odhlašovalo. Smlouvy jsme měli uzavřené do 30.6.2017, další budeme uzavírat podle zájmu od září.</t>
    </r>
  </si>
  <si>
    <t>Na kontrolním dni k výsledkům hospodaření za rok  2016 nevyplynula pro naši organizaci žádná opatření.</t>
  </si>
  <si>
    <t>1. Organizace na základě schválených usnesení 72. RMP ze dne 9.5.2017 č. 7428 a 23. ZMP ze dne 12. a 13. 6.2017 č. 17118 přidělila trvalým peněžním fondům schválený výsledek hospodaření ve výši 62.730,56 Kč, a to rezervnímu fondu částku 62.730,56 Kč.  Určenou částku ve výši 43.355,- Kč odvedla z investičního fondu, po předchozím převodu z rezervního fondu, na účet zřizovatele dne 27.06.2017.</t>
  </si>
  <si>
    <t>Prostějov 20. 7. 2017</t>
  </si>
  <si>
    <t>Mgr. Martina Rozsypalová</t>
  </si>
  <si>
    <t>ředitelka školy</t>
  </si>
  <si>
    <t>Základní škola a mateřská škola Prostějov, Melantrichova ul. 60, příspěvková organizace</t>
  </si>
  <si>
    <t xml:space="preserve">Jedná se o aktuální výši nevyčerpaného příspěvku na provoz, jenž bude čerpán v následující polovině roku v souladu s finančním plánem organizace. Struktura výnosů koresponduje s předmětem hlavní činnost, kterým je výchova a vzdělávání. </t>
  </si>
  <si>
    <t>Výsledek hospodaření tvoří rozdíl mezi výnosy z pronájmu a náklady za spotřebu energií, který byly zaúčtovány dohadnou položkou ve výši předpokládané spotřeby</t>
  </si>
  <si>
    <t>Rezevní fond tvořen převedením výsledku hospodaření z roku 2016. Předpokládáme využití rezervního fondu pro další rozvoj činnosti. Schváleno bylo čerpání rezervního fondu ve výši 124.000 Kč na vybavení školní družiny. Proběhne v 2.pol.2017. Předpokládá se další nákup vybavení do konce roku 2017 za 150 tis. Kč</t>
  </si>
  <si>
    <t>Fond investic tvořen z odpisů. Čerpání ve výši uloženého odvodu zřizovatelem.</t>
  </si>
  <si>
    <t xml:space="preserve">Fond odměn byl tvořen přídělem z výsledku hospodaření z roku 2016. </t>
  </si>
  <si>
    <t xml:space="preserve">Čerpání a tvorba fondu v souladu s legislativou. Rozdíl mezi finančním a účetním stavem je způsoben časovým nesouladem mezi zaúčtováním a fyzickým převodem finančních prostředků. </t>
  </si>
  <si>
    <t>Dary nebyly přijaty</t>
  </si>
  <si>
    <t>účelový příspěvek na pomůcky pro žáky 1. třídy</t>
  </si>
  <si>
    <t>zatím nebylo účtováno výsledkově</t>
  </si>
  <si>
    <t>23.05.2017</t>
  </si>
  <si>
    <t>neinvestiční příspěvek na opravu plotu</t>
  </si>
  <si>
    <t>06.06.2017</t>
  </si>
  <si>
    <t>navýšení položky zákonné odvody (refinancování ÚP)</t>
  </si>
  <si>
    <t>524/0300, 5240310</t>
  </si>
  <si>
    <t>30.06.2017</t>
  </si>
  <si>
    <t xml:space="preserve">navýšení položky dotace ÚP </t>
  </si>
  <si>
    <t>672/0301</t>
  </si>
  <si>
    <t>snížení položky nákladů (ostatní služby)</t>
  </si>
  <si>
    <t>518/0300-518/0310</t>
  </si>
  <si>
    <t>navýšení položky nákladů (technické zhodnocení do 40 tis. Kč)</t>
  </si>
  <si>
    <t>549/0320</t>
  </si>
  <si>
    <t>navýšení nákladů na spotřebu materiálu</t>
  </si>
  <si>
    <t>501/0010 - 501/0170</t>
  </si>
  <si>
    <t>navýšení nákladů - ostatní služby</t>
  </si>
  <si>
    <t>518/0001 - 501/0160</t>
  </si>
  <si>
    <t>navýšení nákladu - mzdové náklady</t>
  </si>
  <si>
    <t>521/0033</t>
  </si>
  <si>
    <t>navýšení nákladů - zákoonné a jiné sociální náklady</t>
  </si>
  <si>
    <t>524/001,524/0010, 525/0001, 527/0001</t>
  </si>
  <si>
    <t>navýšení náklad - odpisy</t>
  </si>
  <si>
    <t>551/0100</t>
  </si>
  <si>
    <t>1. Přepočet školného v MŠ byl proveden.</t>
  </si>
  <si>
    <t>2. Čerpání rezervního fondu průběžně probíhá.</t>
  </si>
  <si>
    <t>3. Oprava sociálního zařízení pro pedagogické pracovníky a pracovníky správy bude provedeno o prázdninách - opatření pokračuje.</t>
  </si>
  <si>
    <t>4. Nákup nábytku do sborovny  - opatření pokračuje</t>
  </si>
  <si>
    <t>5. Kalkulace nákladů na opravu plotu byla provedena.</t>
  </si>
  <si>
    <t>6. Vybavení školní družiny bude pořízeno o prázdninách.</t>
  </si>
  <si>
    <t xml:space="preserve">1. Organizace na základě schválených usnesení 72. RMP ze dne 9.5.2017 č. 7428 a 23. ZMP ze dne 12. a 13. 6.2017 č. 17118 přidělila trvalým peněžním fondů schválený výsledek hospodaření ve výši 160 966,72 Kč, a to rezervnímu fondu částku 140 966,72 Kč a fondu odměn částku 20.000,00 Kč.  </t>
  </si>
  <si>
    <t>2. Pokračuje průběžné čerpání rezervního fondu. Pokačujícím úkolem je nákup nábytku do sborovny, oprava sociálního zařízení pro pedaogické pracovníky a správní zaměstnance, vybavení školní družiny.</t>
  </si>
  <si>
    <t>3. Bude provedena nátěr zábradlí ve vstupu do 1.patra ZŠ, výměna dveří v TV.</t>
  </si>
  <si>
    <t xml:space="preserve">VH ovlivnily přijaté finance na pomůcky pro 1. třídy a na opravy zídky a plotu v celkové výši 397.000,- Kč, dále nízké čerpání na položce nákupy OEM a DDHM. VH je také ovlivněn vyššími příjmy za MŠ a ŠD, 1. pololetí vybíráme poplatky za 6 měsíců, v následujícím měsíce 4. </t>
  </si>
  <si>
    <t>VH je vyšší oproti plánu, protože jsme více pronajímali tělocvičnu o víkendech.</t>
  </si>
  <si>
    <t>Fond odměn byl posílen o 20.000,- Kč ze zlepšeného VH za rok 2016; čerpání fondu: v 1. pololetí nebylo.</t>
  </si>
  <si>
    <t>Fond FKSP</t>
  </si>
  <si>
    <t>Fond FKSP je tvořen povinnými příděly = 229.717,- Kč; částka 79.160,- Kč byla použita jako příspěvek na obědy zaměstnanců (výše 20,- Kč za jeden oběd/stravenku), dále na občerstvení ke Dni učitelů a exkurzi pro zaměstnance ve výši 27.099,- Kč; rozdíl mezi účetním a finančním stavem na fondu vznikl povinným přídělem za 06/2017 ve výši 40.289,- Kč.</t>
  </si>
  <si>
    <t>Rezervní fond tvořený ze zlepšeného VH byl posílen o 93.660,33 Kč jako zlepšený VH r. 2016; čerpání fondu: nebylo.Rezervní fond z ostatních titulů byl posílen o částku 5.192,- Kč jako dar nadace Women for Women na Obědy pro děti Kaprálovy; čerpání fondu ve výši: 5.060,- Kč na Obědy pro děti (nedočerpání daru bude vráceno ve výši 132,- Kč v měsíci 07/2017), dále bylo převedeno 10.576,87 Kč jako dotace ÚZ 33063 Projekt Pojďme se vzdělávat společně - nedočerpaná dotace v roce 2016.</t>
  </si>
  <si>
    <t>Fond reprodukce majetku, investiční fond</t>
  </si>
  <si>
    <t>Fond investic je tvořen odpisy ve výši 496.618,- Kč; čerpání fondu ve výši 554.876,- Kč bylo nařízeným odvodem zpět zřizovateli a použitím fondu na výrobu a montáž zábradlí na našich budovách (schváleno RM č.6858/2016) ve výši 96.662,- Kč jako technické zhodnocení budov.</t>
  </si>
  <si>
    <t>xxxxx - xxxxxxxxxxxxx</t>
  </si>
  <si>
    <t>Stručný komentář dosavadního způsobu vymáhání pohůedávky po lhůtě splatnosti/plánovaný způsob vymáhání pohledávky po lhůtě splatnosti</t>
  </si>
  <si>
    <t>neevidujeme žádné pohledávky po lhůtě splatnosti</t>
  </si>
  <si>
    <t>neevidujeme žádné závazky po lhůtě splatnosti</t>
  </si>
  <si>
    <t>účelový finanční dar Women For Women - Obědy pro děti na období leden - červen 2017, nedočerpání ve výši 132,- Kč vráceno v 07/2017.</t>
  </si>
  <si>
    <r>
      <t>usnesením RM č. 6708/2016</t>
    </r>
    <r>
      <rPr>
        <sz val="9"/>
        <color indexed="8"/>
        <rFont val="Times New Roman"/>
        <family val="1"/>
        <charset val="238"/>
      </rPr>
      <t xml:space="preserve"> byl posílen účet 648.0300 - čerpání fondů - RF a účet 549.0360 - ostatní náklady z činnosti = Obědy pro děti 01-06/2017</t>
    </r>
  </si>
  <si>
    <t>549.0360</t>
  </si>
  <si>
    <r>
      <t>usnesením RM č. 7072</t>
    </r>
    <r>
      <rPr>
        <sz val="9"/>
        <color indexed="8"/>
        <rFont val="Times New Roman"/>
        <family val="1"/>
        <charset val="238"/>
      </rPr>
      <t xml:space="preserve"> byl posílen účet 649.0310 - ostatní výnosy - DARY a účet 558.0300 - DDHM = úložná sestava a skříňka (MŠ Čechovice)</t>
    </r>
  </si>
  <si>
    <t>649.0310</t>
  </si>
  <si>
    <r>
      <t>usnesením RM č. 7391</t>
    </r>
    <r>
      <rPr>
        <sz val="9"/>
        <color indexed="8"/>
        <rFont val="Times New Roman"/>
        <family val="1"/>
        <charset val="238"/>
      </rPr>
      <t xml:space="preserve"> byl posílen účet 649.0310 - ostatní výnosy - DARY a účet 558.0300-DDHM = pohovka (ZŠ Palackého) + účet 501.0430 - OEM = koberec + otočná židle (ZŠ Palackého)</t>
    </r>
  </si>
  <si>
    <t>501.0430</t>
  </si>
  <si>
    <r>
      <t xml:space="preserve">usnesením RM č. 7491 </t>
    </r>
    <r>
      <rPr>
        <sz val="9"/>
        <color indexed="8"/>
        <rFont val="Times New Roman"/>
        <family val="1"/>
        <charset val="238"/>
      </rPr>
      <t>bylo schváleno navýšení NIV příspěvku KAP.20 na 1. třídy</t>
    </r>
  </si>
  <si>
    <t>672.0510</t>
  </si>
  <si>
    <t>snížení SU 511 - opravy nemovitého majetku a posílení SU 549 - technické zhodnocení budoy = výroba a montáž zatemňovacích roletek do tříd ZŠ Čechovice</t>
  </si>
  <si>
    <t>511.0300</t>
  </si>
  <si>
    <t>549.0310</t>
  </si>
  <si>
    <r>
      <t xml:space="preserve">usnesením RM č. 7560 </t>
    </r>
    <r>
      <rPr>
        <sz val="9"/>
        <color indexed="8"/>
        <rFont val="Times New Roman"/>
        <family val="1"/>
        <charset val="238"/>
      </rPr>
      <t>bylo schváleno navýšení NIV příspěvku KAP.20 na opravu zídky ŠD na Dykově ul. a plotu zahrady MŠ Mánesova</t>
    </r>
  </si>
  <si>
    <t>511.0310</t>
  </si>
  <si>
    <t>snížení účtu 501 - spotřeba materiálu (předpokládá se úspora)</t>
  </si>
  <si>
    <t>501.0090</t>
  </si>
  <si>
    <t>snížení účtu 511 - opravy (předpokládá se úspora)</t>
  </si>
  <si>
    <t>511.0000</t>
  </si>
  <si>
    <t>navýšení položky 518 - ostatní služby (vyšší náklady oproti plánu jsou účtovány rovnou na DČ poměrem 1:3 - jedná se o odstranění reklam ve velké TV)</t>
  </si>
  <si>
    <t>518.0210</t>
  </si>
  <si>
    <t>navýšení SU 521 - mzdové náklady (z DČ hradíme i jednoho správce sportovišť)</t>
  </si>
  <si>
    <t>521.0000</t>
  </si>
  <si>
    <t>navýšení účtu 527 - povinný příděl do FKSP (v původním plánu bylo chybně uvedno pouze 1,5% z HM)</t>
  </si>
  <si>
    <t>527.0000</t>
  </si>
  <si>
    <t>Z jednání KD za rok 2016 bylo organizaci uloženo, že ZVH z hlavní činnosti ve výši 7.029,53 Kč bude použito na nákup nábytku - toto se uskuteční ve 2. pololetí roku.</t>
  </si>
  <si>
    <t xml:space="preserve">1. Organizace na základě schválených usnesení 72. RMP ze dne 9.5.2017 č. 7428 a 23. ZMP ze dne 12. a 13. 6.2017 č. 17118 přidělila trvalým peněžním fondů schválený výsledek hospodaření ve výši 113.660,53 Kč, a to rezervnímu fondu částku 93.660,53 Kč a fondu odměn částku 20.000,- Kč. </t>
  </si>
  <si>
    <t>Zpracovala: Veronika Kocourková, ekonomka školy, v. r.</t>
  </si>
  <si>
    <t>Schválila: Mgr. Jana Prokopová, ředitelka školy, v. r.</t>
  </si>
  <si>
    <t>Zlepšený hospodářský výsledek je ovlivněn tím, že nám byly 30. 6. zaslány prostředky na opravu chodníků                                     v areálu školy ve výši 480.000 Kč a 83.000 Kč na učební pomůcky pro žáky budoucích 1. ročníků.</t>
  </si>
  <si>
    <t>V doplňkové činnosti se daří plnit výnosy a k tomu náležijící náklady podle finančního plánu.</t>
  </si>
  <si>
    <t>Zdroj: příděl ze zlepšeného VH za rok 2016 ve výši 158.062,90 Kč, finanční dar nadace TEREZA a SOVA v celkové výši 25.000 Kč.                                          Čerpání: převod do fondu investic ve výši 49.961 Kč, nákup materiálu z finančního daru ve výši 25.000 Kč.</t>
  </si>
  <si>
    <t>Zdroj: příděl prostředků z RF ve výši 49.961 Kč, tvorba fondu z odpisů ve výši 493.826 Kč.                    Čerpání: uložený odvod finančních prostředků zřizovateli ve výši 395.675 Kč, nákup kopírky do sborovny ve výši 49.961 Kč. Organizace má v plánu v fondu investic zakoupit pec do školní kuchyně.</t>
  </si>
  <si>
    <t>Zdroj: příděl ze zlepšeného VH za rok 2016 ve výši 20.000 Kč</t>
  </si>
  <si>
    <t>Zdroj: příděl z HM ve výši 168.400 Kč.                                        Čerpání: příspěvek na stravování 47.770 Kč                                    - rekreace 88.700 Kč                                                                      - kultura, sport 34.907 Kč                                                                   - finanční dary 15.500 Kč</t>
  </si>
  <si>
    <t>Organizace neeviduje žádné pohledávky po lhůtě splatnosti.</t>
  </si>
  <si>
    <t>Finanční dar od nadace TEREZA na ekologickou kampaň Litter Less - nakoupen materiál pro ekologickou výchovu žáků.</t>
  </si>
  <si>
    <t>Finanční dar od nadace SOVA - zakoupeno vybavení do školní družiny</t>
  </si>
  <si>
    <t>Usnesením RMP č. 7073 - čerpání RF - kampaň Litter Less</t>
  </si>
  <si>
    <t>648/320</t>
  </si>
  <si>
    <t xml:space="preserve">Usnesením RMP č. 7073 - ostatní učební pomůcky </t>
  </si>
  <si>
    <t>501/340</t>
  </si>
  <si>
    <t>Usnesením RMP č. 7073 - OEHM</t>
  </si>
  <si>
    <t>501/430</t>
  </si>
  <si>
    <t>Usnesením RMP č. 7073 - spotřeba materiálu - ostatní</t>
  </si>
  <si>
    <t>501/461</t>
  </si>
  <si>
    <t>Usnesením RMP č. 7150 - čerpání RF - nadace SOVA</t>
  </si>
  <si>
    <t>Usnesením RMP č. 7150 - OEHM</t>
  </si>
  <si>
    <t>Usnesením RMP č. 7150 - materiál do ŠD</t>
  </si>
  <si>
    <t>501/360</t>
  </si>
  <si>
    <t>Usnesením RMP č. 7171 - navýšení příspěvku zřizovatele</t>
  </si>
  <si>
    <t>672/320</t>
  </si>
  <si>
    <t>Usnesením RMP č. 7171 - navýšení příspěvku na opravy</t>
  </si>
  <si>
    <t>511/300</t>
  </si>
  <si>
    <t>Usnesením RMP č. 7387 - čerpání rezervního fondu</t>
  </si>
  <si>
    <t>Usnesením RMP č. 7387 - náklady z DDHM</t>
  </si>
  <si>
    <t>Usnesením RMP č. 7491 - navýšení příspěvku na pomůcky</t>
  </si>
  <si>
    <t>Usnesením RMP č. 7491 - učební pomůcky</t>
  </si>
  <si>
    <t>501/330</t>
  </si>
  <si>
    <t>Usnesením RMP č. 7561 - navýšení přísp. - opravy chodníků</t>
  </si>
  <si>
    <t>Stravné</t>
  </si>
  <si>
    <t>602/300</t>
  </si>
  <si>
    <t>Výnosy z prodaného materiálu</t>
  </si>
  <si>
    <t>644/300</t>
  </si>
  <si>
    <t>Úroky</t>
  </si>
  <si>
    <t>662/310</t>
  </si>
  <si>
    <t>Náklady z DDHM</t>
  </si>
  <si>
    <t>Spotřeba materiálu - ostatní</t>
  </si>
  <si>
    <t>Náklady z vyřazených pohledávek</t>
  </si>
  <si>
    <t>557/300</t>
  </si>
  <si>
    <t>Ostatní výnosy z činnosti</t>
  </si>
  <si>
    <t>649/330</t>
  </si>
  <si>
    <t>Servisní prohlídky</t>
  </si>
  <si>
    <t>518/430</t>
  </si>
  <si>
    <t>Stravování</t>
  </si>
  <si>
    <t>602/001</t>
  </si>
  <si>
    <t>Potraviny</t>
  </si>
  <si>
    <t>501/001</t>
  </si>
  <si>
    <t>518/130</t>
  </si>
  <si>
    <t>Údržba software a licence</t>
  </si>
  <si>
    <t>518/180</t>
  </si>
  <si>
    <t>558/001</t>
  </si>
  <si>
    <t>Ze zlepšeného hospodářského výsledku měla být nakoupena kopírka do sborovny - splněno.</t>
  </si>
  <si>
    <t>Organizace na základě schválených usnesení 72. RMP ze dne 9.5.2017 č. 7428 a 23. ZMP ze dne 12. a 13. 6.2017 č. 17118 přidělila trvalým peněžním fondů schválený výsledek hospodaření ve výši 178.062,90 Kč, a to rezervnímu fondu částku 158.062,90 Kč a fondu odměn částku 20.000,00 Kč.  Žádné opatření vyplývající z kontrolního dne nebylo uloženo.</t>
  </si>
  <si>
    <t>V Prostějově dne 20. července 2017</t>
  </si>
  <si>
    <t>Základní umělecká škola Vladimíra Ambrose Prostějov, Kravařova 14, 796 01 Prostějov</t>
  </si>
  <si>
    <t>Výše průběžného výsledku hospodaření je způsobena nižším čerpáním nákladů v ukazateli spotřeba materiálu, opravy</t>
  </si>
  <si>
    <t>a udržování. Zvýšené čerpání těchto ukazatelů proběhne v období prázdnin.</t>
  </si>
  <si>
    <t>V nákladech se promítne výměna těsnění oken a servis plynového kotle ve školním bytě.</t>
  </si>
  <si>
    <t>Čerpání proběhne v II. pololetí 2017.</t>
  </si>
  <si>
    <t>V roce 2017 meplánujeme použití fondu.</t>
  </si>
  <si>
    <t>Rozdíl je způsoben uhrazením zálohových faktur.</t>
  </si>
  <si>
    <t>Organizace nepřijala v I. pololetí 2017 žádný dar.</t>
  </si>
  <si>
    <t>Stručný komentář, na co byl dar poskytnut</t>
  </si>
  <si>
    <r>
      <rPr>
        <sz val="8"/>
        <rFont val="Times New Roman"/>
        <family val="1"/>
        <charset val="238"/>
      </rPr>
      <t xml:space="preserve">atd. </t>
    </r>
    <r>
      <rPr>
        <sz val="8"/>
        <color rgb="FFFF0000"/>
        <rFont val="Times New Roman"/>
        <family val="1"/>
        <charset val="238"/>
      </rPr>
      <t>Stručný komentář, na co byl dar poskytnut</t>
    </r>
  </si>
  <si>
    <t xml:space="preserve">Koncertní zájezd Dechového orchestru do Norska. Členové budou přispívat na </t>
  </si>
  <si>
    <t>649/0334</t>
  </si>
  <si>
    <t>náklady zájezdu 5 000,- Kč.</t>
  </si>
  <si>
    <t>518/0630</t>
  </si>
  <si>
    <t>28.32017</t>
  </si>
  <si>
    <t>Zájezd Dechového orchestru Norsku  - stravné</t>
  </si>
  <si>
    <t>501/0341</t>
  </si>
  <si>
    <t>V I.pololetí 2017 nebyly provedeny úpravy fin. plánu.</t>
  </si>
  <si>
    <t>Přidělené finanční prostřaedky do rezervního fodnu ze chváleného výsledku hospodaření jsou vázány na opravu svodů, brány a nákup kopírovacího stroje. Čerpání rezervního fodnu proběhne po schválení RMP v II. polovině 2017.</t>
  </si>
  <si>
    <t xml:space="preserve">1. Organizace na základě schválených usnesení 72. RMP ze dne 9.5.2017 č. 7428 a 23. ZMP ze dne 12. a 13. 6.2017 č. 17118 přidělila trvalým peněžním fondů schválený výsledek hospodaření ve výši 186 050,84 Kč, a to rezervnímu fondu částku 156 050,84 Kč a fondu odměn částku 30 000,-Kčč.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</si>
</sst>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_-* #,##0\ _K_č_-;\-* #,##0\ _K_č_-;_-* &quot;-&quot;??\ _K_č_-;_-@_-"/>
    <numFmt numFmtId="166" formatCode="#,##0.00_ ;\-#,##0.00\ "/>
    <numFmt numFmtId="167" formatCode="dd/mm/yy;@"/>
  </numFmts>
  <fonts count="9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6"/>
      <name val="Times New Roman"/>
      <family val="1"/>
      <charset val="238"/>
    </font>
    <font>
      <sz val="6"/>
      <name val="Times New Roman"/>
      <family val="1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i/>
      <sz val="6"/>
      <name val="Times New Roman"/>
      <family val="1"/>
      <charset val="238"/>
    </font>
    <font>
      <b/>
      <i/>
      <sz val="6"/>
      <name val="Times New Roman CE"/>
      <family val="1"/>
      <charset val="238"/>
    </font>
    <font>
      <i/>
      <sz val="6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8"/>
      <name val="Times New Roman CE"/>
      <family val="1"/>
      <charset val="238"/>
    </font>
    <font>
      <i/>
      <sz val="8"/>
      <name val="Times New Roman"/>
      <family val="1"/>
      <charset val="238"/>
    </font>
    <font>
      <sz val="6"/>
      <color rgb="FFFF0000"/>
      <name val="Times New Roman"/>
      <family val="1"/>
      <charset val="238"/>
    </font>
    <font>
      <sz val="6"/>
      <name val="Times New Roman CE"/>
      <family val="1"/>
      <charset val="238"/>
    </font>
    <font>
      <sz val="6"/>
      <name val="Times New Roman CE"/>
      <charset val="238"/>
    </font>
    <font>
      <b/>
      <sz val="5.5"/>
      <name val="Times New Roman CE"/>
      <family val="1"/>
      <charset val="238"/>
    </font>
    <font>
      <b/>
      <i/>
      <sz val="6"/>
      <name val="Times New Roman CE"/>
      <charset val="238"/>
    </font>
    <font>
      <b/>
      <u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8"/>
      <color rgb="FF00B050"/>
      <name val="Times New Roman"/>
      <family val="1"/>
      <charset val="238"/>
    </font>
    <font>
      <b/>
      <u/>
      <sz val="14"/>
      <color indexed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u/>
      <sz val="8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6"/>
      <color indexed="10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sz val="7"/>
      <color theme="0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u/>
      <sz val="8"/>
      <name val="Times New Roman"/>
      <family val="1"/>
      <charset val="238"/>
    </font>
    <font>
      <sz val="8"/>
      <color theme="5"/>
      <name val="Times New Roman"/>
      <family val="1"/>
      <charset val="238"/>
    </font>
    <font>
      <sz val="11"/>
      <color theme="5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8"/>
      <color indexed="8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7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" fontId="2" fillId="0" borderId="0"/>
  </cellStyleXfs>
  <cellXfs count="1362">
    <xf numFmtId="0" fontId="0" fillId="0" borderId="0" xfId="0"/>
    <xf numFmtId="0" fontId="3" fillId="0" borderId="0" xfId="0" applyFont="1" applyAlignment="1">
      <alignment horizontal="center" vertical="top"/>
    </xf>
    <xf numFmtId="3" fontId="4" fillId="0" borderId="0" xfId="2" applyFont="1" applyFill="1" applyBorder="1"/>
    <xf numFmtId="3" fontId="4" fillId="0" borderId="0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  <xf numFmtId="3" fontId="6" fillId="3" borderId="1" xfId="2" applyFont="1" applyFill="1" applyBorder="1" applyAlignment="1">
      <alignment horizontal="center"/>
    </xf>
    <xf numFmtId="49" fontId="6" fillId="3" borderId="1" xfId="2" applyNumberFormat="1" applyFont="1" applyFill="1" applyBorder="1" applyAlignment="1">
      <alignment horizontal="center"/>
    </xf>
    <xf numFmtId="3" fontId="6" fillId="3" borderId="1" xfId="2" applyNumberFormat="1" applyFont="1" applyFill="1" applyBorder="1"/>
    <xf numFmtId="4" fontId="4" fillId="3" borderId="1" xfId="2" applyNumberFormat="1" applyFont="1" applyFill="1" applyBorder="1"/>
    <xf numFmtId="3" fontId="6" fillId="0" borderId="1" xfId="2" applyFont="1" applyBorder="1" applyAlignment="1">
      <alignment horizontal="center"/>
    </xf>
    <xf numFmtId="49" fontId="6" fillId="0" borderId="1" xfId="2" applyNumberFormat="1" applyFont="1" applyFill="1" applyBorder="1" applyAlignment="1">
      <alignment horizontal="center"/>
    </xf>
    <xf numFmtId="3" fontId="4" fillId="0" borderId="1" xfId="2" applyNumberFormat="1" applyFont="1" applyBorder="1" applyAlignment="1">
      <alignment horizontal="right"/>
    </xf>
    <xf numFmtId="4" fontId="4" fillId="0" borderId="1" xfId="2" applyNumberFormat="1" applyFont="1" applyFill="1" applyBorder="1"/>
    <xf numFmtId="3" fontId="4" fillId="0" borderId="1" xfId="2" applyNumberFormat="1" applyFont="1" applyBorder="1"/>
    <xf numFmtId="3" fontId="7" fillId="0" borderId="1" xfId="2" applyFont="1" applyBorder="1" applyAlignment="1">
      <alignment horizontal="center"/>
    </xf>
    <xf numFmtId="3" fontId="6" fillId="0" borderId="1" xfId="2" applyFont="1" applyBorder="1" applyAlignment="1">
      <alignment horizontal="left"/>
    </xf>
    <xf numFmtId="3" fontId="7" fillId="0" borderId="1" xfId="2" applyFont="1" applyBorder="1" applyAlignment="1">
      <alignment horizontal="left"/>
    </xf>
    <xf numFmtId="3" fontId="4" fillId="3" borderId="1" xfId="2" applyNumberFormat="1" applyFont="1" applyFill="1" applyBorder="1" applyAlignment="1">
      <alignment horizontal="right"/>
    </xf>
    <xf numFmtId="3" fontId="6" fillId="3" borderId="1" xfId="2" applyNumberFormat="1" applyFont="1" applyFill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3" fontId="4" fillId="0" borderId="1" xfId="2" applyNumberFormat="1" applyFont="1" applyFill="1" applyBorder="1"/>
    <xf numFmtId="3" fontId="4" fillId="0" borderId="1" xfId="2" applyNumberFormat="1" applyFont="1" applyFill="1" applyBorder="1" applyAlignment="1">
      <alignment horizontal="right"/>
    </xf>
    <xf numFmtId="3" fontId="6" fillId="0" borderId="1" xfId="2" applyNumberFormat="1" applyFont="1" applyBorder="1" applyAlignment="1"/>
    <xf numFmtId="3" fontId="4" fillId="0" borderId="1" xfId="2" applyNumberFormat="1" applyFont="1" applyBorder="1" applyAlignment="1"/>
    <xf numFmtId="3" fontId="4" fillId="0" borderId="0" xfId="2" applyFont="1" applyFill="1" applyBorder="1" applyAlignment="1"/>
    <xf numFmtId="4" fontId="8" fillId="0" borderId="1" xfId="2" applyNumberFormat="1" applyFont="1" applyFill="1" applyBorder="1"/>
    <xf numFmtId="3" fontId="8" fillId="0" borderId="0" xfId="2" applyFont="1" applyFill="1" applyBorder="1"/>
    <xf numFmtId="4" fontId="8" fillId="0" borderId="0" xfId="2" applyNumberFormat="1" applyFont="1" applyFill="1" applyBorder="1"/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3" fontId="6" fillId="0" borderId="1" xfId="2" applyNumberFormat="1" applyFont="1" applyFill="1" applyBorder="1"/>
    <xf numFmtId="3" fontId="6" fillId="3" borderId="1" xfId="2" applyFont="1" applyFill="1" applyBorder="1" applyAlignment="1">
      <alignment horizontal="left"/>
    </xf>
    <xf numFmtId="4" fontId="8" fillId="3" borderId="1" xfId="2" applyNumberFormat="1" applyFont="1" applyFill="1" applyBorder="1"/>
    <xf numFmtId="3" fontId="9" fillId="0" borderId="1" xfId="2" applyFont="1" applyBorder="1" applyAlignment="1">
      <alignment horizontal="center"/>
    </xf>
    <xf numFmtId="49" fontId="9" fillId="0" borderId="1" xfId="2" applyNumberFormat="1" applyFont="1" applyBorder="1" applyAlignment="1">
      <alignment horizontal="center"/>
    </xf>
    <xf numFmtId="3" fontId="10" fillId="0" borderId="1" xfId="0" applyNumberFormat="1" applyFont="1" applyBorder="1" applyAlignment="1">
      <alignment vertical="top"/>
    </xf>
    <xf numFmtId="3" fontId="9" fillId="4" borderId="1" xfId="2" applyNumberFormat="1" applyFont="1" applyFill="1" applyBorder="1" applyAlignment="1"/>
    <xf numFmtId="0" fontId="5" fillId="0" borderId="0" xfId="0" applyFont="1" applyAlignment="1">
      <alignment vertical="top"/>
    </xf>
    <xf numFmtId="4" fontId="9" fillId="0" borderId="1" xfId="2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3" fontId="6" fillId="0" borderId="1" xfId="2" applyNumberFormat="1" applyFont="1" applyBorder="1"/>
    <xf numFmtId="3" fontId="7" fillId="0" borderId="1" xfId="2" applyNumberFormat="1" applyFont="1" applyBorder="1" applyAlignment="1">
      <alignment horizontal="right"/>
    </xf>
    <xf numFmtId="3" fontId="4" fillId="0" borderId="1" xfId="2" applyFont="1" applyFill="1" applyBorder="1"/>
    <xf numFmtId="3" fontId="8" fillId="0" borderId="1" xfId="2" applyNumberFormat="1" applyFont="1" applyFill="1" applyBorder="1" applyAlignment="1">
      <alignment horizontal="center"/>
    </xf>
    <xf numFmtId="3" fontId="9" fillId="4" borderId="1" xfId="2" applyNumberFormat="1" applyFont="1" applyFill="1" applyBorder="1" applyAlignment="1">
      <alignment horizontal="right"/>
    </xf>
    <xf numFmtId="3" fontId="9" fillId="4" borderId="1" xfId="2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vertical="top"/>
    </xf>
    <xf numFmtId="4" fontId="9" fillId="4" borderId="1" xfId="2" applyNumberFormat="1" applyFont="1" applyFill="1" applyBorder="1" applyAlignment="1"/>
    <xf numFmtId="3" fontId="11" fillId="3" borderId="1" xfId="2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horizontal="center"/>
    </xf>
    <xf numFmtId="3" fontId="11" fillId="3" borderId="1" xfId="2" applyNumberFormat="1" applyFont="1" applyFill="1" applyBorder="1"/>
    <xf numFmtId="4" fontId="12" fillId="3" borderId="1" xfId="2" applyNumberFormat="1" applyFont="1" applyFill="1" applyBorder="1"/>
    <xf numFmtId="3" fontId="12" fillId="0" borderId="0" xfId="2" applyFont="1" applyFill="1" applyBorder="1"/>
    <xf numFmtId="3" fontId="11" fillId="0" borderId="1" xfId="2" applyFont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3" fontId="12" fillId="0" borderId="1" xfId="2" applyNumberFormat="1" applyFont="1" applyBorder="1" applyAlignment="1">
      <alignment horizontal="right"/>
    </xf>
    <xf numFmtId="4" fontId="12" fillId="0" borderId="1" xfId="2" applyNumberFormat="1" applyFont="1" applyFill="1" applyBorder="1"/>
    <xf numFmtId="3" fontId="11" fillId="0" borderId="1" xfId="2" applyNumberFormat="1" applyFont="1" applyBorder="1"/>
    <xf numFmtId="3" fontId="12" fillId="0" borderId="1" xfId="2" applyNumberFormat="1" applyFont="1" applyBorder="1"/>
    <xf numFmtId="3" fontId="13" fillId="0" borderId="1" xfId="2" applyFont="1" applyBorder="1" applyAlignment="1">
      <alignment horizontal="center"/>
    </xf>
    <xf numFmtId="3" fontId="13" fillId="0" borderId="1" xfId="2" applyNumberFormat="1" applyFont="1" applyBorder="1" applyAlignment="1">
      <alignment horizontal="right"/>
    </xf>
    <xf numFmtId="3" fontId="11" fillId="0" borderId="1" xfId="2" applyFont="1" applyBorder="1" applyAlignment="1">
      <alignment horizontal="left"/>
    </xf>
    <xf numFmtId="3" fontId="13" fillId="0" borderId="1" xfId="2" applyFont="1" applyBorder="1" applyAlignment="1">
      <alignment horizontal="left"/>
    </xf>
    <xf numFmtId="3" fontId="12" fillId="3" borderId="1" xfId="2" applyNumberFormat="1" applyFont="1" applyFill="1" applyBorder="1" applyAlignment="1">
      <alignment horizontal="right"/>
    </xf>
    <xf numFmtId="3" fontId="11" fillId="3" borderId="1" xfId="2" applyNumberFormat="1" applyFont="1" applyFill="1" applyBorder="1" applyAlignment="1">
      <alignment horizontal="right"/>
    </xf>
    <xf numFmtId="3" fontId="11" fillId="0" borderId="1" xfId="2" applyNumberFormat="1" applyFont="1" applyBorder="1" applyAlignment="1">
      <alignment horizontal="right"/>
    </xf>
    <xf numFmtId="3" fontId="12" fillId="0" borderId="1" xfId="2" applyNumberFormat="1" applyFont="1" applyFill="1" applyBorder="1"/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Border="1" applyAlignment="1"/>
    <xf numFmtId="3" fontId="12" fillId="0" borderId="1" xfId="2" applyNumberFormat="1" applyFont="1" applyBorder="1" applyAlignment="1"/>
    <xf numFmtId="3" fontId="12" fillId="0" borderId="0" xfId="2" applyFont="1" applyFill="1" applyBorder="1" applyAlignment="1"/>
    <xf numFmtId="4" fontId="14" fillId="0" borderId="1" xfId="2" applyNumberFormat="1" applyFont="1" applyFill="1" applyBorder="1"/>
    <xf numFmtId="3" fontId="14" fillId="0" borderId="1" xfId="2" applyNumberFormat="1" applyFont="1" applyFill="1" applyBorder="1" applyAlignment="1">
      <alignment horizontal="center"/>
    </xf>
    <xf numFmtId="3" fontId="14" fillId="0" borderId="0" xfId="2" applyFont="1" applyFill="1" applyBorder="1"/>
    <xf numFmtId="4" fontId="14" fillId="0" borderId="0" xfId="2" applyNumberFormat="1" applyFont="1" applyFill="1" applyBorder="1"/>
    <xf numFmtId="3" fontId="12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3" fontId="11" fillId="0" borderId="1" xfId="2" applyNumberFormat="1" applyFont="1" applyFill="1" applyBorder="1"/>
    <xf numFmtId="3" fontId="11" fillId="3" borderId="1" xfId="2" applyFont="1" applyFill="1" applyBorder="1" applyAlignment="1">
      <alignment horizontal="left"/>
    </xf>
    <xf numFmtId="4" fontId="14" fillId="3" borderId="1" xfId="2" applyNumberFormat="1" applyFont="1" applyFill="1" applyBorder="1"/>
    <xf numFmtId="0" fontId="10" fillId="0" borderId="1" xfId="0" applyNumberFormat="1" applyFont="1" applyBorder="1" applyAlignment="1">
      <alignment vertical="top"/>
    </xf>
    <xf numFmtId="2" fontId="8" fillId="0" borderId="1" xfId="2" applyNumberFormat="1" applyFont="1" applyFill="1" applyBorder="1"/>
    <xf numFmtId="3" fontId="4" fillId="4" borderId="1" xfId="2" applyNumberFormat="1" applyFont="1" applyFill="1" applyBorder="1" applyAlignment="1">
      <alignment horizontal="right"/>
    </xf>
    <xf numFmtId="49" fontId="12" fillId="2" borderId="1" xfId="2" applyNumberFormat="1" applyFont="1" applyFill="1" applyBorder="1" applyAlignment="1">
      <alignment horizontal="center"/>
    </xf>
    <xf numFmtId="3" fontId="16" fillId="0" borderId="1" xfId="2" applyFont="1" applyBorder="1" applyAlignment="1">
      <alignment horizontal="center"/>
    </xf>
    <xf numFmtId="49" fontId="16" fillId="0" borderId="1" xfId="2" applyNumberFormat="1" applyFont="1" applyBorder="1" applyAlignment="1">
      <alignment horizontal="center"/>
    </xf>
    <xf numFmtId="3" fontId="17" fillId="0" borderId="1" xfId="0" applyNumberFormat="1" applyFont="1" applyBorder="1" applyAlignment="1">
      <alignment vertical="top"/>
    </xf>
    <xf numFmtId="3" fontId="16" fillId="4" borderId="1" xfId="2" applyNumberFormat="1" applyFont="1" applyFill="1" applyBorder="1" applyAlignment="1"/>
    <xf numFmtId="4" fontId="16" fillId="0" borderId="1" xfId="2" applyNumberFormat="1" applyFont="1" applyBorder="1" applyAlignment="1">
      <alignment horizontal="center"/>
    </xf>
    <xf numFmtId="3" fontId="16" fillId="4" borderId="1" xfId="2" applyNumberFormat="1" applyFont="1" applyFill="1" applyBorder="1" applyAlignment="1">
      <alignment horizontal="right"/>
    </xf>
    <xf numFmtId="3" fontId="6" fillId="5" borderId="1" xfId="2" applyFont="1" applyFill="1" applyBorder="1" applyAlignment="1">
      <alignment horizontal="center"/>
    </xf>
    <xf numFmtId="3" fontId="6" fillId="5" borderId="1" xfId="2" applyFont="1" applyFill="1" applyBorder="1" applyAlignment="1">
      <alignment horizontal="left"/>
    </xf>
    <xf numFmtId="49" fontId="6" fillId="5" borderId="1" xfId="2" applyNumberFormat="1" applyFont="1" applyFill="1" applyBorder="1" applyAlignment="1">
      <alignment horizontal="center"/>
    </xf>
    <xf numFmtId="3" fontId="4" fillId="5" borderId="1" xfId="2" applyNumberFormat="1" applyFont="1" applyFill="1" applyBorder="1" applyAlignment="1">
      <alignment horizontal="right"/>
    </xf>
    <xf numFmtId="4" fontId="4" fillId="5" borderId="1" xfId="2" applyNumberFormat="1" applyFont="1" applyFill="1" applyBorder="1"/>
    <xf numFmtId="3" fontId="6" fillId="5" borderId="1" xfId="2" applyNumberFormat="1" applyFont="1" applyFill="1" applyBorder="1" applyAlignment="1">
      <alignment horizontal="right"/>
    </xf>
    <xf numFmtId="3" fontId="6" fillId="5" borderId="1" xfId="2" applyNumberFormat="1" applyFont="1" applyFill="1" applyBorder="1" applyAlignment="1"/>
    <xf numFmtId="3" fontId="4" fillId="5" borderId="1" xfId="2" applyNumberFormat="1" applyFont="1" applyFill="1" applyBorder="1" applyAlignment="1"/>
    <xf numFmtId="4" fontId="8" fillId="5" borderId="1" xfId="2" applyNumberFormat="1" applyFont="1" applyFill="1" applyBorder="1"/>
    <xf numFmtId="3" fontId="4" fillId="5" borderId="1" xfId="2" applyNumberFormat="1" applyFont="1" applyFill="1" applyBorder="1" applyAlignment="1">
      <alignment horizontal="center"/>
    </xf>
    <xf numFmtId="3" fontId="8" fillId="5" borderId="1" xfId="2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3" fontId="6" fillId="3" borderId="4" xfId="2" applyNumberFormat="1" applyFont="1" applyFill="1" applyBorder="1"/>
    <xf numFmtId="3" fontId="6" fillId="3" borderId="5" xfId="2" applyNumberFormat="1" applyFont="1" applyFill="1" applyBorder="1"/>
    <xf numFmtId="3" fontId="5" fillId="0" borderId="1" xfId="2" applyNumberFormat="1" applyFont="1" applyBorder="1" applyAlignment="1">
      <alignment horizontal="right"/>
    </xf>
    <xf numFmtId="4" fontId="5" fillId="0" borderId="1" xfId="2" applyNumberFormat="1" applyFont="1" applyFill="1" applyBorder="1"/>
    <xf numFmtId="3" fontId="5" fillId="0" borderId="4" xfId="2" applyNumberFormat="1" applyFont="1" applyBorder="1" applyAlignment="1">
      <alignment horizontal="right"/>
    </xf>
    <xf numFmtId="3" fontId="19" fillId="0" borderId="5" xfId="2" applyNumberFormat="1" applyFont="1" applyBorder="1"/>
    <xf numFmtId="3" fontId="5" fillId="0" borderId="1" xfId="2" applyNumberFormat="1" applyFont="1" applyBorder="1"/>
    <xf numFmtId="3" fontId="5" fillId="0" borderId="4" xfId="2" applyNumberFormat="1" applyFont="1" applyBorder="1"/>
    <xf numFmtId="3" fontId="5" fillId="0" borderId="5" xfId="2" applyNumberFormat="1" applyFont="1" applyBorder="1"/>
    <xf numFmtId="3" fontId="20" fillId="0" borderId="5" xfId="2" applyNumberFormat="1" applyFont="1" applyBorder="1" applyAlignment="1">
      <alignment horizontal="right"/>
    </xf>
    <xf numFmtId="3" fontId="5" fillId="0" borderId="5" xfId="2" applyNumberFormat="1" applyFont="1" applyBorder="1" applyAlignment="1">
      <alignment horizontal="right"/>
    </xf>
    <xf numFmtId="3" fontId="4" fillId="3" borderId="4" xfId="2" applyNumberFormat="1" applyFont="1" applyFill="1" applyBorder="1" applyAlignment="1">
      <alignment horizontal="right"/>
    </xf>
    <xf numFmtId="3" fontId="6" fillId="3" borderId="5" xfId="2" applyNumberFormat="1" applyFont="1" applyFill="1" applyBorder="1" applyAlignment="1">
      <alignment horizontal="right"/>
    </xf>
    <xf numFmtId="3" fontId="4" fillId="3" borderId="5" xfId="2" applyNumberFormat="1" applyFont="1" applyFill="1" applyBorder="1" applyAlignment="1">
      <alignment horizontal="right"/>
    </xf>
    <xf numFmtId="3" fontId="19" fillId="0" borderId="5" xfId="2" applyNumberFormat="1" applyFont="1" applyBorder="1" applyAlignment="1">
      <alignment horizontal="right"/>
    </xf>
    <xf numFmtId="3" fontId="5" fillId="0" borderId="1" xfId="2" applyNumberFormat="1" applyFont="1" applyFill="1" applyBorder="1"/>
    <xf numFmtId="3" fontId="5" fillId="0" borderId="1" xfId="2" applyNumberFormat="1" applyFont="1" applyFill="1" applyBorder="1" applyAlignment="1">
      <alignment horizontal="right"/>
    </xf>
    <xf numFmtId="3" fontId="5" fillId="0" borderId="4" xfId="2" applyNumberFormat="1" applyFont="1" applyFill="1" applyBorder="1"/>
    <xf numFmtId="3" fontId="5" fillId="0" borderId="5" xfId="2" applyNumberFormat="1" applyFont="1" applyFill="1" applyBorder="1"/>
    <xf numFmtId="3" fontId="19" fillId="0" borderId="5" xfId="2" applyNumberFormat="1" applyFont="1" applyBorder="1" applyAlignment="1"/>
    <xf numFmtId="3" fontId="5" fillId="0" borderId="5" xfId="2" applyNumberFormat="1" applyFont="1" applyBorder="1" applyAlignment="1"/>
    <xf numFmtId="3" fontId="5" fillId="0" borderId="1" xfId="2" applyNumberFormat="1" applyFont="1" applyBorder="1" applyAlignment="1"/>
    <xf numFmtId="3" fontId="5" fillId="0" borderId="4" xfId="2" applyNumberFormat="1" applyFont="1" applyFill="1" applyBorder="1" applyAlignment="1">
      <alignment horizontal="right"/>
    </xf>
    <xf numFmtId="3" fontId="5" fillId="0" borderId="5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19" fillId="0" borderId="5" xfId="2" applyNumberFormat="1" applyFont="1" applyFill="1" applyBorder="1"/>
    <xf numFmtId="3" fontId="0" fillId="0" borderId="4" xfId="0" applyNumberFormat="1" applyFont="1" applyBorder="1" applyAlignment="1">
      <alignment vertical="top"/>
    </xf>
    <xf numFmtId="3" fontId="10" fillId="0" borderId="4" xfId="0" applyNumberFormat="1" applyFont="1" applyBorder="1" applyAlignment="1">
      <alignment vertical="top"/>
    </xf>
    <xf numFmtId="3" fontId="9" fillId="4" borderId="5" xfId="2" applyNumberFormat="1" applyFont="1" applyFill="1" applyBorder="1" applyAlignment="1"/>
    <xf numFmtId="3" fontId="9" fillId="4" borderId="4" xfId="2" applyNumberFormat="1" applyFont="1" applyFill="1" applyBorder="1" applyAlignment="1"/>
    <xf numFmtId="49" fontId="4" fillId="6" borderId="1" xfId="2" applyNumberFormat="1" applyFont="1" applyFill="1" applyBorder="1" applyAlignment="1">
      <alignment horizontal="center"/>
    </xf>
    <xf numFmtId="49" fontId="4" fillId="6" borderId="15" xfId="2" applyNumberFormat="1" applyFont="1" applyFill="1" applyBorder="1" applyAlignment="1">
      <alignment horizontal="center"/>
    </xf>
    <xf numFmtId="3" fontId="6" fillId="7" borderId="8" xfId="2" applyFont="1" applyFill="1" applyBorder="1" applyAlignment="1">
      <alignment horizontal="center"/>
    </xf>
    <xf numFmtId="49" fontId="6" fillId="7" borderId="3" xfId="2" applyNumberFormat="1" applyFont="1" applyFill="1" applyBorder="1" applyAlignment="1">
      <alignment horizontal="center"/>
    </xf>
    <xf numFmtId="3" fontId="6" fillId="7" borderId="1" xfId="2" applyNumberFormat="1" applyFont="1" applyFill="1" applyBorder="1"/>
    <xf numFmtId="4" fontId="4" fillId="7" borderId="1" xfId="2" applyNumberFormat="1" applyFont="1" applyFill="1" applyBorder="1"/>
    <xf numFmtId="3" fontId="6" fillId="7" borderId="8" xfId="2" applyNumberFormat="1" applyFont="1" applyFill="1" applyBorder="1"/>
    <xf numFmtId="3" fontId="6" fillId="0" borderId="16" xfId="2" applyFont="1" applyBorder="1" applyAlignment="1">
      <alignment horizontal="center"/>
    </xf>
    <xf numFmtId="49" fontId="6" fillId="7" borderId="19" xfId="2" applyNumberFormat="1" applyFont="1" applyFill="1" applyBorder="1" applyAlignment="1">
      <alignment horizontal="center"/>
    </xf>
    <xf numFmtId="3" fontId="4" fillId="0" borderId="17" xfId="2" applyNumberFormat="1" applyFont="1" applyBorder="1" applyAlignment="1">
      <alignment horizontal="right"/>
    </xf>
    <xf numFmtId="3" fontId="4" fillId="0" borderId="20" xfId="2" applyNumberFormat="1" applyFont="1" applyBorder="1" applyAlignment="1">
      <alignment horizontal="right"/>
    </xf>
    <xf numFmtId="4" fontId="4" fillId="0" borderId="20" xfId="2" applyNumberFormat="1" applyFont="1" applyFill="1" applyBorder="1"/>
    <xf numFmtId="3" fontId="4" fillId="0" borderId="21" xfId="2" applyNumberFormat="1" applyFont="1" applyBorder="1" applyAlignment="1">
      <alignment horizontal="right"/>
    </xf>
    <xf numFmtId="3" fontId="6" fillId="0" borderId="17" xfId="2" applyNumberFormat="1" applyFont="1" applyFill="1" applyBorder="1"/>
    <xf numFmtId="3" fontId="6" fillId="0" borderId="20" xfId="2" applyNumberFormat="1" applyFont="1" applyFill="1" applyBorder="1"/>
    <xf numFmtId="3" fontId="4" fillId="0" borderId="20" xfId="2" applyNumberFormat="1" applyFont="1" applyFill="1" applyBorder="1"/>
    <xf numFmtId="3" fontId="4" fillId="0" borderId="21" xfId="2" applyNumberFormat="1" applyFont="1" applyFill="1" applyBorder="1"/>
    <xf numFmtId="3" fontId="4" fillId="0" borderId="17" xfId="2" applyNumberFormat="1" applyFont="1" applyBorder="1"/>
    <xf numFmtId="3" fontId="4" fillId="0" borderId="18" xfId="2" applyNumberFormat="1" applyFont="1" applyFill="1" applyBorder="1"/>
    <xf numFmtId="3" fontId="7" fillId="0" borderId="22" xfId="2" applyFont="1" applyBorder="1" applyAlignment="1">
      <alignment horizontal="center"/>
    </xf>
    <xf numFmtId="49" fontId="6" fillId="7" borderId="25" xfId="2" applyNumberFormat="1" applyFont="1" applyFill="1" applyBorder="1" applyAlignment="1">
      <alignment horizontal="center"/>
    </xf>
    <xf numFmtId="3" fontId="4" fillId="0" borderId="23" xfId="2" applyNumberFormat="1" applyFont="1" applyBorder="1" applyAlignment="1">
      <alignment horizontal="right"/>
    </xf>
    <xf numFmtId="3" fontId="4" fillId="0" borderId="26" xfId="2" applyNumberFormat="1" applyFont="1" applyBorder="1" applyAlignment="1">
      <alignment horizontal="right"/>
    </xf>
    <xf numFmtId="4" fontId="4" fillId="0" borderId="26" xfId="2" applyNumberFormat="1" applyFont="1" applyFill="1" applyBorder="1"/>
    <xf numFmtId="3" fontId="4" fillId="0" borderId="27" xfId="2" applyNumberFormat="1" applyFont="1" applyBorder="1" applyAlignment="1">
      <alignment horizontal="right"/>
    </xf>
    <xf numFmtId="3" fontId="7" fillId="0" borderId="23" xfId="2" applyNumberFormat="1" applyFont="1" applyFill="1" applyBorder="1" applyAlignment="1">
      <alignment horizontal="right"/>
    </xf>
    <xf numFmtId="3" fontId="7" fillId="0" borderId="26" xfId="2" applyNumberFormat="1" applyFont="1" applyFill="1" applyBorder="1" applyAlignment="1">
      <alignment horizontal="right"/>
    </xf>
    <xf numFmtId="3" fontId="4" fillId="0" borderId="26" xfId="2" applyNumberFormat="1" applyFont="1" applyFill="1" applyBorder="1" applyAlignment="1">
      <alignment horizontal="right"/>
    </xf>
    <xf numFmtId="3" fontId="4" fillId="0" borderId="27" xfId="2" applyNumberFormat="1" applyFont="1" applyFill="1" applyBorder="1" applyAlignment="1">
      <alignment horizontal="right"/>
    </xf>
    <xf numFmtId="3" fontId="4" fillId="0" borderId="24" xfId="2" applyNumberFormat="1" applyFont="1" applyFill="1" applyBorder="1" applyAlignment="1">
      <alignment horizontal="right"/>
    </xf>
    <xf numFmtId="3" fontId="7" fillId="0" borderId="28" xfId="2" applyFont="1" applyBorder="1" applyAlignment="1">
      <alignment horizontal="center"/>
    </xf>
    <xf numFmtId="3" fontId="21" fillId="0" borderId="29" xfId="2" applyFont="1" applyBorder="1" applyAlignment="1">
      <alignment horizontal="left"/>
    </xf>
    <xf numFmtId="3" fontId="7" fillId="0" borderId="30" xfId="2" applyFont="1" applyBorder="1" applyAlignment="1">
      <alignment horizontal="left"/>
    </xf>
    <xf numFmtId="49" fontId="6" fillId="7" borderId="31" xfId="2" applyNumberFormat="1" applyFont="1" applyFill="1" applyBorder="1" applyAlignment="1">
      <alignment horizontal="center"/>
    </xf>
    <xf numFmtId="3" fontId="4" fillId="0" borderId="29" xfId="2" applyNumberFormat="1" applyFont="1" applyBorder="1" applyAlignment="1">
      <alignment horizontal="right"/>
    </xf>
    <xf numFmtId="3" fontId="4" fillId="0" borderId="32" xfId="2" applyNumberFormat="1" applyFont="1" applyBorder="1" applyAlignment="1">
      <alignment horizontal="right"/>
    </xf>
    <xf numFmtId="4" fontId="4" fillId="0" borderId="32" xfId="2" applyNumberFormat="1" applyFont="1" applyFill="1" applyBorder="1"/>
    <xf numFmtId="3" fontId="4" fillId="0" borderId="33" xfId="2" applyNumberFormat="1" applyFont="1" applyBorder="1" applyAlignment="1">
      <alignment horizontal="right"/>
    </xf>
    <xf numFmtId="3" fontId="7" fillId="0" borderId="29" xfId="2" applyNumberFormat="1" applyFont="1" applyFill="1" applyBorder="1" applyAlignment="1">
      <alignment horizontal="right"/>
    </xf>
    <xf numFmtId="3" fontId="7" fillId="0" borderId="32" xfId="2" applyNumberFormat="1" applyFont="1" applyFill="1" applyBorder="1" applyAlignment="1">
      <alignment horizontal="right"/>
    </xf>
    <xf numFmtId="3" fontId="4" fillId="0" borderId="32" xfId="2" applyNumberFormat="1" applyFont="1" applyFill="1" applyBorder="1" applyAlignment="1">
      <alignment horizontal="right"/>
    </xf>
    <xf numFmtId="3" fontId="4" fillId="0" borderId="33" xfId="2" applyNumberFormat="1" applyFont="1" applyFill="1" applyBorder="1" applyAlignment="1">
      <alignment horizontal="right"/>
    </xf>
    <xf numFmtId="3" fontId="4" fillId="0" borderId="29" xfId="2" applyNumberFormat="1" applyFont="1" applyFill="1" applyBorder="1" applyAlignment="1">
      <alignment horizontal="right"/>
    </xf>
    <xf numFmtId="3" fontId="4" fillId="0" borderId="30" xfId="2" applyNumberFormat="1" applyFont="1" applyFill="1" applyBorder="1" applyAlignment="1">
      <alignment horizontal="right"/>
    </xf>
    <xf numFmtId="49" fontId="6" fillId="7" borderId="1" xfId="2" applyNumberFormat="1" applyFont="1" applyFill="1" applyBorder="1" applyAlignment="1">
      <alignment horizontal="center"/>
    </xf>
    <xf numFmtId="3" fontId="4" fillId="7" borderId="1" xfId="2" applyNumberFormat="1" applyFont="1" applyFill="1" applyBorder="1" applyAlignment="1">
      <alignment horizontal="right"/>
    </xf>
    <xf numFmtId="3" fontId="4" fillId="8" borderId="8" xfId="2" applyNumberFormat="1" applyFont="1" applyFill="1" applyBorder="1" applyAlignment="1">
      <alignment horizontal="right"/>
    </xf>
    <xf numFmtId="3" fontId="6" fillId="8" borderId="1" xfId="2" applyNumberFormat="1" applyFont="1" applyFill="1" applyBorder="1" applyAlignment="1">
      <alignment horizontal="right"/>
    </xf>
    <xf numFmtId="3" fontId="4" fillId="8" borderId="1" xfId="2" applyNumberFormat="1" applyFont="1" applyFill="1" applyBorder="1" applyAlignment="1">
      <alignment horizontal="right"/>
    </xf>
    <xf numFmtId="4" fontId="4" fillId="8" borderId="1" xfId="2" applyNumberFormat="1" applyFont="1" applyFill="1" applyBorder="1"/>
    <xf numFmtId="3" fontId="4" fillId="7" borderId="8" xfId="2" applyNumberFormat="1" applyFont="1" applyFill="1" applyBorder="1" applyAlignment="1">
      <alignment horizontal="right"/>
    </xf>
    <xf numFmtId="3" fontId="6" fillId="8" borderId="1" xfId="2" applyNumberFormat="1" applyFont="1" applyFill="1" applyBorder="1"/>
    <xf numFmtId="3" fontId="6" fillId="8" borderId="8" xfId="2" applyNumberFormat="1" applyFont="1" applyFill="1" applyBorder="1"/>
    <xf numFmtId="3" fontId="6" fillId="0" borderId="16" xfId="2" applyFont="1" applyFill="1" applyBorder="1" applyAlignment="1">
      <alignment horizontal="center"/>
    </xf>
    <xf numFmtId="49" fontId="6" fillId="7" borderId="34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right"/>
    </xf>
    <xf numFmtId="3" fontId="6" fillId="0" borderId="20" xfId="2" applyNumberFormat="1" applyFont="1" applyFill="1" applyBorder="1" applyAlignment="1">
      <alignment horizontal="right"/>
    </xf>
    <xf numFmtId="3" fontId="4" fillId="0" borderId="21" xfId="2" applyNumberFormat="1" applyFont="1" applyFill="1" applyBorder="1" applyAlignment="1">
      <alignment horizontal="right"/>
    </xf>
    <xf numFmtId="3" fontId="4" fillId="0" borderId="17" xfId="2" applyNumberFormat="1" applyFont="1" applyFill="1" applyBorder="1"/>
    <xf numFmtId="3" fontId="4" fillId="0" borderId="18" xfId="2" applyNumberFormat="1" applyFont="1" applyFill="1" applyBorder="1" applyAlignment="1">
      <alignment horizontal="right"/>
    </xf>
    <xf numFmtId="3" fontId="6" fillId="0" borderId="22" xfId="2" applyFont="1" applyBorder="1" applyAlignment="1">
      <alignment horizontal="center"/>
    </xf>
    <xf numFmtId="3" fontId="6" fillId="0" borderId="23" xfId="2" applyNumberFormat="1" applyFont="1" applyFill="1" applyBorder="1" applyAlignment="1">
      <alignment horizontal="right"/>
    </xf>
    <xf numFmtId="3" fontId="6" fillId="0" borderId="26" xfId="2" applyNumberFormat="1" applyFont="1" applyFill="1" applyBorder="1" applyAlignment="1">
      <alignment horizontal="right"/>
    </xf>
    <xf numFmtId="3" fontId="6" fillId="0" borderId="23" xfId="2" applyFont="1" applyBorder="1" applyAlignment="1">
      <alignment horizontal="left"/>
    </xf>
    <xf numFmtId="3" fontId="6" fillId="0" borderId="24" xfId="2" applyFont="1" applyBorder="1" applyAlignment="1">
      <alignment horizontal="left"/>
    </xf>
    <xf numFmtId="3" fontId="6" fillId="0" borderId="23" xfId="2" applyNumberFormat="1" applyFont="1" applyFill="1" applyBorder="1" applyAlignment="1"/>
    <xf numFmtId="3" fontId="6" fillId="0" borderId="26" xfId="2" applyNumberFormat="1" applyFont="1" applyFill="1" applyBorder="1" applyAlignment="1"/>
    <xf numFmtId="3" fontId="4" fillId="0" borderId="23" xfId="2" applyNumberFormat="1" applyFont="1" applyFill="1" applyBorder="1" applyAlignment="1">
      <alignment horizontal="right"/>
    </xf>
    <xf numFmtId="3" fontId="4" fillId="0" borderId="23" xfId="2" applyNumberFormat="1" applyFont="1" applyBorder="1" applyAlignment="1"/>
    <xf numFmtId="3" fontId="4" fillId="0" borderId="26" xfId="2" applyNumberFormat="1" applyFont="1" applyFill="1" applyBorder="1" applyAlignment="1"/>
    <xf numFmtId="3" fontId="4" fillId="0" borderId="24" xfId="2" applyNumberFormat="1" applyFont="1" applyFill="1" applyBorder="1" applyAlignment="1"/>
    <xf numFmtId="3" fontId="6" fillId="0" borderId="22" xfId="2" applyFont="1" applyFill="1" applyBorder="1" applyAlignment="1">
      <alignment horizontal="center"/>
    </xf>
    <xf numFmtId="3" fontId="6" fillId="0" borderId="23" xfId="2" applyFont="1" applyFill="1" applyBorder="1" applyAlignment="1">
      <alignment horizontal="left"/>
    </xf>
    <xf numFmtId="3" fontId="6" fillId="0" borderId="24" xfId="2" applyFont="1" applyFill="1" applyBorder="1" applyAlignment="1">
      <alignment horizontal="left"/>
    </xf>
    <xf numFmtId="3" fontId="4" fillId="0" borderId="26" xfId="2" applyNumberFormat="1" applyFont="1" applyFill="1" applyBorder="1"/>
    <xf numFmtId="3" fontId="4" fillId="0" borderId="23" xfId="2" applyNumberFormat="1" applyFont="1" applyFill="1" applyBorder="1"/>
    <xf numFmtId="3" fontId="4" fillId="0" borderId="27" xfId="2" applyNumberFormat="1" applyFont="1" applyFill="1" applyBorder="1"/>
    <xf numFmtId="3" fontId="4" fillId="0" borderId="24" xfId="2" applyNumberFormat="1" applyFont="1" applyFill="1" applyBorder="1"/>
    <xf numFmtId="4" fontId="8" fillId="0" borderId="26" xfId="2" applyNumberFormat="1" applyFont="1" applyFill="1" applyBorder="1"/>
    <xf numFmtId="3" fontId="4" fillId="0" borderId="23" xfId="2" applyNumberFormat="1" applyFont="1" applyFill="1" applyBorder="1" applyAlignment="1">
      <alignment horizontal="center"/>
    </xf>
    <xf numFmtId="3" fontId="4" fillId="0" borderId="26" xfId="2" applyNumberFormat="1" applyFont="1" applyFill="1" applyBorder="1" applyAlignment="1">
      <alignment horizontal="center"/>
    </xf>
    <xf numFmtId="3" fontId="4" fillId="0" borderId="24" xfId="2" applyNumberFormat="1" applyFont="1" applyFill="1" applyBorder="1" applyAlignment="1">
      <alignment horizontal="center"/>
    </xf>
    <xf numFmtId="3" fontId="8" fillId="0" borderId="23" xfId="2" applyNumberFormat="1" applyFont="1" applyFill="1" applyBorder="1" applyAlignment="1">
      <alignment horizontal="center"/>
    </xf>
    <xf numFmtId="3" fontId="8" fillId="0" borderId="26" xfId="2" applyNumberFormat="1" applyFont="1" applyFill="1" applyBorder="1" applyAlignment="1">
      <alignment horizontal="center"/>
    </xf>
    <xf numFmtId="3" fontId="8" fillId="0" borderId="24" xfId="2" applyNumberFormat="1" applyFont="1" applyFill="1" applyBorder="1" applyAlignment="1">
      <alignment horizontal="center"/>
    </xf>
    <xf numFmtId="3" fontId="21" fillId="0" borderId="23" xfId="2" applyFont="1" applyBorder="1" applyAlignment="1">
      <alignment horizontal="left"/>
    </xf>
    <xf numFmtId="3" fontId="21" fillId="0" borderId="24" xfId="2" applyFont="1" applyBorder="1" applyAlignment="1">
      <alignment horizontal="left"/>
    </xf>
    <xf numFmtId="3" fontId="4" fillId="0" borderId="26" xfId="0" applyNumberFormat="1" applyFont="1" applyFill="1" applyBorder="1" applyAlignment="1">
      <alignment horizontal="right" vertical="top"/>
    </xf>
    <xf numFmtId="3" fontId="4" fillId="0" borderId="27" xfId="0" applyNumberFormat="1" applyFont="1" applyFill="1" applyBorder="1" applyAlignment="1">
      <alignment horizontal="right" vertical="top"/>
    </xf>
    <xf numFmtId="3" fontId="4" fillId="0" borderId="23" xfId="0" applyNumberFormat="1" applyFont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23" xfId="0" applyNumberFormat="1" applyFont="1" applyBorder="1" applyAlignment="1">
      <alignment vertical="top"/>
    </xf>
    <xf numFmtId="3" fontId="4" fillId="0" borderId="26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3" fontId="6" fillId="0" borderId="28" xfId="2" applyFont="1" applyFill="1" applyBorder="1" applyAlignment="1">
      <alignment horizontal="center"/>
    </xf>
    <xf numFmtId="3" fontId="6" fillId="0" borderId="29" xfId="2" applyFont="1" applyFill="1" applyBorder="1" applyAlignment="1">
      <alignment horizontal="left"/>
    </xf>
    <xf numFmtId="3" fontId="6" fillId="0" borderId="30" xfId="2" applyFont="1" applyFill="1" applyBorder="1" applyAlignment="1">
      <alignment horizontal="left"/>
    </xf>
    <xf numFmtId="49" fontId="6" fillId="7" borderId="35" xfId="2" applyNumberFormat="1" applyFont="1" applyFill="1" applyBorder="1" applyAlignment="1">
      <alignment horizontal="center"/>
    </xf>
    <xf numFmtId="4" fontId="8" fillId="0" borderId="32" xfId="2" applyNumberFormat="1" applyFont="1" applyFill="1" applyBorder="1"/>
    <xf numFmtId="3" fontId="6" fillId="0" borderId="29" xfId="2" applyNumberFormat="1" applyFont="1" applyFill="1" applyBorder="1"/>
    <xf numFmtId="3" fontId="4" fillId="0" borderId="32" xfId="0" applyNumberFormat="1" applyFont="1" applyFill="1" applyBorder="1" applyAlignment="1">
      <alignment vertical="top"/>
    </xf>
    <xf numFmtId="3" fontId="4" fillId="0" borderId="33" xfId="0" applyNumberFormat="1" applyFont="1" applyFill="1" applyBorder="1" applyAlignment="1">
      <alignment vertical="top"/>
    </xf>
    <xf numFmtId="3" fontId="4" fillId="0" borderId="29" xfId="0" applyNumberFormat="1" applyFont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6" fillId="7" borderId="6" xfId="2" applyFont="1" applyFill="1" applyBorder="1" applyAlignment="1">
      <alignment horizontal="left"/>
    </xf>
    <xf numFmtId="3" fontId="6" fillId="7" borderId="7" xfId="2" applyFont="1" applyFill="1" applyBorder="1" applyAlignment="1">
      <alignment horizontal="left"/>
    </xf>
    <xf numFmtId="4" fontId="8" fillId="7" borderId="36" xfId="2" applyNumberFormat="1" applyFont="1" applyFill="1" applyBorder="1"/>
    <xf numFmtId="4" fontId="4" fillId="7" borderId="36" xfId="2" applyNumberFormat="1" applyFont="1" applyFill="1" applyBorder="1"/>
    <xf numFmtId="3" fontId="9" fillId="0" borderId="16" xfId="2" applyFont="1" applyBorder="1" applyAlignment="1">
      <alignment horizontal="center"/>
    </xf>
    <xf numFmtId="49" fontId="9" fillId="7" borderId="34" xfId="2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vertical="top"/>
    </xf>
    <xf numFmtId="4" fontId="8" fillId="0" borderId="20" xfId="2" applyNumberFormat="1" applyFont="1" applyFill="1" applyBorder="1"/>
    <xf numFmtId="3" fontId="5" fillId="0" borderId="39" xfId="0" applyNumberFormat="1" applyFont="1" applyFill="1" applyBorder="1" applyAlignment="1">
      <alignment vertical="top"/>
    </xf>
    <xf numFmtId="3" fontId="9" fillId="0" borderId="1" xfId="2" applyNumberFormat="1" applyFont="1" applyFill="1" applyBorder="1" applyAlignment="1"/>
    <xf numFmtId="4" fontId="9" fillId="0" borderId="22" xfId="2" applyNumberFormat="1" applyFont="1" applyBorder="1" applyAlignment="1">
      <alignment horizontal="center"/>
    </xf>
    <xf numFmtId="4" fontId="9" fillId="7" borderId="25" xfId="2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vertical="top"/>
    </xf>
    <xf numFmtId="4" fontId="5" fillId="0" borderId="39" xfId="0" applyNumberFormat="1" applyFont="1" applyFill="1" applyBorder="1" applyAlignment="1">
      <alignment vertical="top"/>
    </xf>
    <xf numFmtId="4" fontId="9" fillId="0" borderId="1" xfId="2" applyNumberFormat="1" applyFont="1" applyFill="1" applyBorder="1" applyAlignment="1"/>
    <xf numFmtId="3" fontId="9" fillId="0" borderId="28" xfId="2" applyFont="1" applyBorder="1" applyAlignment="1">
      <alignment horizontal="center"/>
    </xf>
    <xf numFmtId="49" fontId="9" fillId="7" borderId="35" xfId="2" applyNumberFormat="1" applyFont="1" applyFill="1" applyBorder="1" applyAlignment="1">
      <alignment horizontal="center"/>
    </xf>
    <xf numFmtId="0" fontId="0" fillId="0" borderId="0" xfId="0" applyFill="1" applyAlignment="1">
      <alignment vertical="top"/>
    </xf>
    <xf numFmtId="3" fontId="4" fillId="0" borderId="1" xfId="2" applyNumberFormat="1" applyFont="1" applyFill="1" applyBorder="1" applyAlignment="1">
      <alignment horizontal="center"/>
    </xf>
    <xf numFmtId="4" fontId="9" fillId="4" borderId="1" xfId="2" applyNumberFormat="1" applyFont="1" applyFill="1" applyBorder="1" applyAlignment="1">
      <alignment horizontal="right"/>
    </xf>
    <xf numFmtId="2" fontId="9" fillId="4" borderId="1" xfId="2" applyNumberFormat="1" applyFont="1" applyFill="1" applyBorder="1" applyAlignment="1"/>
    <xf numFmtId="3" fontId="8" fillId="0" borderId="1" xfId="2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vertical="top"/>
    </xf>
    <xf numFmtId="3" fontId="6" fillId="7" borderId="1" xfId="2" applyFont="1" applyFill="1" applyBorder="1" applyAlignment="1">
      <alignment horizontal="center"/>
    </xf>
    <xf numFmtId="3" fontId="6" fillId="7" borderId="1" xfId="2" applyNumberFormat="1" applyFont="1" applyFill="1" applyBorder="1" applyAlignment="1">
      <alignment horizontal="right"/>
    </xf>
    <xf numFmtId="3" fontId="4" fillId="0" borderId="24" xfId="2" applyNumberFormat="1" applyFont="1" applyBorder="1" applyAlignment="1">
      <alignment horizontal="right"/>
    </xf>
    <xf numFmtId="3" fontId="4" fillId="0" borderId="24" xfId="2" applyNumberFormat="1" applyFont="1" applyBorder="1" applyAlignment="1"/>
    <xf numFmtId="3" fontId="4" fillId="0" borderId="24" xfId="0" applyNumberFormat="1" applyFont="1" applyBorder="1" applyAlignment="1">
      <alignment vertical="top"/>
    </xf>
    <xf numFmtId="3" fontId="4" fillId="0" borderId="30" xfId="0" applyNumberFormat="1" applyFont="1" applyBorder="1" applyAlignment="1">
      <alignment vertical="top"/>
    </xf>
    <xf numFmtId="3" fontId="6" fillId="7" borderId="1" xfId="2" applyFont="1" applyFill="1" applyBorder="1" applyAlignment="1">
      <alignment horizontal="left"/>
    </xf>
    <xf numFmtId="4" fontId="8" fillId="7" borderId="1" xfId="2" applyNumberFormat="1" applyFont="1" applyFill="1" applyBorder="1"/>
    <xf numFmtId="3" fontId="9" fillId="9" borderId="1" xfId="2" applyNumberFormat="1" applyFont="1" applyFill="1" applyBorder="1" applyAlignment="1">
      <alignment horizontal="right"/>
    </xf>
    <xf numFmtId="3" fontId="9" fillId="9" borderId="1" xfId="2" applyNumberFormat="1" applyFont="1" applyFill="1" applyBorder="1" applyAlignment="1"/>
    <xf numFmtId="3" fontId="22" fillId="9" borderId="1" xfId="2" applyNumberFormat="1" applyFont="1" applyFill="1" applyBorder="1" applyAlignment="1">
      <alignment horizontal="right"/>
    </xf>
    <xf numFmtId="3" fontId="9" fillId="9" borderId="1" xfId="2" applyNumberFormat="1" applyFont="1" applyFill="1" applyBorder="1" applyAlignment="1">
      <alignment horizontal="center"/>
    </xf>
    <xf numFmtId="3" fontId="6" fillId="3" borderId="1" xfId="2" applyNumberFormat="1" applyFont="1" applyFill="1" applyBorder="1" applyProtection="1">
      <protection locked="0"/>
    </xf>
    <xf numFmtId="4" fontId="4" fillId="3" borderId="1" xfId="2" applyNumberFormat="1" applyFont="1" applyFill="1" applyBorder="1" applyProtection="1">
      <protection locked="0"/>
    </xf>
    <xf numFmtId="3" fontId="6" fillId="3" borderId="1" xfId="2" applyNumberFormat="1" applyFont="1" applyFill="1" applyBorder="1" applyProtection="1"/>
    <xf numFmtId="3" fontId="4" fillId="0" borderId="1" xfId="2" applyNumberFormat="1" applyFont="1" applyBorder="1" applyAlignment="1" applyProtection="1">
      <alignment horizontal="right"/>
      <protection locked="0"/>
    </xf>
    <xf numFmtId="4" fontId="4" fillId="0" borderId="1" xfId="2" applyNumberFormat="1" applyFont="1" applyFill="1" applyBorder="1" applyProtection="1">
      <protection locked="0"/>
    </xf>
    <xf numFmtId="3" fontId="4" fillId="0" borderId="1" xfId="2" applyNumberFormat="1" applyFont="1" applyBorder="1" applyAlignment="1" applyProtection="1">
      <alignment horizontal="right"/>
    </xf>
    <xf numFmtId="3" fontId="6" fillId="0" borderId="1" xfId="2" applyNumberFormat="1" applyFont="1" applyBorder="1" applyProtection="1"/>
    <xf numFmtId="3" fontId="4" fillId="0" borderId="1" xfId="2" applyNumberFormat="1" applyFont="1" applyBorder="1" applyProtection="1">
      <protection locked="0"/>
    </xf>
    <xf numFmtId="3" fontId="4" fillId="0" borderId="1" xfId="2" applyNumberFormat="1" applyFont="1" applyBorder="1" applyProtection="1"/>
    <xf numFmtId="3" fontId="4" fillId="0" borderId="18" xfId="2" applyNumberFormat="1" applyFont="1" applyBorder="1" applyProtection="1"/>
    <xf numFmtId="3" fontId="7" fillId="0" borderId="1" xfId="2" applyNumberFormat="1" applyFont="1" applyBorder="1" applyAlignment="1" applyProtection="1">
      <alignment horizontal="right"/>
    </xf>
    <xf numFmtId="3" fontId="4" fillId="0" borderId="42" xfId="2" applyNumberFormat="1" applyFont="1" applyBorder="1" applyAlignment="1" applyProtection="1">
      <alignment horizontal="right"/>
    </xf>
    <xf numFmtId="3" fontId="4" fillId="0" borderId="32" xfId="2" applyNumberFormat="1" applyFont="1" applyBorder="1" applyAlignment="1" applyProtection="1">
      <alignment horizontal="right"/>
    </xf>
    <xf numFmtId="3" fontId="4" fillId="3" borderId="1" xfId="2" applyNumberFormat="1" applyFont="1" applyFill="1" applyBorder="1" applyAlignment="1" applyProtection="1">
      <alignment horizontal="right"/>
      <protection locked="0"/>
    </xf>
    <xf numFmtId="3" fontId="4" fillId="3" borderId="1" xfId="2" applyNumberFormat="1" applyFont="1" applyFill="1" applyBorder="1" applyAlignment="1" applyProtection="1">
      <alignment horizontal="right"/>
    </xf>
    <xf numFmtId="3" fontId="6" fillId="3" borderId="1" xfId="2" applyNumberFormat="1" applyFont="1" applyFill="1" applyBorder="1" applyAlignment="1" applyProtection="1">
      <alignment horizontal="right"/>
    </xf>
    <xf numFmtId="3" fontId="6" fillId="0" borderId="1" xfId="2" applyNumberFormat="1" applyFont="1" applyBorder="1" applyAlignment="1" applyProtection="1">
      <alignment horizontal="right"/>
    </xf>
    <xf numFmtId="3" fontId="4" fillId="0" borderId="1" xfId="2" applyNumberFormat="1" applyFont="1" applyFill="1" applyBorder="1" applyProtection="1">
      <protection locked="0"/>
    </xf>
    <xf numFmtId="3" fontId="4" fillId="0" borderId="43" xfId="2" applyNumberFormat="1" applyFont="1" applyFill="1" applyBorder="1" applyProtection="1"/>
    <xf numFmtId="3" fontId="4" fillId="0" borderId="1" xfId="2" applyNumberFormat="1" applyFont="1" applyFill="1" applyBorder="1" applyProtection="1"/>
    <xf numFmtId="3" fontId="4" fillId="0" borderId="2" xfId="2" applyNumberFormat="1" applyFont="1" applyBorder="1" applyAlignment="1" applyProtection="1">
      <alignment horizontal="right"/>
    </xf>
    <xf numFmtId="3" fontId="4" fillId="0" borderId="3" xfId="2" applyNumberFormat="1" applyFont="1" applyBorder="1" applyAlignment="1" applyProtection="1">
      <alignment horizontal="right"/>
    </xf>
    <xf numFmtId="3" fontId="4" fillId="0" borderId="44" xfId="2" applyNumberFormat="1" applyFont="1" applyBorder="1" applyAlignment="1" applyProtection="1">
      <alignment horizontal="right"/>
    </xf>
    <xf numFmtId="3" fontId="6" fillId="0" borderId="1" xfId="2" applyNumberFormat="1" applyFont="1" applyBorder="1" applyAlignment="1" applyProtection="1"/>
    <xf numFmtId="3" fontId="4" fillId="0" borderId="1" xfId="2" applyNumberFormat="1" applyFont="1" applyBorder="1" applyAlignment="1" applyProtection="1"/>
    <xf numFmtId="3" fontId="4" fillId="0" borderId="1" xfId="2" applyNumberFormat="1" applyFont="1" applyBorder="1" applyAlignment="1" applyProtection="1">
      <protection locked="0"/>
    </xf>
    <xf numFmtId="3" fontId="4" fillId="0" borderId="2" xfId="2" applyNumberFormat="1" applyFont="1" applyBorder="1" applyAlignment="1" applyProtection="1"/>
    <xf numFmtId="3" fontId="4" fillId="0" borderId="44" xfId="2" applyNumberFormat="1" applyFont="1" applyFill="1" applyBorder="1" applyProtection="1"/>
    <xf numFmtId="3" fontId="4" fillId="0" borderId="1" xfId="2" applyNumberFormat="1" applyFont="1" applyFill="1" applyBorder="1" applyAlignment="1" applyProtection="1">
      <alignment horizontal="right"/>
      <protection locked="0"/>
    </xf>
    <xf numFmtId="3" fontId="4" fillId="0" borderId="42" xfId="2" applyNumberFormat="1" applyFont="1" applyFill="1" applyBorder="1" applyAlignment="1" applyProtection="1">
      <alignment horizontal="right"/>
    </xf>
    <xf numFmtId="3" fontId="4" fillId="0" borderId="1" xfId="2" applyNumberFormat="1" applyFont="1" applyFill="1" applyBorder="1" applyAlignment="1" applyProtection="1">
      <alignment horizontal="right"/>
    </xf>
    <xf numFmtId="3" fontId="4" fillId="0" borderId="3" xfId="2" applyNumberFormat="1" applyFont="1" applyFill="1" applyBorder="1" applyAlignment="1" applyProtection="1">
      <alignment horizontal="right"/>
    </xf>
    <xf numFmtId="3" fontId="4" fillId="0" borderId="2" xfId="2" applyNumberFormat="1" applyFont="1" applyFill="1" applyBorder="1" applyAlignment="1" applyProtection="1">
      <alignment horizontal="right"/>
    </xf>
    <xf numFmtId="3" fontId="4" fillId="0" borderId="44" xfId="2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right" vertical="top"/>
    </xf>
    <xf numFmtId="3" fontId="4" fillId="0" borderId="1" xfId="0" applyNumberFormat="1" applyFont="1" applyBorder="1" applyAlignment="1" applyProtection="1">
      <alignment vertical="top"/>
    </xf>
    <xf numFmtId="3" fontId="6" fillId="0" borderId="1" xfId="2" applyNumberFormat="1" applyFont="1" applyFill="1" applyBorder="1" applyProtection="1"/>
    <xf numFmtId="3" fontId="4" fillId="0" borderId="1" xfId="0" applyNumberFormat="1" applyFont="1" applyBorder="1" applyAlignment="1" applyProtection="1">
      <alignment vertical="top"/>
      <protection locked="0"/>
    </xf>
    <xf numFmtId="3" fontId="4" fillId="0" borderId="45" xfId="0" applyNumberFormat="1" applyFont="1" applyBorder="1" applyAlignment="1" applyProtection="1">
      <alignment vertical="top"/>
    </xf>
    <xf numFmtId="3" fontId="4" fillId="0" borderId="46" xfId="0" applyNumberFormat="1" applyFont="1" applyBorder="1" applyAlignment="1" applyProtection="1">
      <alignment vertical="top"/>
    </xf>
    <xf numFmtId="4" fontId="8" fillId="0" borderId="1" xfId="2" applyNumberFormat="1" applyFont="1" applyFill="1" applyBorder="1" applyProtection="1">
      <protection locked="0"/>
    </xf>
    <xf numFmtId="3" fontId="10" fillId="0" borderId="1" xfId="0" applyNumberFormat="1" applyFont="1" applyBorder="1" applyAlignment="1" applyProtection="1">
      <alignment vertical="top"/>
    </xf>
    <xf numFmtId="4" fontId="4" fillId="3" borderId="1" xfId="2" applyNumberFormat="1" applyFont="1" applyFill="1" applyBorder="1" applyAlignment="1">
      <alignment horizontal="right"/>
    </xf>
    <xf numFmtId="3" fontId="10" fillId="0" borderId="45" xfId="0" applyNumberFormat="1" applyFont="1" applyBorder="1" applyAlignment="1" applyProtection="1">
      <alignment vertical="top"/>
    </xf>
    <xf numFmtId="3" fontId="4" fillId="0" borderId="20" xfId="2" applyNumberFormat="1" applyFont="1" applyBorder="1"/>
    <xf numFmtId="3" fontId="4" fillId="0" borderId="26" xfId="2" applyNumberFormat="1" applyFont="1" applyBorder="1" applyAlignment="1"/>
    <xf numFmtId="3" fontId="4" fillId="0" borderId="26" xfId="0" applyNumberFormat="1" applyFont="1" applyBorder="1" applyAlignment="1">
      <alignment horizontal="right" vertical="top"/>
    </xf>
    <xf numFmtId="3" fontId="4" fillId="0" borderId="26" xfId="0" applyNumberFormat="1" applyFont="1" applyBorder="1" applyAlignment="1">
      <alignment vertical="top"/>
    </xf>
    <xf numFmtId="3" fontId="4" fillId="0" borderId="32" xfId="0" applyNumberFormat="1" applyFont="1" applyBorder="1" applyAlignment="1">
      <alignment vertical="top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3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" fontId="28" fillId="2" borderId="26" xfId="0" applyNumberFormat="1" applyFont="1" applyFill="1" applyBorder="1" applyAlignment="1">
      <alignment vertical="top" wrapText="1"/>
    </xf>
    <xf numFmtId="0" fontId="28" fillId="0" borderId="0" xfId="0" applyFont="1"/>
    <xf numFmtId="4" fontId="26" fillId="0" borderId="0" xfId="0" applyNumberFormat="1" applyFont="1" applyAlignment="1"/>
    <xf numFmtId="0" fontId="29" fillId="0" borderId="0" xfId="0" applyFont="1"/>
    <xf numFmtId="0" fontId="27" fillId="3" borderId="1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17" xfId="0" applyFont="1" applyBorder="1" applyAlignment="1">
      <alignment vertical="center" wrapText="1"/>
    </xf>
    <xf numFmtId="4" fontId="32" fillId="0" borderId="20" xfId="0" applyNumberFormat="1" applyFont="1" applyBorder="1" applyAlignment="1">
      <alignment horizontal="right" vertical="center" wrapText="1"/>
    </xf>
    <xf numFmtId="4" fontId="32" fillId="0" borderId="18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vertical="center" wrapText="1"/>
    </xf>
    <xf numFmtId="4" fontId="32" fillId="0" borderId="26" xfId="0" applyNumberFormat="1" applyFont="1" applyBorder="1" applyAlignment="1">
      <alignment horizontal="right" vertical="center" wrapText="1"/>
    </xf>
    <xf numFmtId="4" fontId="32" fillId="0" borderId="24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right" vertical="center" wrapText="1"/>
    </xf>
    <xf numFmtId="4" fontId="32" fillId="0" borderId="30" xfId="0" applyNumberFormat="1" applyFont="1" applyBorder="1" applyAlignment="1">
      <alignment horizontal="right" vertical="center" wrapText="1"/>
    </xf>
    <xf numFmtId="0" fontId="28" fillId="2" borderId="1" xfId="0" applyFont="1" applyFill="1" applyBorder="1" applyAlignment="1">
      <alignment vertical="center" wrapText="1"/>
    </xf>
    <xf numFmtId="4" fontId="28" fillId="2" borderId="1" xfId="0" applyNumberFormat="1" applyFont="1" applyFill="1" applyBorder="1" applyAlignment="1">
      <alignment horizontal="right" vertical="center" wrapText="1"/>
    </xf>
    <xf numFmtId="0" fontId="26" fillId="0" borderId="0" xfId="0" applyFont="1" applyFill="1"/>
    <xf numFmtId="4" fontId="26" fillId="0" borderId="0" xfId="0" applyNumberFormat="1" applyFont="1" applyFill="1" applyAlignment="1"/>
    <xf numFmtId="4" fontId="27" fillId="3" borderId="1" xfId="0" applyNumberFormat="1" applyFont="1" applyFill="1" applyBorder="1" applyAlignment="1">
      <alignment horizontal="center"/>
    </xf>
    <xf numFmtId="4" fontId="26" fillId="0" borderId="20" xfId="0" applyNumberFormat="1" applyFont="1" applyBorder="1" applyAlignment="1">
      <alignment horizontal="right" vertical="top" wrapText="1"/>
    </xf>
    <xf numFmtId="0" fontId="26" fillId="0" borderId="20" xfId="0" applyNumberFormat="1" applyFont="1" applyBorder="1" applyAlignment="1">
      <alignment horizontal="center" vertical="top" wrapText="1"/>
    </xf>
    <xf numFmtId="4" fontId="26" fillId="0" borderId="26" xfId="0" applyNumberFormat="1" applyFont="1" applyBorder="1" applyAlignment="1">
      <alignment horizontal="right" vertical="top" wrapText="1"/>
    </xf>
    <xf numFmtId="0" fontId="26" fillId="0" borderId="26" xfId="0" applyNumberFormat="1" applyFont="1" applyBorder="1" applyAlignment="1">
      <alignment horizontal="center" vertical="top" wrapText="1"/>
    </xf>
    <xf numFmtId="4" fontId="26" fillId="0" borderId="58" xfId="0" applyNumberFormat="1" applyFont="1" applyBorder="1" applyAlignment="1">
      <alignment horizontal="right" vertical="top" wrapText="1"/>
    </xf>
    <xf numFmtId="0" fontId="26" fillId="0" borderId="58" xfId="0" applyNumberFormat="1" applyFont="1" applyBorder="1" applyAlignment="1">
      <alignment horizontal="center" vertical="top" wrapText="1"/>
    </xf>
    <xf numFmtId="49" fontId="26" fillId="0" borderId="58" xfId="0" applyNumberFormat="1" applyFont="1" applyBorder="1" applyAlignment="1">
      <alignment horizontal="center" vertical="top" wrapText="1"/>
    </xf>
    <xf numFmtId="0" fontId="28" fillId="2" borderId="1" xfId="0" applyFont="1" applyFill="1" applyBorder="1"/>
    <xf numFmtId="4" fontId="28" fillId="2" borderId="1" xfId="0" applyNumberFormat="1" applyFont="1" applyFill="1" applyBorder="1"/>
    <xf numFmtId="0" fontId="15" fillId="0" borderId="43" xfId="0" applyFont="1" applyBorder="1" applyAlignment="1">
      <alignment horizontal="justify" vertical="top" wrapText="1"/>
    </xf>
    <xf numFmtId="0" fontId="26" fillId="0" borderId="20" xfId="0" applyNumberFormat="1" applyFont="1" applyBorder="1" applyAlignment="1">
      <alignment vertical="top" wrapText="1"/>
    </xf>
    <xf numFmtId="4" fontId="26" fillId="0" borderId="0" xfId="0" applyNumberFormat="1" applyFont="1"/>
    <xf numFmtId="4" fontId="26" fillId="0" borderId="20" xfId="0" applyNumberFormat="1" applyFont="1" applyBorder="1" applyAlignment="1">
      <alignment vertical="top" wrapText="1"/>
    </xf>
    <xf numFmtId="4" fontId="28" fillId="2" borderId="1" xfId="0" applyNumberFormat="1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43" xfId="0" applyFont="1" applyBorder="1" applyAlignment="1">
      <alignment vertical="center" wrapText="1"/>
    </xf>
    <xf numFmtId="4" fontId="35" fillId="0" borderId="43" xfId="0" applyNumberFormat="1" applyFont="1" applyBorder="1" applyAlignment="1">
      <alignment horizontal="right" vertical="center" wrapText="1"/>
    </xf>
    <xf numFmtId="14" fontId="35" fillId="0" borderId="43" xfId="0" applyNumberFormat="1" applyFont="1" applyBorder="1" applyAlignment="1">
      <alignment horizontal="center" vertical="center" wrapText="1"/>
    </xf>
    <xf numFmtId="0" fontId="35" fillId="0" borderId="42" xfId="0" applyFont="1" applyBorder="1" applyAlignment="1">
      <alignment vertical="center" wrapText="1"/>
    </xf>
    <xf numFmtId="4" fontId="35" fillId="0" borderId="42" xfId="0" applyNumberFormat="1" applyFont="1" applyBorder="1" applyAlignment="1">
      <alignment horizontal="right" vertical="center" wrapText="1"/>
    </xf>
    <xf numFmtId="14" fontId="35" fillId="0" borderId="42" xfId="0" applyNumberFormat="1" applyFont="1" applyBorder="1" applyAlignment="1">
      <alignment horizontal="center" vertical="center" wrapText="1"/>
    </xf>
    <xf numFmtId="0" fontId="35" fillId="0" borderId="58" xfId="0" applyFont="1" applyBorder="1" applyAlignment="1">
      <alignment vertical="center" wrapText="1"/>
    </xf>
    <xf numFmtId="4" fontId="35" fillId="0" borderId="58" xfId="0" applyNumberFormat="1" applyFont="1" applyBorder="1" applyAlignment="1">
      <alignment horizontal="right" vertical="center" wrapText="1"/>
    </xf>
    <xf numFmtId="14" fontId="35" fillId="0" borderId="58" xfId="0" applyNumberFormat="1" applyFont="1" applyBorder="1" applyAlignment="1">
      <alignment horizontal="center" vertical="center" wrapText="1"/>
    </xf>
    <xf numFmtId="0" fontId="35" fillId="0" borderId="67" xfId="0" applyFont="1" applyBorder="1" applyAlignment="1">
      <alignment vertical="center" wrapText="1"/>
    </xf>
    <xf numFmtId="4" fontId="35" fillId="0" borderId="67" xfId="0" applyNumberFormat="1" applyFont="1" applyBorder="1" applyAlignment="1">
      <alignment horizontal="right" vertical="center" wrapText="1"/>
    </xf>
    <xf numFmtId="14" fontId="35" fillId="0" borderId="67" xfId="0" applyNumberFormat="1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 vertical="center" wrapText="1"/>
    </xf>
    <xf numFmtId="0" fontId="28" fillId="12" borderId="1" xfId="0" applyFont="1" applyFill="1" applyBorder="1" applyAlignment="1">
      <alignment vertical="center" wrapText="1"/>
    </xf>
    <xf numFmtId="0" fontId="26" fillId="0" borderId="20" xfId="0" applyFont="1" applyBorder="1" applyAlignment="1">
      <alignment horizontal="center" vertical="top"/>
    </xf>
    <xf numFmtId="4" fontId="26" fillId="0" borderId="58" xfId="0" applyNumberFormat="1" applyFont="1" applyBorder="1" applyAlignment="1">
      <alignment horizontal="right" vertical="top"/>
    </xf>
    <xf numFmtId="0" fontId="36" fillId="0" borderId="58" xfId="0" applyFont="1" applyBorder="1" applyAlignment="1">
      <alignment horizontal="center" vertical="top"/>
    </xf>
    <xf numFmtId="0" fontId="38" fillId="0" borderId="0" xfId="0" applyFont="1"/>
    <xf numFmtId="0" fontId="39" fillId="0" borderId="0" xfId="0" applyFont="1"/>
    <xf numFmtId="0" fontId="40" fillId="0" borderId="0" xfId="0" applyFont="1"/>
    <xf numFmtId="4" fontId="28" fillId="2" borderId="25" xfId="0" applyNumberFormat="1" applyFont="1" applyFill="1" applyBorder="1" applyAlignment="1">
      <alignment vertical="top" wrapText="1"/>
    </xf>
    <xf numFmtId="4" fontId="28" fillId="2" borderId="35" xfId="0" applyNumberFormat="1" applyFont="1" applyFill="1" applyBorder="1" applyAlignment="1">
      <alignment vertical="top" wrapText="1"/>
    </xf>
    <xf numFmtId="0" fontId="28" fillId="3" borderId="69" xfId="0" applyFont="1" applyFill="1" applyBorder="1" applyAlignment="1">
      <alignment horizontal="center" vertical="center" wrapText="1"/>
    </xf>
    <xf numFmtId="0" fontId="28" fillId="3" borderId="70" xfId="0" applyFont="1" applyFill="1" applyBorder="1" applyAlignment="1">
      <alignment horizontal="center" vertical="center" wrapText="1"/>
    </xf>
    <xf numFmtId="0" fontId="28" fillId="3" borderId="71" xfId="0" applyFont="1" applyFill="1" applyBorder="1" applyAlignment="1">
      <alignment horizontal="center" vertical="center" wrapText="1"/>
    </xf>
    <xf numFmtId="0" fontId="42" fillId="0" borderId="72" xfId="0" applyFont="1" applyBorder="1" applyAlignment="1">
      <alignment vertical="center" wrapText="1"/>
    </xf>
    <xf numFmtId="4" fontId="43" fillId="0" borderId="72" xfId="0" applyNumberFormat="1" applyFont="1" applyBorder="1" applyAlignment="1">
      <alignment horizontal="center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4" fontId="32" fillId="0" borderId="73" xfId="0" applyNumberFormat="1" applyFont="1" applyBorder="1" applyAlignment="1">
      <alignment horizontal="center" vertical="center" wrapText="1"/>
    </xf>
    <xf numFmtId="0" fontId="42" fillId="4" borderId="74" xfId="0" applyFont="1" applyFill="1" applyBorder="1" applyAlignment="1">
      <alignment vertical="center" wrapText="1"/>
    </xf>
    <xf numFmtId="4" fontId="43" fillId="4" borderId="74" xfId="0" applyNumberFormat="1" applyFont="1" applyFill="1" applyBorder="1" applyAlignment="1">
      <alignment horizontal="center" vertical="center" wrapText="1"/>
    </xf>
    <xf numFmtId="4" fontId="43" fillId="4" borderId="25" xfId="0" applyNumberFormat="1" applyFont="1" applyFill="1" applyBorder="1" applyAlignment="1">
      <alignment horizontal="center" vertical="center" wrapText="1"/>
    </xf>
    <xf numFmtId="4" fontId="43" fillId="4" borderId="48" xfId="0" applyNumberFormat="1" applyFont="1" applyFill="1" applyBorder="1" applyAlignment="1">
      <alignment horizontal="center" vertical="center" wrapText="1"/>
    </xf>
    <xf numFmtId="0" fontId="42" fillId="0" borderId="74" xfId="0" applyFont="1" applyBorder="1" applyAlignment="1">
      <alignment vertical="center" wrapText="1"/>
    </xf>
    <xf numFmtId="4" fontId="43" fillId="0" borderId="74" xfId="0" applyNumberFormat="1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48" xfId="0" applyNumberFormat="1" applyFont="1" applyBorder="1" applyAlignment="1">
      <alignment horizontal="center" vertical="center" wrapText="1"/>
    </xf>
    <xf numFmtId="0" fontId="42" fillId="0" borderId="75" xfId="0" applyFont="1" applyBorder="1" applyAlignment="1">
      <alignment vertical="center" wrapText="1"/>
    </xf>
    <xf numFmtId="4" fontId="43" fillId="0" borderId="75" xfId="0" applyNumberFormat="1" applyFont="1" applyBorder="1" applyAlignment="1">
      <alignment horizontal="center" vertical="center" wrapText="1"/>
    </xf>
    <xf numFmtId="4" fontId="43" fillId="0" borderId="31" xfId="0" applyNumberFormat="1" applyFont="1" applyBorder="1" applyAlignment="1">
      <alignment horizontal="center" vertical="center" wrapText="1"/>
    </xf>
    <xf numFmtId="4" fontId="43" fillId="0" borderId="76" xfId="0" applyNumberFormat="1" applyFont="1" applyBorder="1" applyAlignment="1">
      <alignment horizontal="center" vertical="center" wrapText="1"/>
    </xf>
    <xf numFmtId="0" fontId="42" fillId="2" borderId="77" xfId="0" applyFont="1" applyFill="1" applyBorder="1" applyAlignment="1">
      <alignment vertical="center" wrapText="1"/>
    </xf>
    <xf numFmtId="4" fontId="42" fillId="2" borderId="77" xfId="0" applyNumberFormat="1" applyFont="1" applyFill="1" applyBorder="1" applyAlignment="1">
      <alignment horizontal="center" vertical="center" wrapText="1"/>
    </xf>
    <xf numFmtId="4" fontId="42" fillId="2" borderId="78" xfId="0" applyNumberFormat="1" applyFont="1" applyFill="1" applyBorder="1" applyAlignment="1">
      <alignment horizontal="center" vertical="center" wrapText="1"/>
    </xf>
    <xf numFmtId="4" fontId="42" fillId="2" borderId="79" xfId="0" applyNumberFormat="1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center" vertical="center"/>
    </xf>
    <xf numFmtId="0" fontId="27" fillId="12" borderId="5" xfId="0" applyFont="1" applyFill="1" applyBorder="1" applyAlignment="1">
      <alignment horizontal="center" vertical="center"/>
    </xf>
    <xf numFmtId="0" fontId="36" fillId="0" borderId="43" xfId="0" applyFont="1" applyBorder="1" applyAlignment="1">
      <alignment horizontal="left" vertical="top"/>
    </xf>
    <xf numFmtId="49" fontId="35" fillId="0" borderId="2" xfId="0" applyNumberFormat="1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4" fontId="35" fillId="0" borderId="2" xfId="0" applyNumberFormat="1" applyFont="1" applyBorder="1" applyAlignment="1">
      <alignment horizontal="center" vertical="center" wrapText="1"/>
    </xf>
    <xf numFmtId="14" fontId="35" fillId="0" borderId="2" xfId="0" applyNumberFormat="1" applyFont="1" applyBorder="1" applyAlignment="1">
      <alignment horizontal="center" vertical="center" wrapText="1"/>
    </xf>
    <xf numFmtId="14" fontId="35" fillId="0" borderId="7" xfId="0" applyNumberFormat="1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 wrapText="1"/>
    </xf>
    <xf numFmtId="4" fontId="35" fillId="0" borderId="3" xfId="0" applyNumberFormat="1" applyFont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32" xfId="0" applyFont="1" applyBorder="1" applyAlignment="1">
      <alignment horizontal="center" vertical="top"/>
    </xf>
    <xf numFmtId="4" fontId="26" fillId="0" borderId="32" xfId="0" applyNumberFormat="1" applyFont="1" applyBorder="1" applyAlignment="1">
      <alignment horizontal="right" vertical="top"/>
    </xf>
    <xf numFmtId="0" fontId="36" fillId="0" borderId="32" xfId="0" applyFont="1" applyBorder="1" applyAlignment="1">
      <alignment horizontal="center" vertical="top"/>
    </xf>
    <xf numFmtId="0" fontId="44" fillId="0" borderId="0" xfId="0" applyFont="1"/>
    <xf numFmtId="0" fontId="28" fillId="0" borderId="58" xfId="0" applyFont="1" applyBorder="1" applyAlignment="1">
      <alignment vertical="center" wrapText="1"/>
    </xf>
    <xf numFmtId="4" fontId="46" fillId="0" borderId="58" xfId="0" applyNumberFormat="1" applyFont="1" applyBorder="1" applyAlignment="1">
      <alignment horizontal="right" vertical="center" wrapText="1"/>
    </xf>
    <xf numFmtId="0" fontId="26" fillId="0" borderId="58" xfId="0" applyFont="1" applyBorder="1"/>
    <xf numFmtId="0" fontId="28" fillId="0" borderId="26" xfId="0" applyFont="1" applyBorder="1" applyAlignment="1">
      <alignment vertical="center" wrapText="1"/>
    </xf>
    <xf numFmtId="4" fontId="46" fillId="0" borderId="26" xfId="0" applyNumberFormat="1" applyFont="1" applyBorder="1" applyAlignment="1">
      <alignment horizontal="right" vertical="center" wrapText="1"/>
    </xf>
    <xf numFmtId="0" fontId="26" fillId="0" borderId="26" xfId="0" applyFont="1" applyBorder="1"/>
    <xf numFmtId="0" fontId="28" fillId="0" borderId="67" xfId="0" applyFont="1" applyBorder="1" applyAlignment="1">
      <alignment vertical="center" wrapText="1"/>
    </xf>
    <xf numFmtId="4" fontId="46" fillId="0" borderId="67" xfId="0" applyNumberFormat="1" applyFont="1" applyBorder="1" applyAlignment="1">
      <alignment horizontal="right" vertical="center" wrapText="1"/>
    </xf>
    <xf numFmtId="0" fontId="26" fillId="0" borderId="67" xfId="0" applyFont="1" applyBorder="1"/>
    <xf numFmtId="0" fontId="40" fillId="0" borderId="23" xfId="0" applyFont="1" applyBorder="1" applyAlignment="1">
      <alignment vertical="center" wrapText="1"/>
    </xf>
    <xf numFmtId="4" fontId="40" fillId="0" borderId="58" xfId="0" applyNumberFormat="1" applyFont="1" applyBorder="1" applyAlignment="1">
      <alignment horizontal="right" vertical="center" wrapText="1"/>
    </xf>
    <xf numFmtId="14" fontId="47" fillId="0" borderId="58" xfId="0" applyNumberFormat="1" applyFont="1" applyBorder="1" applyAlignment="1">
      <alignment horizontal="center" vertical="center" wrapText="1"/>
    </xf>
    <xf numFmtId="0" fontId="34" fillId="4" borderId="0" xfId="0" applyFont="1" applyFill="1"/>
    <xf numFmtId="0" fontId="39" fillId="0" borderId="20" xfId="0" applyFont="1" applyBorder="1" applyAlignment="1">
      <alignment vertical="center" wrapText="1"/>
    </xf>
    <xf numFmtId="4" fontId="39" fillId="0" borderId="58" xfId="0" applyNumberFormat="1" applyFont="1" applyBorder="1" applyAlignment="1">
      <alignment horizontal="right" vertical="center" wrapText="1"/>
    </xf>
    <xf numFmtId="14" fontId="39" fillId="0" borderId="58" xfId="0" applyNumberFormat="1" applyFont="1" applyBorder="1" applyAlignment="1">
      <alignment horizontal="center" vertical="center" wrapText="1"/>
    </xf>
    <xf numFmtId="0" fontId="39" fillId="0" borderId="32" xfId="0" applyFont="1" applyBorder="1" applyAlignment="1">
      <alignment vertical="center" wrapText="1"/>
    </xf>
    <xf numFmtId="4" fontId="39" fillId="0" borderId="32" xfId="0" applyNumberFormat="1" applyFont="1" applyBorder="1" applyAlignment="1">
      <alignment horizontal="right" vertical="center" wrapText="1"/>
    </xf>
    <xf numFmtId="14" fontId="39" fillId="0" borderId="32" xfId="0" applyNumberFormat="1" applyFont="1" applyBorder="1" applyAlignment="1">
      <alignment horizontal="center" vertical="center" wrapText="1"/>
    </xf>
    <xf numFmtId="0" fontId="26" fillId="0" borderId="58" xfId="0" applyNumberFormat="1" applyFont="1" applyBorder="1" applyAlignment="1">
      <alignment vertical="top" wrapText="1"/>
    </xf>
    <xf numFmtId="14" fontId="15" fillId="0" borderId="58" xfId="0" applyNumberFormat="1" applyFont="1" applyBorder="1" applyAlignment="1">
      <alignment horizontal="center" vertical="top" wrapText="1"/>
    </xf>
    <xf numFmtId="4" fontId="26" fillId="0" borderId="58" xfId="0" applyNumberFormat="1" applyFont="1" applyBorder="1"/>
    <xf numFmtId="3" fontId="26" fillId="0" borderId="26" xfId="0" applyNumberFormat="1" applyFont="1" applyBorder="1"/>
    <xf numFmtId="4" fontId="26" fillId="0" borderId="67" xfId="0" applyNumberFormat="1" applyFont="1" applyBorder="1"/>
    <xf numFmtId="4" fontId="48" fillId="0" borderId="20" xfId="0" applyNumberFormat="1" applyFont="1" applyBorder="1" applyAlignment="1">
      <alignment vertical="top" wrapText="1"/>
    </xf>
    <xf numFmtId="4" fontId="26" fillId="0" borderId="32" xfId="0" applyNumberFormat="1" applyFont="1" applyBorder="1" applyAlignment="1">
      <alignment vertical="top" wrapText="1"/>
    </xf>
    <xf numFmtId="0" fontId="48" fillId="0" borderId="20" xfId="0" applyFont="1" applyBorder="1" applyAlignment="1">
      <alignment horizontal="center" vertical="top"/>
    </xf>
    <xf numFmtId="4" fontId="48" fillId="0" borderId="58" xfId="0" applyNumberFormat="1" applyFont="1" applyBorder="1" applyAlignment="1">
      <alignment horizontal="right" vertical="top"/>
    </xf>
    <xf numFmtId="14" fontId="48" fillId="0" borderId="58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42" xfId="0" applyFont="1" applyBorder="1" applyAlignment="1">
      <alignment horizontal="center" vertical="top"/>
    </xf>
    <xf numFmtId="4" fontId="48" fillId="0" borderId="42" xfId="0" applyNumberFormat="1" applyFont="1" applyBorder="1" applyAlignment="1">
      <alignment horizontal="right" vertical="top"/>
    </xf>
    <xf numFmtId="14" fontId="48" fillId="0" borderId="4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49" fillId="0" borderId="42" xfId="0" applyFont="1" applyBorder="1" applyAlignment="1">
      <alignment horizontal="center" vertical="top"/>
    </xf>
    <xf numFmtId="4" fontId="49" fillId="0" borderId="42" xfId="0" applyNumberFormat="1" applyFont="1" applyBorder="1" applyAlignment="1">
      <alignment horizontal="right" vertical="top"/>
    </xf>
    <xf numFmtId="14" fontId="49" fillId="0" borderId="42" xfId="0" applyNumberFormat="1" applyFont="1" applyBorder="1" applyAlignment="1">
      <alignment horizontal="center" vertical="top" wrapText="1"/>
    </xf>
    <xf numFmtId="0" fontId="50" fillId="0" borderId="0" xfId="0" applyFont="1"/>
    <xf numFmtId="0" fontId="51" fillId="0" borderId="11" xfId="0" applyFont="1" applyBorder="1" applyAlignment="1">
      <alignment horizontal="left" vertical="top" wrapText="1"/>
    </xf>
    <xf numFmtId="0" fontId="51" fillId="0" borderId="42" xfId="0" applyFont="1" applyBorder="1" applyAlignment="1">
      <alignment horizontal="center" vertical="top" wrapText="1"/>
    </xf>
    <xf numFmtId="4" fontId="51" fillId="0" borderId="42" xfId="0" applyNumberFormat="1" applyFont="1" applyBorder="1" applyAlignment="1">
      <alignment horizontal="right" vertical="top"/>
    </xf>
    <xf numFmtId="14" fontId="51" fillId="0" borderId="42" xfId="0" applyNumberFormat="1" applyFont="1" applyBorder="1" applyAlignment="1">
      <alignment horizontal="center" vertical="top" wrapText="1"/>
    </xf>
    <xf numFmtId="0" fontId="51" fillId="0" borderId="42" xfId="0" applyFont="1" applyBorder="1" applyAlignment="1">
      <alignment horizontal="center" vertical="top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13" borderId="1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4" fontId="60" fillId="6" borderId="26" xfId="0" applyNumberFormat="1" applyFont="1" applyFill="1" applyBorder="1" applyAlignment="1">
      <alignment vertical="top" wrapText="1"/>
    </xf>
    <xf numFmtId="0" fontId="59" fillId="0" borderId="0" xfId="0" applyFont="1"/>
    <xf numFmtId="4" fontId="57" fillId="0" borderId="0" xfId="0" applyNumberFormat="1" applyFont="1" applyAlignment="1"/>
    <xf numFmtId="0" fontId="62" fillId="0" borderId="0" xfId="0" applyFont="1"/>
    <xf numFmtId="0" fontId="58" fillId="13" borderId="1" xfId="0" applyFont="1" applyFill="1" applyBorder="1" applyAlignment="1">
      <alignment horizontal="center" vertical="center" wrapText="1"/>
    </xf>
    <xf numFmtId="0" fontId="63" fillId="0" borderId="0" xfId="0" applyFont="1"/>
    <xf numFmtId="0" fontId="60" fillId="0" borderId="38" xfId="0" applyFont="1" applyBorder="1" applyAlignment="1">
      <alignment vertical="center" wrapText="1"/>
    </xf>
    <xf numFmtId="4" fontId="64" fillId="0" borderId="58" xfId="0" applyNumberFormat="1" applyFont="1" applyBorder="1" applyAlignment="1">
      <alignment horizontal="right" vertical="center" wrapText="1"/>
    </xf>
    <xf numFmtId="0" fontId="35" fillId="0" borderId="80" xfId="0" applyFont="1" applyBorder="1" applyAlignment="1">
      <alignment horizontal="left" vertical="top" wrapText="1"/>
    </xf>
    <xf numFmtId="0" fontId="35" fillId="0" borderId="73" xfId="0" applyFont="1" applyBorder="1" applyAlignment="1">
      <alignment horizontal="left" vertical="top" wrapText="1"/>
    </xf>
    <xf numFmtId="0" fontId="35" fillId="0" borderId="64" xfId="0" applyFont="1" applyBorder="1" applyAlignment="1">
      <alignment horizontal="left" vertical="top" wrapText="1"/>
    </xf>
    <xf numFmtId="0" fontId="60" fillId="0" borderId="23" xfId="0" applyFont="1" applyBorder="1" applyAlignment="1">
      <alignment vertical="center" wrapText="1"/>
    </xf>
    <xf numFmtId="4" fontId="64" fillId="0" borderId="26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 vertical="center" wrapText="1"/>
    </xf>
    <xf numFmtId="0" fontId="60" fillId="0" borderId="81" xfId="0" applyFont="1" applyBorder="1" applyAlignment="1">
      <alignment vertical="center" wrapText="1"/>
    </xf>
    <xf numFmtId="4" fontId="64" fillId="0" borderId="67" xfId="0" applyNumberFormat="1" applyFont="1" applyBorder="1" applyAlignment="1">
      <alignment horizontal="right" vertical="center" wrapText="1"/>
    </xf>
    <xf numFmtId="0" fontId="60" fillId="6" borderId="1" xfId="0" applyFont="1" applyFill="1" applyBorder="1" applyAlignment="1">
      <alignment vertical="center" wrapText="1"/>
    </xf>
    <xf numFmtId="4" fontId="60" fillId="6" borderId="1" xfId="0" applyNumberFormat="1" applyFont="1" applyFill="1" applyBorder="1" applyAlignment="1">
      <alignment horizontal="right" vertical="center" wrapText="1"/>
    </xf>
    <xf numFmtId="0" fontId="57" fillId="0" borderId="0" xfId="0" applyFont="1" applyFill="1"/>
    <xf numFmtId="4" fontId="57" fillId="0" borderId="0" xfId="0" applyNumberFormat="1" applyFont="1" applyFill="1" applyAlignment="1"/>
    <xf numFmtId="0" fontId="60" fillId="0" borderId="0" xfId="0" applyFont="1"/>
    <xf numFmtId="4" fontId="58" fillId="13" borderId="1" xfId="0" applyNumberFormat="1" applyFont="1" applyFill="1" applyBorder="1" applyAlignment="1">
      <alignment horizontal="center"/>
    </xf>
    <xf numFmtId="4" fontId="57" fillId="0" borderId="26" xfId="0" applyNumberFormat="1" applyFont="1" applyBorder="1" applyAlignment="1">
      <alignment horizontal="right" vertical="top" wrapText="1"/>
    </xf>
    <xf numFmtId="0" fontId="61" fillId="0" borderId="26" xfId="0" applyNumberFormat="1" applyFont="1" applyBorder="1" applyAlignment="1">
      <alignment vertical="top" wrapText="1"/>
    </xf>
    <xf numFmtId="4" fontId="57" fillId="0" borderId="58" xfId="0" applyNumberFormat="1" applyFont="1" applyBorder="1" applyAlignment="1">
      <alignment horizontal="right" vertical="top" wrapText="1"/>
    </xf>
    <xf numFmtId="0" fontId="61" fillId="0" borderId="58" xfId="0" applyNumberFormat="1" applyFont="1" applyBorder="1" applyAlignment="1">
      <alignment vertical="top" wrapText="1"/>
    </xf>
    <xf numFmtId="0" fontId="59" fillId="6" borderId="1" xfId="0" applyFont="1" applyFill="1" applyBorder="1"/>
    <xf numFmtId="4" fontId="59" fillId="6" borderId="1" xfId="0" applyNumberFormat="1" applyFont="1" applyFill="1" applyBorder="1"/>
    <xf numFmtId="4" fontId="57" fillId="0" borderId="0" xfId="0" applyNumberFormat="1" applyFont="1"/>
    <xf numFmtId="4" fontId="64" fillId="0" borderId="20" xfId="0" applyNumberFormat="1" applyFont="1" applyBorder="1" applyAlignment="1">
      <alignment vertical="top" wrapText="1"/>
    </xf>
    <xf numFmtId="4" fontId="64" fillId="0" borderId="42" xfId="0" applyNumberFormat="1" applyFont="1" applyBorder="1" applyAlignment="1">
      <alignment vertical="top" wrapText="1"/>
    </xf>
    <xf numFmtId="4" fontId="57" fillId="0" borderId="42" xfId="0" applyNumberFormat="1" applyFont="1" applyBorder="1" applyAlignment="1">
      <alignment vertical="top" wrapText="1"/>
    </xf>
    <xf numFmtId="4" fontId="61" fillId="0" borderId="42" xfId="0" applyNumberFormat="1" applyFont="1" applyBorder="1" applyAlignment="1">
      <alignment horizontal="left" vertical="top" wrapText="1"/>
    </xf>
    <xf numFmtId="4" fontId="64" fillId="0" borderId="32" xfId="0" applyNumberFormat="1" applyFont="1" applyBorder="1" applyAlignment="1">
      <alignment vertical="top" wrapText="1"/>
    </xf>
    <xf numFmtId="4" fontId="57" fillId="0" borderId="32" xfId="0" applyNumberFormat="1" applyFont="1" applyBorder="1" applyAlignment="1">
      <alignment vertical="top" wrapText="1"/>
    </xf>
    <xf numFmtId="4" fontId="60" fillId="6" borderId="1" xfId="0" applyNumberFormat="1" applyFont="1" applyFill="1" applyBorder="1" applyAlignment="1">
      <alignment vertical="top" wrapText="1"/>
    </xf>
    <xf numFmtId="0" fontId="59" fillId="0" borderId="0" xfId="0" applyFont="1" applyAlignment="1">
      <alignment vertical="center"/>
    </xf>
    <xf numFmtId="0" fontId="59" fillId="6" borderId="1" xfId="0" applyFont="1" applyFill="1" applyBorder="1" applyAlignment="1">
      <alignment horizontal="center" vertical="center" wrapText="1"/>
    </xf>
    <xf numFmtId="0" fontId="68" fillId="0" borderId="0" xfId="0" applyFont="1"/>
    <xf numFmtId="0" fontId="35" fillId="0" borderId="1" xfId="0" applyFont="1" applyBorder="1" applyAlignment="1">
      <alignment horizontal="center" vertical="center" wrapText="1"/>
    </xf>
    <xf numFmtId="4" fontId="64" fillId="0" borderId="1" xfId="0" applyNumberFormat="1" applyFont="1" applyBorder="1" applyAlignment="1">
      <alignment horizontal="right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0" fontId="64" fillId="0" borderId="0" xfId="0" applyFont="1"/>
    <xf numFmtId="0" fontId="35" fillId="0" borderId="1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4" fontId="57" fillId="0" borderId="1" xfId="0" applyNumberFormat="1" applyFont="1" applyBorder="1" applyAlignment="1">
      <alignment horizontal="right" vertical="center" wrapText="1"/>
    </xf>
    <xf numFmtId="0" fontId="59" fillId="15" borderId="1" xfId="0" applyFont="1" applyFill="1" applyBorder="1" applyAlignment="1">
      <alignment vertical="center" wrapText="1"/>
    </xf>
    <xf numFmtId="0" fontId="61" fillId="0" borderId="0" xfId="0" applyFont="1"/>
    <xf numFmtId="0" fontId="71" fillId="3" borderId="1" xfId="0" applyFont="1" applyFill="1" applyBorder="1" applyAlignment="1">
      <alignment horizontal="center"/>
    </xf>
    <xf numFmtId="4" fontId="71" fillId="2" borderId="26" xfId="0" applyNumberFormat="1" applyFont="1" applyFill="1" applyBorder="1" applyAlignment="1">
      <alignment vertical="top" wrapText="1"/>
    </xf>
    <xf numFmtId="0" fontId="71" fillId="3" borderId="1" xfId="0" applyFont="1" applyFill="1" applyBorder="1" applyAlignment="1">
      <alignment horizontal="center" vertical="center" wrapText="1"/>
    </xf>
    <xf numFmtId="0" fontId="71" fillId="0" borderId="58" xfId="0" applyFont="1" applyBorder="1" applyAlignment="1">
      <alignment vertical="center" wrapText="1"/>
    </xf>
    <xf numFmtId="4" fontId="74" fillId="0" borderId="58" xfId="0" applyNumberFormat="1" applyFont="1" applyBorder="1" applyAlignment="1">
      <alignment horizontal="right" vertical="center" wrapText="1"/>
    </xf>
    <xf numFmtId="0" fontId="71" fillId="0" borderId="26" xfId="0" applyFont="1" applyBorder="1" applyAlignment="1">
      <alignment vertical="center" wrapText="1"/>
    </xf>
    <xf numFmtId="4" fontId="74" fillId="0" borderId="26" xfId="0" applyNumberFormat="1" applyFont="1" applyBorder="1" applyAlignment="1">
      <alignment horizontal="right" vertical="center" wrapText="1"/>
    </xf>
    <xf numFmtId="0" fontId="71" fillId="0" borderId="67" xfId="0" applyFont="1" applyBorder="1" applyAlignment="1">
      <alignment vertical="center" wrapText="1"/>
    </xf>
    <xf numFmtId="4" fontId="74" fillId="0" borderId="67" xfId="0" applyNumberFormat="1" applyFont="1" applyBorder="1" applyAlignment="1">
      <alignment horizontal="right" vertical="center" wrapText="1"/>
    </xf>
    <xf numFmtId="0" fontId="71" fillId="2" borderId="1" xfId="0" applyFont="1" applyFill="1" applyBorder="1" applyAlignment="1">
      <alignment vertical="center" wrapText="1"/>
    </xf>
    <xf numFmtId="4" fontId="71" fillId="2" borderId="1" xfId="0" applyNumberFormat="1" applyFont="1" applyFill="1" applyBorder="1" applyAlignment="1">
      <alignment horizontal="right" vertical="center" wrapText="1"/>
    </xf>
    <xf numFmtId="0" fontId="72" fillId="0" borderId="0" xfId="0" applyFont="1"/>
    <xf numFmtId="4" fontId="71" fillId="3" borderId="1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right" vertical="top" wrapText="1"/>
    </xf>
    <xf numFmtId="0" fontId="39" fillId="0" borderId="20" xfId="0" applyNumberFormat="1" applyFont="1" applyBorder="1" applyAlignment="1">
      <alignment vertical="top" wrapText="1"/>
    </xf>
    <xf numFmtId="4" fontId="39" fillId="0" borderId="58" xfId="0" applyNumberFormat="1" applyFont="1" applyBorder="1" applyAlignment="1">
      <alignment horizontal="right" vertical="top" wrapText="1"/>
    </xf>
    <xf numFmtId="0" fontId="39" fillId="0" borderId="58" xfId="0" applyNumberFormat="1" applyFont="1" applyBorder="1" applyAlignment="1">
      <alignment vertical="top" wrapText="1"/>
    </xf>
    <xf numFmtId="0" fontId="71" fillId="2" borderId="1" xfId="0" applyFont="1" applyFill="1" applyBorder="1"/>
    <xf numFmtId="4" fontId="71" fillId="2" borderId="1" xfId="0" applyNumberFormat="1" applyFont="1" applyFill="1" applyBorder="1"/>
    <xf numFmtId="0" fontId="39" fillId="0" borderId="0" xfId="0" applyFont="1" applyFill="1"/>
    <xf numFmtId="4" fontId="39" fillId="0" borderId="0" xfId="0" applyNumberFormat="1" applyFont="1" applyFill="1" applyAlignment="1"/>
    <xf numFmtId="0" fontId="71" fillId="0" borderId="0" xfId="0" applyFont="1"/>
    <xf numFmtId="4" fontId="39" fillId="0" borderId="0" xfId="0" applyNumberFormat="1" applyFont="1" applyAlignment="1"/>
    <xf numFmtId="4" fontId="39" fillId="0" borderId="0" xfId="0" applyNumberFormat="1" applyFont="1"/>
    <xf numFmtId="4" fontId="39" fillId="0" borderId="20" xfId="0" applyNumberFormat="1" applyFont="1" applyBorder="1" applyAlignment="1">
      <alignment vertical="top" wrapText="1"/>
    </xf>
    <xf numFmtId="4" fontId="39" fillId="0" borderId="32" xfId="0" applyNumberFormat="1" applyFont="1" applyBorder="1" applyAlignment="1">
      <alignment vertical="top" wrapText="1"/>
    </xf>
    <xf numFmtId="4" fontId="71" fillId="2" borderId="1" xfId="0" applyNumberFormat="1" applyFont="1" applyFill="1" applyBorder="1" applyAlignment="1">
      <alignment vertical="top" wrapText="1"/>
    </xf>
    <xf numFmtId="0" fontId="39" fillId="0" borderId="1" xfId="0" applyFont="1" applyBorder="1" applyAlignment="1">
      <alignment horizontal="center" vertical="top"/>
    </xf>
    <xf numFmtId="4" fontId="39" fillId="0" borderId="1" xfId="0" applyNumberFormat="1" applyFont="1" applyBorder="1" applyAlignment="1">
      <alignment horizontal="right" vertical="top"/>
    </xf>
    <xf numFmtId="14" fontId="44" fillId="0" borderId="1" xfId="0" applyNumberFormat="1" applyFont="1" applyBorder="1" applyAlignment="1">
      <alignment horizontal="center" vertical="top" wrapText="1"/>
    </xf>
    <xf numFmtId="0" fontId="71" fillId="12" borderId="1" xfId="0" applyFont="1" applyFill="1" applyBorder="1" applyAlignment="1">
      <alignment vertical="center" wrapText="1"/>
    </xf>
    <xf numFmtId="0" fontId="39" fillId="0" borderId="20" xfId="0" applyFont="1" applyBorder="1" applyAlignment="1">
      <alignment horizontal="center" vertical="top"/>
    </xf>
    <xf numFmtId="4" fontId="39" fillId="0" borderId="58" xfId="0" applyNumberFormat="1" applyFont="1" applyBorder="1" applyAlignment="1">
      <alignment horizontal="right" vertical="top"/>
    </xf>
    <xf numFmtId="0" fontId="73" fillId="0" borderId="58" xfId="0" applyFont="1" applyBorder="1" applyAlignment="1">
      <alignment horizontal="center" vertical="top"/>
    </xf>
    <xf numFmtId="0" fontId="39" fillId="0" borderId="32" xfId="0" applyFont="1" applyBorder="1" applyAlignment="1">
      <alignment horizontal="center" vertical="top"/>
    </xf>
    <xf numFmtId="4" fontId="39" fillId="0" borderId="32" xfId="0" applyNumberFormat="1" applyFont="1" applyBorder="1" applyAlignment="1">
      <alignment horizontal="right" vertical="top"/>
    </xf>
    <xf numFmtId="0" fontId="73" fillId="0" borderId="32" xfId="0" applyFont="1" applyBorder="1" applyAlignment="1">
      <alignment horizontal="center" vertical="top"/>
    </xf>
    <xf numFmtId="4" fontId="43" fillId="4" borderId="0" xfId="0" applyNumberFormat="1" applyFont="1" applyFill="1" applyBorder="1" applyAlignment="1">
      <alignment horizontal="right" vertical="center" wrapText="1"/>
    </xf>
    <xf numFmtId="4" fontId="26" fillId="0" borderId="26" xfId="0" applyNumberFormat="1" applyFont="1" applyBorder="1"/>
    <xf numFmtId="4" fontId="42" fillId="4" borderId="0" xfId="0" applyNumberFormat="1" applyFont="1" applyFill="1" applyBorder="1" applyAlignment="1">
      <alignment horizontal="right" vertical="center" wrapText="1"/>
    </xf>
    <xf numFmtId="0" fontId="26" fillId="0" borderId="26" xfId="0" applyNumberFormat="1" applyFont="1" applyBorder="1" applyAlignment="1">
      <alignment vertical="top" wrapText="1"/>
    </xf>
    <xf numFmtId="0" fontId="42" fillId="0" borderId="8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4" fontId="42" fillId="0" borderId="1" xfId="0" applyNumberFormat="1" applyFont="1" applyBorder="1" applyAlignment="1">
      <alignment horizontal="center" vertical="center"/>
    </xf>
    <xf numFmtId="4" fontId="42" fillId="0" borderId="1" xfId="0" applyNumberFormat="1" applyFont="1" applyBorder="1" applyAlignment="1">
      <alignment horizontal="center" vertical="center" wrapText="1"/>
    </xf>
    <xf numFmtId="14" fontId="42" fillId="4" borderId="1" xfId="0" applyNumberFormat="1" applyFont="1" applyFill="1" applyBorder="1" applyAlignment="1">
      <alignment horizontal="right" vertical="center" wrapText="1"/>
    </xf>
    <xf numFmtId="0" fontId="42" fillId="0" borderId="8" xfId="0" applyFont="1" applyBorder="1" applyAlignment="1">
      <alignment horizontal="left" vertical="center"/>
    </xf>
    <xf numFmtId="0" fontId="31" fillId="4" borderId="8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left" vertical="center"/>
    </xf>
    <xf numFmtId="4" fontId="31" fillId="4" borderId="1" xfId="0" applyNumberFormat="1" applyFont="1" applyFill="1" applyBorder="1" applyAlignment="1">
      <alignment horizontal="center" vertical="center"/>
    </xf>
    <xf numFmtId="4" fontId="31" fillId="4" borderId="1" xfId="0" applyNumberFormat="1" applyFont="1" applyFill="1" applyBorder="1" applyAlignment="1">
      <alignment horizontal="center" vertical="center" wrapText="1"/>
    </xf>
    <xf numFmtId="0" fontId="76" fillId="0" borderId="0" xfId="0" applyFont="1"/>
    <xf numFmtId="4" fontId="32" fillId="0" borderId="58" xfId="0" applyNumberFormat="1" applyFont="1" applyBorder="1" applyAlignment="1">
      <alignment horizontal="right" vertical="center" wrapText="1"/>
    </xf>
    <xf numFmtId="4" fontId="43" fillId="0" borderId="58" xfId="0" applyNumberFormat="1" applyFont="1" applyBorder="1" applyAlignment="1">
      <alignment horizontal="right" vertical="center" wrapText="1"/>
    </xf>
    <xf numFmtId="4" fontId="43" fillId="0" borderId="39" xfId="0" applyNumberFormat="1" applyFont="1" applyBorder="1" applyAlignment="1">
      <alignment horizontal="right" vertical="center" wrapText="1"/>
    </xf>
    <xf numFmtId="0" fontId="15" fillId="0" borderId="80" xfId="0" applyFont="1" applyBorder="1" applyAlignment="1">
      <alignment horizontal="left" vertical="top" wrapText="1"/>
    </xf>
    <xf numFmtId="0" fontId="15" fillId="0" borderId="73" xfId="0" applyFont="1" applyBorder="1" applyAlignment="1">
      <alignment horizontal="left" vertical="top" wrapText="1"/>
    </xf>
    <xf numFmtId="0" fontId="15" fillId="0" borderId="64" xfId="0" applyFont="1" applyBorder="1" applyAlignment="1">
      <alignment horizontal="left" vertical="top" wrapText="1"/>
    </xf>
    <xf numFmtId="4" fontId="43" fillId="0" borderId="26" xfId="0" applyNumberFormat="1" applyFont="1" applyBorder="1" applyAlignment="1">
      <alignment horizontal="right" vertical="center" wrapText="1"/>
    </xf>
    <xf numFmtId="4" fontId="43" fillId="0" borderId="24" xfId="0" applyNumberFormat="1" applyFont="1" applyBorder="1" applyAlignment="1">
      <alignment horizontal="right" vertical="center" wrapText="1"/>
    </xf>
    <xf numFmtId="4" fontId="32" fillId="0" borderId="67" xfId="0" applyNumberFormat="1" applyFont="1" applyBorder="1" applyAlignment="1">
      <alignment horizontal="right" vertical="center" wrapText="1"/>
    </xf>
    <xf numFmtId="4" fontId="43" fillId="0" borderId="67" xfId="0" applyNumberFormat="1" applyFont="1" applyBorder="1" applyAlignment="1">
      <alignment horizontal="right" vertical="center" wrapText="1"/>
    </xf>
    <xf numFmtId="4" fontId="43" fillId="0" borderId="82" xfId="0" applyNumberFormat="1" applyFont="1" applyBorder="1" applyAlignment="1">
      <alignment horizontal="right" vertical="center" wrapText="1"/>
    </xf>
    <xf numFmtId="0" fontId="15" fillId="0" borderId="43" xfId="0" applyFont="1" applyBorder="1" applyAlignment="1">
      <alignment horizontal="left" vertical="top"/>
    </xf>
    <xf numFmtId="0" fontId="15" fillId="0" borderId="0" xfId="0" applyFont="1"/>
    <xf numFmtId="0" fontId="15" fillId="0" borderId="11" xfId="0" applyFont="1" applyBorder="1" applyAlignment="1">
      <alignment horizontal="left" vertical="top" wrapText="1"/>
    </xf>
    <xf numFmtId="0" fontId="26" fillId="0" borderId="42" xfId="0" applyFont="1" applyBorder="1" applyAlignment="1">
      <alignment horizontal="center" vertical="top"/>
    </xf>
    <xf numFmtId="4" fontId="26" fillId="0" borderId="42" xfId="0" applyNumberFormat="1" applyFont="1" applyBorder="1" applyAlignment="1">
      <alignment horizontal="right" vertical="top"/>
    </xf>
    <xf numFmtId="14" fontId="15" fillId="0" borderId="42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center" vertical="top" wrapText="1"/>
    </xf>
    <xf numFmtId="14" fontId="15" fillId="0" borderId="32" xfId="0" applyNumberFormat="1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31" fillId="0" borderId="0" xfId="0" applyFont="1"/>
    <xf numFmtId="0" fontId="15" fillId="0" borderId="36" xfId="0" applyFont="1" applyFill="1" applyBorder="1" applyAlignment="1">
      <alignment vertical="center" wrapText="1"/>
    </xf>
    <xf numFmtId="165" fontId="12" fillId="0" borderId="36" xfId="1" applyNumberFormat="1" applyFont="1" applyFill="1" applyBorder="1" applyAlignment="1">
      <alignment horizontal="left" vertical="center" wrapText="1"/>
    </xf>
    <xf numFmtId="165" fontId="12" fillId="0" borderId="36" xfId="1" applyNumberFormat="1" applyFont="1" applyFill="1" applyBorder="1" applyAlignment="1">
      <alignment horizontal="center" vertical="center" wrapText="1"/>
    </xf>
    <xf numFmtId="14" fontId="15" fillId="0" borderId="36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165" fontId="15" fillId="0" borderId="36" xfId="1" applyNumberFormat="1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vertical="center" wrapText="1"/>
    </xf>
    <xf numFmtId="165" fontId="15" fillId="0" borderId="45" xfId="1" applyNumberFormat="1" applyFont="1" applyFill="1" applyBorder="1" applyAlignment="1">
      <alignment horizontal="left" vertical="center" wrapText="1"/>
    </xf>
    <xf numFmtId="165" fontId="15" fillId="0" borderId="45" xfId="1" applyNumberFormat="1" applyFont="1" applyFill="1" applyBorder="1" applyAlignment="1">
      <alignment horizontal="center" vertical="center" wrapText="1"/>
    </xf>
    <xf numFmtId="14" fontId="15" fillId="0" borderId="45" xfId="0" applyNumberFormat="1" applyFont="1" applyFill="1" applyBorder="1" applyAlignment="1">
      <alignment horizontal="center" vertical="center" wrapText="1"/>
    </xf>
    <xf numFmtId="165" fontId="12" fillId="0" borderId="45" xfId="1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43" fontId="15" fillId="0" borderId="36" xfId="1" applyFont="1" applyBorder="1" applyAlignment="1">
      <alignment horizontal="right" vertical="center" wrapText="1"/>
    </xf>
    <xf numFmtId="14" fontId="15" fillId="0" borderId="36" xfId="0" applyNumberFormat="1" applyFont="1" applyBorder="1" applyAlignment="1">
      <alignment horizontal="center" vertical="center" wrapText="1"/>
    </xf>
    <xf numFmtId="43" fontId="12" fillId="0" borderId="36" xfId="1" applyFont="1" applyFill="1" applyBorder="1" applyAlignment="1">
      <alignment horizontal="right" vertical="center" wrapText="1"/>
    </xf>
    <xf numFmtId="43" fontId="15" fillId="0" borderId="36" xfId="1" applyFont="1" applyFill="1" applyBorder="1" applyAlignment="1">
      <alignment horizontal="right" vertical="center" wrapText="1"/>
    </xf>
    <xf numFmtId="0" fontId="12" fillId="0" borderId="0" xfId="0" applyFont="1" applyFill="1"/>
    <xf numFmtId="43" fontId="15" fillId="0" borderId="58" xfId="1" applyFont="1" applyFill="1" applyBorder="1" applyAlignment="1">
      <alignment horizontal="right" vertical="center" wrapText="1"/>
    </xf>
    <xf numFmtId="14" fontId="15" fillId="0" borderId="58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4" fontId="26" fillId="0" borderId="42" xfId="0" applyNumberFormat="1" applyFont="1" applyBorder="1" applyAlignment="1">
      <alignment vertical="top" wrapText="1"/>
    </xf>
    <xf numFmtId="49" fontId="59" fillId="0" borderId="70" xfId="0" applyNumberFormat="1" applyFont="1" applyFill="1" applyBorder="1" applyAlignment="1">
      <alignment vertical="center" wrapText="1"/>
    </xf>
    <xf numFmtId="3" fontId="59" fillId="0" borderId="70" xfId="0" applyNumberFormat="1" applyFont="1" applyFill="1" applyBorder="1" applyAlignment="1">
      <alignment horizontal="right" vertical="center" wrapText="1"/>
    </xf>
    <xf numFmtId="49" fontId="59" fillId="0" borderId="84" xfId="0" applyNumberFormat="1" applyFont="1" applyFill="1" applyBorder="1" applyAlignment="1">
      <alignment vertical="center" wrapText="1"/>
    </xf>
    <xf numFmtId="49" fontId="59" fillId="0" borderId="86" xfId="0" applyNumberFormat="1" applyFont="1" applyFill="1" applyBorder="1" applyAlignment="1">
      <alignment vertical="center" wrapText="1"/>
    </xf>
    <xf numFmtId="3" fontId="59" fillId="0" borderId="86" xfId="0" applyNumberFormat="1" applyFont="1" applyFill="1" applyBorder="1" applyAlignment="1">
      <alignment vertical="center" wrapText="1"/>
    </xf>
    <xf numFmtId="3" fontId="59" fillId="0" borderId="86" xfId="0" applyNumberFormat="1" applyFont="1" applyFill="1" applyBorder="1" applyAlignment="1">
      <alignment horizontal="right" vertical="center" wrapText="1"/>
    </xf>
    <xf numFmtId="49" fontId="59" fillId="0" borderId="87" xfId="0" applyNumberFormat="1" applyFont="1" applyFill="1" applyBorder="1" applyAlignment="1">
      <alignment vertical="center" wrapText="1"/>
    </xf>
    <xf numFmtId="3" fontId="59" fillId="0" borderId="70" xfId="0" applyNumberFormat="1" applyFont="1" applyFill="1" applyBorder="1" applyAlignment="1">
      <alignment vertical="center" wrapText="1"/>
    </xf>
    <xf numFmtId="49" fontId="59" fillId="0" borderId="78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horizontal="right" vertical="center" wrapText="1"/>
    </xf>
    <xf numFmtId="49" fontId="59" fillId="0" borderId="89" xfId="0" applyNumberFormat="1" applyFont="1" applyFill="1" applyBorder="1" applyAlignment="1">
      <alignment vertical="center" wrapText="1"/>
    </xf>
    <xf numFmtId="0" fontId="36" fillId="0" borderId="58" xfId="0" applyFont="1" applyBorder="1" applyAlignment="1">
      <alignment horizontal="center" vertical="top" wrapText="1"/>
    </xf>
    <xf numFmtId="4" fontId="77" fillId="0" borderId="58" xfId="0" applyNumberFormat="1" applyFont="1" applyBorder="1" applyAlignment="1">
      <alignment horizontal="right" vertical="center" wrapText="1"/>
    </xf>
    <xf numFmtId="4" fontId="77" fillId="0" borderId="39" xfId="0" applyNumberFormat="1" applyFont="1" applyBorder="1" applyAlignment="1">
      <alignment horizontal="right" vertical="center" wrapText="1"/>
    </xf>
    <xf numFmtId="4" fontId="77" fillId="0" borderId="26" xfId="0" applyNumberFormat="1" applyFont="1" applyBorder="1" applyAlignment="1">
      <alignment horizontal="right" vertical="center" wrapText="1"/>
    </xf>
    <xf numFmtId="4" fontId="77" fillId="0" borderId="24" xfId="0" applyNumberFormat="1" applyFont="1" applyBorder="1" applyAlignment="1">
      <alignment horizontal="right" vertical="center" wrapText="1"/>
    </xf>
    <xf numFmtId="4" fontId="77" fillId="0" borderId="67" xfId="0" applyNumberFormat="1" applyFont="1" applyBorder="1" applyAlignment="1">
      <alignment horizontal="right" vertical="center" wrapText="1"/>
    </xf>
    <xf numFmtId="4" fontId="77" fillId="0" borderId="82" xfId="0" applyNumberFormat="1" applyFont="1" applyBorder="1" applyAlignment="1">
      <alignment horizontal="right" vertical="center" wrapText="1"/>
    </xf>
    <xf numFmtId="0" fontId="12" fillId="4" borderId="0" xfId="0" applyFont="1" applyFill="1" applyBorder="1" applyAlignment="1">
      <alignment vertical="center" wrapText="1"/>
    </xf>
    <xf numFmtId="4" fontId="12" fillId="4" borderId="0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vertical="center" wrapText="1"/>
    </xf>
    <xf numFmtId="4" fontId="26" fillId="4" borderId="0" xfId="0" applyNumberFormat="1" applyFont="1" applyFill="1" applyBorder="1" applyAlignment="1">
      <alignment horizontal="left" vertical="center" wrapText="1"/>
    </xf>
    <xf numFmtId="4" fontId="28" fillId="4" borderId="0" xfId="0" applyNumberFormat="1" applyFont="1" applyFill="1" applyBorder="1" applyAlignment="1">
      <alignment horizontal="right" vertical="center" wrapText="1"/>
    </xf>
    <xf numFmtId="0" fontId="26" fillId="4" borderId="0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15" fillId="0" borderId="20" xfId="0" applyNumberFormat="1" applyFont="1" applyBorder="1" applyAlignment="1">
      <alignment vertical="top" wrapText="1"/>
    </xf>
    <xf numFmtId="0" fontId="15" fillId="0" borderId="58" xfId="0" applyNumberFormat="1" applyFont="1" applyBorder="1" applyAlignment="1">
      <alignment vertical="top" wrapText="1"/>
    </xf>
    <xf numFmtId="4" fontId="36" fillId="0" borderId="58" xfId="0" applyNumberFormat="1" applyFont="1" applyBorder="1" applyAlignment="1">
      <alignment horizontal="right" vertical="top" wrapText="1"/>
    </xf>
    <xf numFmtId="0" fontId="28" fillId="2" borderId="3" xfId="0" applyFont="1" applyFill="1" applyBorder="1"/>
    <xf numFmtId="0" fontId="28" fillId="4" borderId="0" xfId="0" applyFont="1" applyFill="1" applyBorder="1"/>
    <xf numFmtId="4" fontId="28" fillId="4" borderId="0" xfId="0" applyNumberFormat="1" applyFont="1" applyFill="1" applyBorder="1"/>
    <xf numFmtId="4" fontId="33" fillId="4" borderId="0" xfId="0" applyNumberFormat="1" applyFont="1" applyFill="1" applyBorder="1" applyAlignment="1">
      <alignment horizontal="left"/>
    </xf>
    <xf numFmtId="4" fontId="78" fillId="4" borderId="0" xfId="0" applyNumberFormat="1" applyFont="1" applyFill="1" applyBorder="1" applyAlignment="1">
      <alignment horizontal="left"/>
    </xf>
    <xf numFmtId="0" fontId="79" fillId="4" borderId="0" xfId="0" applyFont="1" applyFill="1" applyBorder="1"/>
    <xf numFmtId="4" fontId="79" fillId="4" borderId="0" xfId="0" applyNumberFormat="1" applyFont="1" applyFill="1" applyBorder="1"/>
    <xf numFmtId="0" fontId="36" fillId="0" borderId="90" xfId="0" applyFont="1" applyBorder="1" applyAlignment="1">
      <alignment horizontal="left" vertical="top"/>
    </xf>
    <xf numFmtId="0" fontId="36" fillId="0" borderId="91" xfId="0" applyFont="1" applyBorder="1" applyAlignment="1">
      <alignment horizontal="left" vertical="top"/>
    </xf>
    <xf numFmtId="4" fontId="26" fillId="0" borderId="45" xfId="0" applyNumberFormat="1" applyFont="1" applyBorder="1" applyAlignment="1">
      <alignment horizontal="right" vertical="top" wrapText="1"/>
    </xf>
    <xf numFmtId="4" fontId="26" fillId="0" borderId="17" xfId="0" applyNumberFormat="1" applyFont="1" applyBorder="1" applyAlignment="1">
      <alignment vertical="top" wrapText="1"/>
    </xf>
    <xf numFmtId="4" fontId="26" fillId="0" borderId="29" xfId="0" applyNumberFormat="1" applyFont="1" applyBorder="1" applyAlignment="1">
      <alignment vertical="top" wrapText="1"/>
    </xf>
    <xf numFmtId="0" fontId="64" fillId="0" borderId="17" xfId="0" applyFont="1" applyBorder="1" applyAlignment="1">
      <alignment horizontal="center" vertical="center" wrapText="1"/>
    </xf>
    <xf numFmtId="166" fontId="64" fillId="0" borderId="20" xfId="0" applyNumberFormat="1" applyFont="1" applyBorder="1" applyAlignment="1">
      <alignment horizontal="right" vertical="center" wrapText="1"/>
    </xf>
    <xf numFmtId="167" fontId="64" fillId="0" borderId="20" xfId="0" applyNumberFormat="1" applyFont="1" applyBorder="1" applyAlignment="1">
      <alignment horizontal="center" vertical="center" wrapText="1"/>
    </xf>
    <xf numFmtId="167" fontId="64" fillId="0" borderId="18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23" xfId="0" applyFont="1" applyBorder="1" applyAlignment="1">
      <alignment horizontal="center" vertical="center" wrapText="1"/>
    </xf>
    <xf numFmtId="166" fontId="64" fillId="0" borderId="26" xfId="0" applyNumberFormat="1" applyFont="1" applyBorder="1" applyAlignment="1">
      <alignment horizontal="right" vertical="center" wrapText="1"/>
    </xf>
    <xf numFmtId="167" fontId="64" fillId="0" borderId="26" xfId="0" applyNumberFormat="1" applyFont="1" applyBorder="1" applyAlignment="1">
      <alignment horizontal="center" vertical="center" wrapText="1"/>
    </xf>
    <xf numFmtId="167" fontId="64" fillId="0" borderId="24" xfId="0" applyNumberFormat="1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166" fontId="64" fillId="0" borderId="32" xfId="0" applyNumberFormat="1" applyFont="1" applyBorder="1" applyAlignment="1">
      <alignment horizontal="right" vertical="center" wrapText="1"/>
    </xf>
    <xf numFmtId="167" fontId="64" fillId="0" borderId="32" xfId="0" applyNumberFormat="1" applyFont="1" applyBorder="1" applyAlignment="1">
      <alignment horizontal="center" vertical="center" wrapText="1"/>
    </xf>
    <xf numFmtId="167" fontId="64" fillId="0" borderId="30" xfId="0" applyNumberFormat="1" applyFont="1" applyBorder="1" applyAlignment="1">
      <alignment horizontal="center" vertical="center" wrapText="1"/>
    </xf>
    <xf numFmtId="4" fontId="64" fillId="0" borderId="20" xfId="0" applyNumberFormat="1" applyFont="1" applyBorder="1" applyAlignment="1">
      <alignment horizontal="right" vertical="center" wrapText="1"/>
    </xf>
    <xf numFmtId="4" fontId="64" fillId="0" borderId="20" xfId="0" applyNumberFormat="1" applyFont="1" applyBorder="1" applyAlignment="1">
      <alignment vertical="center" wrapText="1"/>
    </xf>
    <xf numFmtId="4" fontId="64" fillId="0" borderId="26" xfId="0" applyNumberFormat="1" applyFont="1" applyBorder="1" applyAlignment="1">
      <alignment vertical="center" wrapText="1"/>
    </xf>
    <xf numFmtId="4" fontId="64" fillId="0" borderId="32" xfId="0" applyNumberFormat="1" applyFont="1" applyBorder="1" applyAlignment="1">
      <alignment horizontal="right" vertical="center" wrapText="1"/>
    </xf>
    <xf numFmtId="0" fontId="64" fillId="0" borderId="32" xfId="0" applyFont="1" applyBorder="1" applyAlignment="1">
      <alignment vertical="center" wrapText="1"/>
    </xf>
    <xf numFmtId="166" fontId="64" fillId="0" borderId="20" xfId="0" applyNumberFormat="1" applyFont="1" applyBorder="1" applyAlignment="1">
      <alignment vertical="center" wrapText="1"/>
    </xf>
    <xf numFmtId="166" fontId="64" fillId="0" borderId="26" xfId="0" applyNumberFormat="1" applyFont="1" applyBorder="1" applyAlignment="1">
      <alignment vertical="center" wrapText="1"/>
    </xf>
    <xf numFmtId="0" fontId="60" fillId="0" borderId="29" xfId="0" applyFont="1" applyBorder="1" applyAlignment="1">
      <alignment horizontal="center" vertical="center" wrapText="1"/>
    </xf>
    <xf numFmtId="166" fontId="60" fillId="0" borderId="32" xfId="0" applyNumberFormat="1" applyFont="1" applyBorder="1" applyAlignment="1">
      <alignment horizontal="right" vertical="center" wrapText="1"/>
    </xf>
    <xf numFmtId="166" fontId="60" fillId="0" borderId="32" xfId="0" applyNumberFormat="1" applyFont="1" applyBorder="1" applyAlignment="1">
      <alignment vertical="center" wrapText="1"/>
    </xf>
    <xf numFmtId="167" fontId="60" fillId="0" borderId="32" xfId="0" applyNumberFormat="1" applyFont="1" applyBorder="1" applyAlignment="1">
      <alignment horizontal="center" vertical="center" wrapText="1"/>
    </xf>
    <xf numFmtId="167" fontId="60" fillId="0" borderId="30" xfId="0" applyNumberFormat="1" applyFont="1" applyBorder="1" applyAlignment="1">
      <alignment horizontal="center" vertical="center" wrapText="1"/>
    </xf>
    <xf numFmtId="167" fontId="60" fillId="0" borderId="26" xfId="0" applyNumberFormat="1" applyFont="1" applyBorder="1" applyAlignment="1">
      <alignment horizontal="center" vertical="center" wrapText="1"/>
    </xf>
    <xf numFmtId="167" fontId="60" fillId="0" borderId="24" xfId="0" applyNumberFormat="1" applyFont="1" applyBorder="1" applyAlignment="1">
      <alignment horizontal="center" vertical="center" wrapText="1"/>
    </xf>
    <xf numFmtId="166" fontId="64" fillId="0" borderId="32" xfId="0" applyNumberFormat="1" applyFont="1" applyBorder="1" applyAlignment="1">
      <alignment vertical="center" wrapText="1"/>
    </xf>
    <xf numFmtId="0" fontId="64" fillId="0" borderId="38" xfId="0" applyFont="1" applyBorder="1" applyAlignment="1">
      <alignment horizontal="center" vertical="center" wrapText="1"/>
    </xf>
    <xf numFmtId="166" fontId="64" fillId="0" borderId="58" xfId="0" applyNumberFormat="1" applyFont="1" applyBorder="1" applyAlignment="1">
      <alignment horizontal="right" vertical="center" wrapText="1"/>
    </xf>
    <xf numFmtId="166" fontId="64" fillId="0" borderId="58" xfId="0" applyNumberFormat="1" applyFont="1" applyBorder="1" applyAlignment="1">
      <alignment vertical="center" wrapText="1"/>
    </xf>
    <xf numFmtId="167" fontId="64" fillId="0" borderId="58" xfId="0" applyNumberFormat="1" applyFont="1" applyBorder="1" applyAlignment="1">
      <alignment horizontal="center" vertical="center" wrapText="1"/>
    </xf>
    <xf numFmtId="167" fontId="64" fillId="0" borderId="39" xfId="0" applyNumberFormat="1" applyFont="1" applyBorder="1" applyAlignment="1">
      <alignment horizontal="center" vertical="center" wrapText="1"/>
    </xf>
    <xf numFmtId="0" fontId="26" fillId="4" borderId="0" xfId="0" applyFont="1" applyFill="1"/>
    <xf numFmtId="0" fontId="60" fillId="15" borderId="1" xfId="0" applyFont="1" applyFill="1" applyBorder="1" applyAlignment="1">
      <alignment vertical="center" wrapText="1"/>
    </xf>
    <xf numFmtId="0" fontId="66" fillId="15" borderId="8" xfId="0" applyFont="1" applyFill="1" applyBorder="1" applyAlignment="1">
      <alignment horizontal="center" vertical="center" wrapText="1"/>
    </xf>
    <xf numFmtId="4" fontId="64" fillId="16" borderId="1" xfId="0" applyNumberFormat="1" applyFont="1" applyFill="1" applyBorder="1" applyAlignment="1">
      <alignment horizontal="right"/>
    </xf>
    <xf numFmtId="0" fontId="60" fillId="4" borderId="0" xfId="0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vertical="center" wrapText="1"/>
    </xf>
    <xf numFmtId="4" fontId="60" fillId="4" borderId="0" xfId="0" applyNumberFormat="1" applyFont="1" applyFill="1" applyBorder="1" applyAlignment="1">
      <alignment horizontal="right" vertical="center" wrapText="1"/>
    </xf>
    <xf numFmtId="0" fontId="66" fillId="4" borderId="0" xfId="0" applyFont="1" applyFill="1" applyBorder="1" applyAlignment="1">
      <alignment horizontal="center" vertical="center" wrapText="1"/>
    </xf>
    <xf numFmtId="4" fontId="64" fillId="4" borderId="0" xfId="0" applyNumberFormat="1" applyFont="1" applyFill="1" applyBorder="1" applyAlignment="1">
      <alignment horizontal="right"/>
    </xf>
    <xf numFmtId="0" fontId="15" fillId="0" borderId="20" xfId="0" applyFont="1" applyBorder="1" applyAlignment="1">
      <alignment horizontal="center" vertical="top"/>
    </xf>
    <xf numFmtId="4" fontId="15" fillId="0" borderId="58" xfId="0" applyNumberFormat="1" applyFont="1" applyBorder="1" applyAlignment="1">
      <alignment horizontal="right" vertical="top"/>
    </xf>
    <xf numFmtId="0" fontId="15" fillId="0" borderId="26" xfId="0" applyFont="1" applyBorder="1" applyAlignment="1">
      <alignment horizontal="center" vertical="top"/>
    </xf>
    <xf numFmtId="4" fontId="15" fillId="0" borderId="26" xfId="0" applyNumberFormat="1" applyFont="1" applyBorder="1" applyAlignment="1">
      <alignment horizontal="right" vertical="top"/>
    </xf>
    <xf numFmtId="14" fontId="15" fillId="0" borderId="26" xfId="0" applyNumberFormat="1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4" fontId="15" fillId="0" borderId="32" xfId="0" applyNumberFormat="1" applyFont="1" applyBorder="1" applyAlignment="1">
      <alignment horizontal="right" vertical="top"/>
    </xf>
    <xf numFmtId="14" fontId="15" fillId="0" borderId="58" xfId="0" applyNumberFormat="1" applyFont="1" applyBorder="1" applyAlignment="1">
      <alignment horizontal="center" vertical="top"/>
    </xf>
    <xf numFmtId="14" fontId="15" fillId="0" borderId="32" xfId="0" applyNumberFormat="1" applyFont="1" applyBorder="1" applyAlignment="1">
      <alignment horizontal="center" vertical="top"/>
    </xf>
    <xf numFmtId="0" fontId="27" fillId="3" borderId="2" xfId="0" applyFont="1" applyFill="1" applyBorder="1" applyAlignment="1">
      <alignment horizontal="center" vertical="center" wrapText="1"/>
    </xf>
    <xf numFmtId="4" fontId="26" fillId="0" borderId="26" xfId="0" applyNumberFormat="1" applyFont="1" applyBorder="1" applyAlignment="1">
      <alignment vertical="center"/>
    </xf>
    <xf numFmtId="4" fontId="26" fillId="0" borderId="67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horizontal="center" vertical="top" wrapText="1"/>
    </xf>
    <xf numFmtId="4" fontId="26" fillId="0" borderId="32" xfId="0" applyNumberFormat="1" applyFont="1" applyBorder="1" applyAlignment="1">
      <alignment horizontal="center" vertical="top" wrapText="1"/>
    </xf>
    <xf numFmtId="4" fontId="28" fillId="2" borderId="1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4" fontId="26" fillId="0" borderId="1" xfId="0" applyNumberFormat="1" applyFont="1" applyBorder="1" applyAlignment="1">
      <alignment horizontal="right" vertical="top"/>
    </xf>
    <xf numFmtId="14" fontId="15" fillId="0" borderId="1" xfId="0" applyNumberFormat="1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4" fontId="15" fillId="0" borderId="58" xfId="0" applyNumberFormat="1" applyFont="1" applyBorder="1" applyAlignment="1">
      <alignment horizontal="right" vertical="top" wrapText="1"/>
    </xf>
    <xf numFmtId="0" fontId="26" fillId="0" borderId="20" xfId="0" applyFont="1" applyBorder="1" applyAlignment="1">
      <alignment horizontal="center" vertical="center" wrapText="1"/>
    </xf>
    <xf numFmtId="49" fontId="15" fillId="0" borderId="58" xfId="0" applyNumberFormat="1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center" wrapText="1"/>
    </xf>
    <xf numFmtId="4" fontId="26" fillId="0" borderId="42" xfId="0" applyNumberFormat="1" applyFont="1" applyBorder="1" applyAlignment="1">
      <alignment horizontal="left" vertical="top"/>
    </xf>
    <xf numFmtId="49" fontId="15" fillId="0" borderId="26" xfId="0" applyNumberFormat="1" applyFont="1" applyBorder="1" applyAlignment="1">
      <alignment horizontal="center" vertical="top" wrapText="1"/>
    </xf>
    <xf numFmtId="4" fontId="26" fillId="0" borderId="67" xfId="0" applyNumberFormat="1" applyFont="1" applyBorder="1" applyAlignment="1">
      <alignment horizontal="right" vertical="top"/>
    </xf>
    <xf numFmtId="49" fontId="15" fillId="0" borderId="42" xfId="0" applyNumberFormat="1" applyFont="1" applyBorder="1" applyAlignment="1">
      <alignment horizontal="center" vertical="top" wrapText="1"/>
    </xf>
    <xf numFmtId="4" fontId="26" fillId="0" borderId="26" xfId="0" applyNumberFormat="1" applyFont="1" applyBorder="1" applyAlignment="1">
      <alignment horizontal="right" vertical="top"/>
    </xf>
    <xf numFmtId="49" fontId="15" fillId="0" borderId="67" xfId="0" applyNumberFormat="1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/>
    </xf>
    <xf numFmtId="4" fontId="26" fillId="0" borderId="26" xfId="0" applyNumberFormat="1" applyFont="1" applyBorder="1" applyAlignment="1">
      <alignment horizontal="left" vertical="top"/>
    </xf>
    <xf numFmtId="0" fontId="26" fillId="0" borderId="26" xfId="0" applyFont="1" applyBorder="1" applyAlignment="1">
      <alignment horizontal="center" vertical="top" wrapText="1"/>
    </xf>
    <xf numFmtId="4" fontId="26" fillId="0" borderId="26" xfId="0" applyNumberFormat="1" applyFont="1" applyBorder="1" applyAlignment="1">
      <alignment horizontal="right" vertical="center"/>
    </xf>
    <xf numFmtId="0" fontId="15" fillId="0" borderId="65" xfId="0" applyFont="1" applyBorder="1" applyAlignment="1">
      <alignment horizontal="left" vertical="top" wrapText="1"/>
    </xf>
    <xf numFmtId="0" fontId="15" fillId="0" borderId="76" xfId="0" applyFont="1" applyBorder="1" applyAlignment="1">
      <alignment horizontal="left" vertical="top" wrapText="1"/>
    </xf>
    <xf numFmtId="4" fontId="59" fillId="6" borderId="26" xfId="0" applyNumberFormat="1" applyFont="1" applyFill="1" applyBorder="1" applyAlignment="1">
      <alignment vertical="top" wrapText="1"/>
    </xf>
    <xf numFmtId="0" fontId="59" fillId="0" borderId="58" xfId="0" applyFont="1" applyBorder="1" applyAlignment="1">
      <alignment vertical="center" wrapText="1"/>
    </xf>
    <xf numFmtId="4" fontId="85" fillId="0" borderId="58" xfId="0" applyNumberFormat="1" applyFont="1" applyBorder="1" applyAlignment="1">
      <alignment horizontal="right" vertical="center" wrapText="1"/>
    </xf>
    <xf numFmtId="4" fontId="57" fillId="0" borderId="58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vertical="center" wrapText="1"/>
    </xf>
    <xf numFmtId="4" fontId="85" fillId="0" borderId="26" xfId="0" applyNumberFormat="1" applyFont="1" applyBorder="1" applyAlignment="1">
      <alignment horizontal="right" vertical="center" wrapText="1"/>
    </xf>
    <xf numFmtId="4" fontId="57" fillId="0" borderId="26" xfId="0" applyNumberFormat="1" applyFont="1" applyBorder="1" applyAlignment="1">
      <alignment vertical="center"/>
    </xf>
    <xf numFmtId="0" fontId="59" fillId="0" borderId="67" xfId="0" applyFont="1" applyBorder="1" applyAlignment="1">
      <alignment vertical="center" wrapText="1"/>
    </xf>
    <xf numFmtId="4" fontId="85" fillId="0" borderId="67" xfId="0" applyNumberFormat="1" applyFont="1" applyBorder="1" applyAlignment="1">
      <alignment horizontal="right" vertical="center" wrapText="1"/>
    </xf>
    <xf numFmtId="0" fontId="59" fillId="6" borderId="1" xfId="0" applyFont="1" applyFill="1" applyBorder="1" applyAlignment="1">
      <alignment vertical="center" wrapText="1"/>
    </xf>
    <xf numFmtId="4" fontId="59" fillId="6" borderId="1" xfId="0" applyNumberFormat="1" applyFont="1" applyFill="1" applyBorder="1" applyAlignment="1">
      <alignment horizontal="right" vertical="center" wrapText="1"/>
    </xf>
    <xf numFmtId="0" fontId="61" fillId="0" borderId="42" xfId="0" applyFont="1" applyBorder="1" applyAlignment="1">
      <alignment horizontal="left" vertical="top"/>
    </xf>
    <xf numFmtId="0" fontId="57" fillId="0" borderId="26" xfId="0" applyNumberFormat="1" applyFont="1" applyBorder="1" applyAlignment="1">
      <alignment vertical="top" wrapText="1"/>
    </xf>
    <xf numFmtId="4" fontId="57" fillId="0" borderId="20" xfId="0" applyNumberFormat="1" applyFont="1" applyBorder="1" applyAlignment="1">
      <alignment vertical="top" wrapText="1"/>
    </xf>
    <xf numFmtId="4" fontId="59" fillId="6" borderId="1" xfId="0" applyNumberFormat="1" applyFont="1" applyFill="1" applyBorder="1" applyAlignment="1">
      <alignment vertical="top" wrapText="1"/>
    </xf>
    <xf numFmtId="0" fontId="59" fillId="13" borderId="1" xfId="0" applyFont="1" applyFill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4" fontId="60" fillId="0" borderId="58" xfId="0" applyNumberFormat="1" applyFont="1" applyBorder="1" applyAlignment="1">
      <alignment horizontal="right" vertical="center" wrapText="1"/>
    </xf>
    <xf numFmtId="0" fontId="60" fillId="0" borderId="58" xfId="0" applyFont="1" applyBorder="1" applyAlignment="1">
      <alignment horizontal="right" vertical="center" wrapText="1"/>
    </xf>
    <xf numFmtId="0" fontId="64" fillId="0" borderId="32" xfId="0" applyFont="1" applyBorder="1" applyAlignment="1">
      <alignment horizontal="center" vertical="center" wrapText="1"/>
    </xf>
    <xf numFmtId="4" fontId="60" fillId="0" borderId="32" xfId="0" applyNumberFormat="1" applyFont="1" applyBorder="1" applyAlignment="1">
      <alignment horizontal="right" vertical="center" wrapText="1"/>
    </xf>
    <xf numFmtId="0" fontId="64" fillId="0" borderId="45" xfId="0" applyFont="1" applyBorder="1" applyAlignment="1">
      <alignment horizontal="center" vertical="center" wrapText="1"/>
    </xf>
    <xf numFmtId="4" fontId="60" fillId="0" borderId="45" xfId="0" applyNumberFormat="1" applyFont="1" applyBorder="1" applyAlignment="1">
      <alignment horizontal="right" vertical="center" wrapText="1"/>
    </xf>
    <xf numFmtId="0" fontId="59" fillId="14" borderId="1" xfId="0" applyFont="1" applyFill="1" applyBorder="1" applyAlignment="1">
      <alignment vertical="center" wrapText="1"/>
    </xf>
    <xf numFmtId="0" fontId="64" fillId="0" borderId="20" xfId="0" applyFont="1" applyBorder="1" applyAlignment="1">
      <alignment horizontal="center" vertical="center" wrapText="1"/>
    </xf>
    <xf numFmtId="4" fontId="60" fillId="0" borderId="42" xfId="0" applyNumberFormat="1" applyFont="1" applyBorder="1" applyAlignment="1">
      <alignment horizontal="center" vertical="center" wrapText="1"/>
    </xf>
    <xf numFmtId="4" fontId="60" fillId="0" borderId="42" xfId="0" applyNumberFormat="1" applyFont="1" applyBorder="1" applyAlignment="1">
      <alignment horizontal="right" vertical="center" wrapText="1"/>
    </xf>
    <xf numFmtId="14" fontId="60" fillId="0" borderId="43" xfId="0" applyNumberFormat="1" applyFont="1" applyBorder="1" applyAlignment="1">
      <alignment horizontal="center" vertical="center" wrapText="1"/>
    </xf>
    <xf numFmtId="14" fontId="60" fillId="0" borderId="68" xfId="0" applyNumberFormat="1" applyFont="1" applyBorder="1" applyAlignment="1">
      <alignment horizontal="center" vertical="center" wrapText="1"/>
    </xf>
    <xf numFmtId="4" fontId="60" fillId="0" borderId="36" xfId="0" applyNumberFormat="1" applyFont="1" applyBorder="1" applyAlignment="1">
      <alignment horizontal="center" vertical="center" wrapText="1"/>
    </xf>
    <xf numFmtId="4" fontId="60" fillId="0" borderId="36" xfId="0" applyNumberFormat="1" applyFont="1" applyBorder="1" applyAlignment="1">
      <alignment horizontal="right" vertical="center" wrapText="1"/>
    </xf>
    <xf numFmtId="14" fontId="60" fillId="0" borderId="36" xfId="0" applyNumberFormat="1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4" fontId="60" fillId="0" borderId="58" xfId="0" applyNumberFormat="1" applyFont="1" applyBorder="1" applyAlignment="1">
      <alignment horizontal="center" vertical="center" wrapText="1"/>
    </xf>
    <xf numFmtId="0" fontId="28" fillId="0" borderId="0" xfId="0" applyFont="1" applyFill="1" applyBorder="1"/>
    <xf numFmtId="4" fontId="28" fillId="0" borderId="0" xfId="0" applyNumberFormat="1" applyFont="1" applyFill="1" applyBorder="1"/>
    <xf numFmtId="4" fontId="33" fillId="0" borderId="0" xfId="0" applyNumberFormat="1" applyFont="1" applyFill="1" applyBorder="1" applyAlignment="1">
      <alignment horizontal="left"/>
    </xf>
    <xf numFmtId="0" fontId="35" fillId="0" borderId="26" xfId="0" applyFont="1" applyFill="1" applyBorder="1" applyAlignment="1">
      <alignment horizontal="center" vertical="center" wrapText="1"/>
    </xf>
    <xf numFmtId="4" fontId="32" fillId="0" borderId="26" xfId="0" applyNumberFormat="1" applyFont="1" applyFill="1" applyBorder="1" applyAlignment="1">
      <alignment horizontal="right" vertical="center" wrapText="1"/>
    </xf>
    <xf numFmtId="14" fontId="35" fillId="0" borderId="26" xfId="0" applyNumberFormat="1" applyFont="1" applyFill="1" applyBorder="1" applyAlignment="1">
      <alignment horizontal="center" vertical="center" wrapText="1"/>
    </xf>
    <xf numFmtId="14" fontId="35" fillId="0" borderId="24" xfId="0" applyNumberFormat="1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4" fontId="32" fillId="0" borderId="58" xfId="0" applyNumberFormat="1" applyFont="1" applyFill="1" applyBorder="1" applyAlignment="1">
      <alignment horizontal="right" vertical="center" wrapText="1"/>
    </xf>
    <xf numFmtId="14" fontId="35" fillId="0" borderId="58" xfId="0" applyNumberFormat="1" applyFont="1" applyFill="1" applyBorder="1" applyAlignment="1">
      <alignment horizontal="center" vertical="center" wrapText="1"/>
    </xf>
    <xf numFmtId="14" fontId="35" fillId="0" borderId="39" xfId="0" applyNumberFormat="1" applyFont="1" applyFill="1" applyBorder="1" applyAlignment="1">
      <alignment horizontal="center" vertical="center" wrapText="1"/>
    </xf>
    <xf numFmtId="49" fontId="35" fillId="0" borderId="26" xfId="0" applyNumberFormat="1" applyFont="1" applyFill="1" applyBorder="1" applyAlignment="1">
      <alignment horizontal="center" vertical="center" wrapText="1"/>
    </xf>
    <xf numFmtId="49" fontId="35" fillId="0" borderId="58" xfId="0" applyNumberFormat="1" applyFont="1" applyFill="1" applyBorder="1" applyAlignment="1">
      <alignment horizontal="center" vertical="center" wrapText="1"/>
    </xf>
    <xf numFmtId="4" fontId="32" fillId="0" borderId="42" xfId="0" applyNumberFormat="1" applyFont="1" applyFill="1" applyBorder="1" applyAlignment="1">
      <alignment horizontal="right" vertical="center" wrapText="1"/>
    </xf>
    <xf numFmtId="4" fontId="32" fillId="0" borderId="57" xfId="0" applyNumberFormat="1" applyFont="1" applyFill="1" applyBorder="1" applyAlignment="1">
      <alignment horizontal="right" vertical="center" wrapText="1"/>
    </xf>
    <xf numFmtId="49" fontId="35" fillId="0" borderId="64" xfId="0" applyNumberFormat="1" applyFont="1" applyFill="1" applyBorder="1" applyAlignment="1">
      <alignment horizontal="center" vertical="center" wrapText="1"/>
    </xf>
    <xf numFmtId="49" fontId="35" fillId="0" borderId="47" xfId="0" applyNumberFormat="1" applyFont="1" applyFill="1" applyBorder="1" applyAlignment="1">
      <alignment horizontal="center" vertical="center" wrapText="1"/>
    </xf>
    <xf numFmtId="4" fontId="32" fillId="0" borderId="67" xfId="0" applyNumberFormat="1" applyFont="1" applyFill="1" applyBorder="1" applyAlignment="1">
      <alignment horizontal="right" vertical="center" wrapText="1"/>
    </xf>
    <xf numFmtId="4" fontId="32" fillId="0" borderId="66" xfId="0" applyNumberFormat="1" applyFont="1" applyFill="1" applyBorder="1" applyAlignment="1">
      <alignment horizontal="right" vertical="center" wrapText="1"/>
    </xf>
    <xf numFmtId="4" fontId="32" fillId="0" borderId="27" xfId="0" applyNumberFormat="1" applyFont="1" applyFill="1" applyBorder="1" applyAlignment="1">
      <alignment horizontal="right" vertical="center" wrapText="1"/>
    </xf>
    <xf numFmtId="49" fontId="35" fillId="0" borderId="32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right" vertical="center" wrapText="1"/>
    </xf>
    <xf numFmtId="4" fontId="32" fillId="0" borderId="32" xfId="0" applyNumberFormat="1" applyFont="1" applyFill="1" applyBorder="1" applyAlignment="1">
      <alignment horizontal="right" vertical="center" wrapText="1"/>
    </xf>
    <xf numFmtId="14" fontId="35" fillId="0" borderId="32" xfId="0" applyNumberFormat="1" applyFont="1" applyFill="1" applyBorder="1" applyAlignment="1">
      <alignment horizontal="center" vertical="center" wrapText="1"/>
    </xf>
    <xf numFmtId="14" fontId="35" fillId="0" borderId="30" xfId="0" applyNumberFormat="1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vertical="center" wrapText="1"/>
    </xf>
    <xf numFmtId="4" fontId="31" fillId="2" borderId="5" xfId="0" applyNumberFormat="1" applyFont="1" applyFill="1" applyBorder="1" applyAlignment="1">
      <alignment horizontal="right" vertical="center" wrapText="1"/>
    </xf>
    <xf numFmtId="4" fontId="31" fillId="2" borderId="1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/>
    <xf numFmtId="0" fontId="35" fillId="0" borderId="80" xfId="0" applyFont="1" applyFill="1" applyBorder="1" applyAlignment="1">
      <alignment horizontal="center" vertical="center" wrapText="1"/>
    </xf>
    <xf numFmtId="14" fontId="35" fillId="0" borderId="64" xfId="0" applyNumberFormat="1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>
      <alignment horizontal="right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6" fillId="0" borderId="11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36" fillId="0" borderId="26" xfId="0" applyFont="1" applyBorder="1" applyAlignment="1">
      <alignment horizontal="left" vertical="top"/>
    </xf>
    <xf numFmtId="0" fontId="28" fillId="2" borderId="27" xfId="0" applyFont="1" applyFill="1" applyBorder="1" applyAlignment="1">
      <alignment horizontal="left" vertical="top" wrapText="1"/>
    </xf>
    <xf numFmtId="0" fontId="28" fillId="2" borderId="47" xfId="0" applyFont="1" applyFill="1" applyBorder="1" applyAlignment="1">
      <alignment horizontal="left" vertical="top" wrapText="1"/>
    </xf>
    <xf numFmtId="14" fontId="36" fillId="0" borderId="58" xfId="0" applyNumberFormat="1" applyFont="1" applyBorder="1" applyAlignment="1">
      <alignment horizontal="center" vertical="top" wrapText="1"/>
    </xf>
    <xf numFmtId="14" fontId="36" fillId="0" borderId="42" xfId="0" applyNumberFormat="1" applyFont="1" applyBorder="1" applyAlignment="1">
      <alignment horizontal="center" vertical="top" wrapText="1"/>
    </xf>
    <xf numFmtId="14" fontId="36" fillId="0" borderId="32" xfId="0" applyNumberFormat="1" applyFont="1" applyBorder="1" applyAlignment="1">
      <alignment horizontal="center" vertical="top" wrapText="1"/>
    </xf>
    <xf numFmtId="0" fontId="36" fillId="0" borderId="27" xfId="0" applyFont="1" applyBorder="1" applyAlignment="1">
      <alignment horizontal="left"/>
    </xf>
    <xf numFmtId="0" fontId="36" fillId="0" borderId="48" xfId="0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0" fontId="26" fillId="0" borderId="0" xfId="0" applyFont="1" applyAlignment="1">
      <alignment horizontal="left"/>
    </xf>
    <xf numFmtId="3" fontId="6" fillId="0" borderId="1" xfId="2" applyFont="1" applyBorder="1" applyAlignment="1">
      <alignment horizontal="left"/>
    </xf>
    <xf numFmtId="3" fontId="9" fillId="0" borderId="1" xfId="2" applyFont="1" applyBorder="1" applyAlignment="1">
      <alignment horizontal="left"/>
    </xf>
    <xf numFmtId="4" fontId="9" fillId="0" borderId="1" xfId="2" applyNumberFormat="1" applyFont="1" applyBorder="1" applyAlignment="1">
      <alignment horizontal="left"/>
    </xf>
    <xf numFmtId="3" fontId="7" fillId="0" borderId="1" xfId="2" applyFont="1" applyBorder="1" applyAlignment="1">
      <alignment horizontal="left"/>
    </xf>
    <xf numFmtId="3" fontId="6" fillId="3" borderId="1" xfId="2" applyFont="1" applyFill="1" applyBorder="1" applyAlignment="1">
      <alignment horizontal="left"/>
    </xf>
    <xf numFmtId="3" fontId="4" fillId="2" borderId="1" xfId="2" applyFont="1" applyFill="1" applyBorder="1" applyAlignment="1">
      <alignment horizontal="center" wrapText="1"/>
    </xf>
    <xf numFmtId="4" fontId="4" fillId="2" borderId="1" xfId="2" applyNumberFormat="1" applyFont="1" applyFill="1" applyBorder="1" applyAlignment="1">
      <alignment horizontal="center" wrapText="1"/>
    </xf>
    <xf numFmtId="4" fontId="4" fillId="2" borderId="1" xfId="2" applyNumberFormat="1" applyFont="1" applyFill="1" applyBorder="1" applyAlignment="1">
      <alignment horizontal="center"/>
    </xf>
    <xf numFmtId="3" fontId="3" fillId="0" borderId="0" xfId="2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9" fontId="4" fillId="2" borderId="1" xfId="2" applyNumberFormat="1" applyFont="1" applyFill="1" applyBorder="1" applyAlignment="1">
      <alignment horizontal="center" wrapText="1"/>
    </xf>
    <xf numFmtId="3" fontId="4" fillId="2" borderId="1" xfId="2" applyFont="1" applyFill="1" applyBorder="1" applyAlignment="1">
      <alignment horizontal="center"/>
    </xf>
    <xf numFmtId="0" fontId="36" fillId="0" borderId="27" xfId="0" applyFont="1" applyBorder="1" applyAlignment="1">
      <alignment horizontal="left" vertical="top" wrapText="1"/>
    </xf>
    <xf numFmtId="0" fontId="36" fillId="0" borderId="48" xfId="0" applyFont="1" applyBorder="1" applyAlignment="1">
      <alignment horizontal="left" vertical="top" wrapText="1"/>
    </xf>
    <xf numFmtId="0" fontId="36" fillId="0" borderId="47" xfId="0" applyFont="1" applyBorder="1" applyAlignment="1">
      <alignment horizontal="left" vertical="top" wrapText="1"/>
    </xf>
    <xf numFmtId="0" fontId="37" fillId="10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15" fillId="0" borderId="27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28" fillId="10" borderId="0" xfId="0" applyFont="1" applyFill="1" applyAlignment="1">
      <alignment horizontal="left"/>
    </xf>
    <xf numFmtId="0" fontId="28" fillId="3" borderId="8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top" wrapText="1"/>
    </xf>
    <xf numFmtId="0" fontId="36" fillId="0" borderId="49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51" xfId="0" applyFont="1" applyBorder="1" applyAlignment="1">
      <alignment horizontal="left" vertical="top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6" fillId="12" borderId="8" xfId="0" applyFont="1" applyFill="1" applyBorder="1" applyAlignment="1">
      <alignment horizontal="center" vertical="center" wrapText="1"/>
    </xf>
    <xf numFmtId="0" fontId="26" fillId="12" borderId="5" xfId="0" applyFont="1" applyFill="1" applyBorder="1" applyAlignment="1">
      <alignment horizontal="center" vertical="center" wrapText="1"/>
    </xf>
    <xf numFmtId="4" fontId="36" fillId="0" borderId="20" xfId="0" applyNumberFormat="1" applyFont="1" applyBorder="1" applyAlignment="1">
      <alignment horizontal="left" vertical="top" wrapText="1"/>
    </xf>
    <xf numFmtId="4" fontId="36" fillId="0" borderId="32" xfId="0" applyNumberFormat="1" applyFont="1" applyBorder="1" applyAlignment="1">
      <alignment horizontal="left" vertical="top" wrapText="1"/>
    </xf>
    <xf numFmtId="4" fontId="28" fillId="2" borderId="8" xfId="0" applyNumberFormat="1" applyFont="1" applyFill="1" applyBorder="1" applyAlignment="1">
      <alignment horizontal="left" vertical="top" wrapText="1"/>
    </xf>
    <xf numFmtId="4" fontId="28" fillId="2" borderId="9" xfId="0" applyNumberFormat="1" applyFont="1" applyFill="1" applyBorder="1" applyAlignment="1">
      <alignment horizontal="left" vertical="top" wrapText="1"/>
    </xf>
    <xf numFmtId="4" fontId="28" fillId="2" borderId="62" xfId="0" applyNumberFormat="1" applyFont="1" applyFill="1" applyBorder="1" applyAlignment="1">
      <alignment horizontal="left" vertical="top" wrapText="1"/>
    </xf>
    <xf numFmtId="0" fontId="28" fillId="12" borderId="8" xfId="0" applyFont="1" applyFill="1" applyBorder="1" applyAlignment="1">
      <alignment horizontal="center" vertical="center" wrapText="1"/>
    </xf>
    <xf numFmtId="0" fontId="28" fillId="12" borderId="5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left" vertical="top"/>
    </xf>
    <xf numFmtId="0" fontId="15" fillId="0" borderId="58" xfId="0" applyFont="1" applyBorder="1" applyAlignment="1">
      <alignment horizontal="left" vertical="top"/>
    </xf>
    <xf numFmtId="0" fontId="18" fillId="0" borderId="27" xfId="0" applyFont="1" applyBorder="1" applyAlignment="1">
      <alignment horizontal="left" vertical="top" wrapText="1"/>
    </xf>
    <xf numFmtId="0" fontId="18" fillId="0" borderId="48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51" xfId="0" applyFont="1" applyBorder="1" applyAlignment="1">
      <alignment horizontal="left" vertical="top" wrapText="1"/>
    </xf>
    <xf numFmtId="0" fontId="18" fillId="0" borderId="52" xfId="0" applyFont="1" applyBorder="1" applyAlignment="1">
      <alignment horizontal="left" vertical="top" wrapText="1"/>
    </xf>
    <xf numFmtId="4" fontId="28" fillId="11" borderId="1" xfId="0" applyNumberFormat="1" applyFont="1" applyFill="1" applyBorder="1" applyAlignment="1">
      <alignment horizontal="left"/>
    </xf>
    <xf numFmtId="4" fontId="27" fillId="3" borderId="1" xfId="0" applyNumberFormat="1" applyFont="1" applyFill="1" applyBorder="1" applyAlignment="1">
      <alignment horizontal="center"/>
    </xf>
    <xf numFmtId="4" fontId="27" fillId="3" borderId="61" xfId="0" applyNumberFormat="1" applyFont="1" applyFill="1" applyBorder="1" applyAlignment="1">
      <alignment horizontal="center"/>
    </xf>
    <xf numFmtId="0" fontId="36" fillId="0" borderId="43" xfId="0" applyFont="1" applyBorder="1" applyAlignment="1">
      <alignment horizontal="left" vertical="top"/>
    </xf>
    <xf numFmtId="0" fontId="36" fillId="0" borderId="42" xfId="0" applyFont="1" applyBorder="1" applyAlignment="1">
      <alignment horizontal="left" vertical="top"/>
    </xf>
    <xf numFmtId="0" fontId="36" fillId="0" borderId="58" xfId="0" applyFont="1" applyBorder="1" applyAlignment="1">
      <alignment horizontal="left" vertical="top"/>
    </xf>
    <xf numFmtId="0" fontId="18" fillId="0" borderId="21" xfId="0" applyFont="1" applyBorder="1" applyAlignment="1">
      <alignment horizontal="left" vertical="top" wrapText="1"/>
    </xf>
    <xf numFmtId="0" fontId="18" fillId="0" borderId="49" xfId="0" applyFont="1" applyBorder="1" applyAlignment="1">
      <alignment horizontal="left" vertical="top" wrapText="1"/>
    </xf>
    <xf numFmtId="0" fontId="18" fillId="0" borderId="50" xfId="0" applyFont="1" applyBorder="1" applyAlignment="1">
      <alignment horizontal="left" vertical="top" wrapText="1"/>
    </xf>
    <xf numFmtId="4" fontId="33" fillId="11" borderId="1" xfId="0" applyNumberFormat="1" applyFont="1" applyFill="1" applyBorder="1" applyAlignment="1">
      <alignment horizontal="left"/>
    </xf>
    <xf numFmtId="4" fontId="33" fillId="11" borderId="61" xfId="0" applyNumberFormat="1" applyFont="1" applyFill="1" applyBorder="1" applyAlignment="1">
      <alignment horizontal="left"/>
    </xf>
    <xf numFmtId="0" fontId="27" fillId="3" borderId="1" xfId="0" applyFont="1" applyFill="1" applyBorder="1" applyAlignment="1">
      <alignment horizontal="center"/>
    </xf>
    <xf numFmtId="0" fontId="27" fillId="3" borderId="61" xfId="0" applyFont="1" applyFill="1" applyBorder="1" applyAlignment="1">
      <alignment horizontal="center"/>
    </xf>
    <xf numFmtId="0" fontId="15" fillId="0" borderId="21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5" fillId="0" borderId="50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0" fontId="15" fillId="0" borderId="51" xfId="0" applyFont="1" applyBorder="1" applyAlignment="1">
      <alignment horizontal="left" vertical="top" wrapText="1"/>
    </xf>
    <xf numFmtId="0" fontId="15" fillId="0" borderId="52" xfId="0" applyFont="1" applyBorder="1" applyAlignment="1">
      <alignment horizontal="left" vertical="top" wrapText="1"/>
    </xf>
    <xf numFmtId="0" fontId="26" fillId="12" borderId="1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left" vertical="top" wrapText="1"/>
    </xf>
    <xf numFmtId="0" fontId="28" fillId="2" borderId="47" xfId="0" applyFont="1" applyFill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28" fillId="11" borderId="27" xfId="0" applyFont="1" applyFill="1" applyBorder="1" applyAlignment="1">
      <alignment horizontal="left" vertical="top" wrapText="1"/>
    </xf>
    <xf numFmtId="0" fontId="28" fillId="11" borderId="48" xfId="0" applyFont="1" applyFill="1" applyBorder="1" applyAlignment="1">
      <alignment horizontal="left" vertical="top" wrapText="1"/>
    </xf>
    <xf numFmtId="0" fontId="28" fillId="11" borderId="47" xfId="0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7" fillId="3" borderId="8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3" fontId="11" fillId="0" borderId="1" xfId="2" applyFont="1" applyBorder="1" applyAlignment="1">
      <alignment horizontal="left"/>
    </xf>
    <xf numFmtId="3" fontId="16" fillId="0" borderId="1" xfId="2" applyFont="1" applyBorder="1" applyAlignment="1">
      <alignment horizontal="left"/>
    </xf>
    <xf numFmtId="4" fontId="16" fillId="0" borderId="1" xfId="2" applyNumberFormat="1" applyFont="1" applyBorder="1" applyAlignment="1">
      <alignment horizontal="left"/>
    </xf>
    <xf numFmtId="3" fontId="13" fillId="0" borderId="1" xfId="2" applyFont="1" applyBorder="1" applyAlignment="1">
      <alignment horizontal="left"/>
    </xf>
    <xf numFmtId="3" fontId="11" fillId="3" borderId="1" xfId="2" applyFont="1" applyFill="1" applyBorder="1" applyAlignment="1">
      <alignment horizontal="left"/>
    </xf>
    <xf numFmtId="3" fontId="12" fillId="2" borderId="1" xfId="2" applyFont="1" applyFill="1" applyBorder="1" applyAlignment="1">
      <alignment horizontal="center" wrapText="1"/>
    </xf>
    <xf numFmtId="4" fontId="12" fillId="2" borderId="1" xfId="2" applyNumberFormat="1" applyFont="1" applyFill="1" applyBorder="1" applyAlignment="1">
      <alignment horizontal="center" wrapText="1"/>
    </xf>
    <xf numFmtId="4" fontId="12" fillId="2" borderId="1" xfId="2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49" fontId="12" fillId="2" borderId="1" xfId="2" applyNumberFormat="1" applyFont="1" applyFill="1" applyBorder="1" applyAlignment="1">
      <alignment horizontal="center" wrapText="1"/>
    </xf>
    <xf numFmtId="3" fontId="12" fillId="2" borderId="1" xfId="2" applyFont="1" applyFill="1" applyBorder="1" applyAlignment="1">
      <alignment horizontal="center"/>
    </xf>
    <xf numFmtId="0" fontId="15" fillId="0" borderId="16" xfId="0" applyFont="1" applyBorder="1" applyAlignment="1">
      <alignment horizontal="left" vertical="top" wrapText="1"/>
    </xf>
    <xf numFmtId="4" fontId="15" fillId="0" borderId="20" xfId="0" applyNumberFormat="1" applyFont="1" applyBorder="1" applyAlignment="1">
      <alignment horizontal="left" vertical="top" wrapText="1"/>
    </xf>
    <xf numFmtId="0" fontId="42" fillId="3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70" fillId="10" borderId="0" xfId="0" applyFont="1" applyFill="1" applyAlignment="1">
      <alignment horizontal="left"/>
    </xf>
    <xf numFmtId="0" fontId="44" fillId="0" borderId="27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44" fillId="0" borderId="47" xfId="0" applyFont="1" applyBorder="1" applyAlignment="1">
      <alignment horizontal="left" vertical="top" wrapText="1"/>
    </xf>
    <xf numFmtId="0" fontId="71" fillId="2" borderId="8" xfId="0" applyFont="1" applyFill="1" applyBorder="1" applyAlignment="1">
      <alignment horizontal="center" vertical="center" wrapText="1"/>
    </xf>
    <xf numFmtId="0" fontId="71" fillId="2" borderId="9" xfId="0" applyFont="1" applyFill="1" applyBorder="1" applyAlignment="1">
      <alignment horizontal="center" vertical="center" wrapText="1"/>
    </xf>
    <xf numFmtId="0" fontId="75" fillId="10" borderId="0" xfId="0" applyFont="1" applyFill="1" applyAlignment="1">
      <alignment horizontal="left"/>
    </xf>
    <xf numFmtId="0" fontId="71" fillId="12" borderId="8" xfId="0" applyFont="1" applyFill="1" applyBorder="1" applyAlignment="1">
      <alignment horizontal="center" vertical="center" wrapText="1"/>
    </xf>
    <xf numFmtId="0" fontId="71" fillId="12" borderId="5" xfId="0" applyFont="1" applyFill="1" applyBorder="1" applyAlignment="1">
      <alignment horizontal="center" vertical="center" wrapText="1"/>
    </xf>
    <xf numFmtId="0" fontId="71" fillId="10" borderId="0" xfId="0" applyFont="1" applyFill="1" applyAlignment="1">
      <alignment horizontal="left"/>
    </xf>
    <xf numFmtId="0" fontId="73" fillId="0" borderId="16" xfId="0" applyFont="1" applyBorder="1" applyAlignment="1">
      <alignment horizontal="left" vertical="top" wrapText="1"/>
    </xf>
    <xf numFmtId="0" fontId="73" fillId="0" borderId="49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39" fillId="0" borderId="51" xfId="0" applyFont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4" fontId="71" fillId="11" borderId="1" xfId="0" applyNumberFormat="1" applyFont="1" applyFill="1" applyBorder="1" applyAlignment="1">
      <alignment horizontal="left"/>
    </xf>
    <xf numFmtId="4" fontId="71" fillId="3" borderId="1" xfId="0" applyNumberFormat="1" applyFont="1" applyFill="1" applyBorder="1" applyAlignment="1">
      <alignment horizontal="center"/>
    </xf>
    <xf numFmtId="4" fontId="71" fillId="3" borderId="61" xfId="0" applyNumberFormat="1" applyFont="1" applyFill="1" applyBorder="1" applyAlignment="1">
      <alignment horizontal="center"/>
    </xf>
    <xf numFmtId="4" fontId="44" fillId="0" borderId="20" xfId="0" applyNumberFormat="1" applyFont="1" applyBorder="1" applyAlignment="1">
      <alignment horizontal="left" vertical="top" wrapText="1"/>
    </xf>
    <xf numFmtId="4" fontId="73" fillId="0" borderId="32" xfId="0" applyNumberFormat="1" applyFont="1" applyBorder="1" applyAlignment="1">
      <alignment horizontal="left" vertical="top" wrapText="1"/>
    </xf>
    <xf numFmtId="4" fontId="71" fillId="2" borderId="8" xfId="0" applyNumberFormat="1" applyFont="1" applyFill="1" applyBorder="1" applyAlignment="1">
      <alignment horizontal="left" vertical="top" wrapText="1"/>
    </xf>
    <xf numFmtId="4" fontId="71" fillId="2" borderId="9" xfId="0" applyNumberFormat="1" applyFont="1" applyFill="1" applyBorder="1" applyAlignment="1">
      <alignment horizontal="left" vertical="top" wrapText="1"/>
    </xf>
    <xf numFmtId="4" fontId="71" fillId="2" borderId="62" xfId="0" applyNumberFormat="1" applyFont="1" applyFill="1" applyBorder="1" applyAlignment="1">
      <alignment horizontal="left" vertical="top" wrapText="1"/>
    </xf>
    <xf numFmtId="0" fontId="71" fillId="3" borderId="1" xfId="0" applyFont="1" applyFill="1" applyBorder="1" applyAlignment="1">
      <alignment horizontal="center"/>
    </xf>
    <xf numFmtId="0" fontId="71" fillId="3" borderId="61" xfId="0" applyFont="1" applyFill="1" applyBorder="1" applyAlignment="1">
      <alignment horizontal="center"/>
    </xf>
    <xf numFmtId="0" fontId="73" fillId="0" borderId="43" xfId="0" applyFont="1" applyBorder="1" applyAlignment="1">
      <alignment horizontal="left" vertical="top"/>
    </xf>
    <xf numFmtId="0" fontId="73" fillId="0" borderId="42" xfId="0" applyFont="1" applyBorder="1" applyAlignment="1">
      <alignment horizontal="left" vertical="top"/>
    </xf>
    <xf numFmtId="0" fontId="73" fillId="0" borderId="58" xfId="0" applyFont="1" applyBorder="1" applyAlignment="1">
      <alignment horizontal="left" vertical="top"/>
    </xf>
    <xf numFmtId="0" fontId="73" fillId="0" borderId="21" xfId="0" applyFont="1" applyBorder="1" applyAlignment="1">
      <alignment horizontal="left" vertical="top" wrapText="1"/>
    </xf>
    <xf numFmtId="0" fontId="73" fillId="0" borderId="50" xfId="0" applyFont="1" applyBorder="1" applyAlignment="1">
      <alignment horizontal="left" vertical="top" wrapText="1"/>
    </xf>
    <xf numFmtId="0" fontId="73" fillId="0" borderId="27" xfId="0" applyFont="1" applyBorder="1" applyAlignment="1">
      <alignment horizontal="left" vertical="top" wrapText="1"/>
    </xf>
    <xf numFmtId="0" fontId="73" fillId="0" borderId="48" xfId="0" applyFont="1" applyBorder="1" applyAlignment="1">
      <alignment horizontal="left" vertical="top" wrapText="1"/>
    </xf>
    <xf numFmtId="0" fontId="73" fillId="0" borderId="47" xfId="0" applyFont="1" applyBorder="1" applyAlignment="1">
      <alignment horizontal="left" vertical="top" wrapText="1"/>
    </xf>
    <xf numFmtId="4" fontId="71" fillId="11" borderId="61" xfId="0" applyNumberFormat="1" applyFont="1" applyFill="1" applyBorder="1" applyAlignment="1">
      <alignment horizontal="left"/>
    </xf>
    <xf numFmtId="0" fontId="44" fillId="0" borderId="21" xfId="0" applyFont="1" applyBorder="1" applyAlignment="1">
      <alignment horizontal="left" vertical="top" wrapText="1"/>
    </xf>
    <xf numFmtId="0" fontId="44" fillId="0" borderId="33" xfId="0" applyFont="1" applyBorder="1" applyAlignment="1">
      <alignment horizontal="left" vertical="top" wrapText="1"/>
    </xf>
    <xf numFmtId="0" fontId="44" fillId="0" borderId="51" xfId="0" applyFont="1" applyBorder="1" applyAlignment="1">
      <alignment horizontal="left" vertical="top" wrapText="1"/>
    </xf>
    <xf numFmtId="0" fontId="44" fillId="0" borderId="52" xfId="0" applyFont="1" applyBorder="1" applyAlignment="1">
      <alignment horizontal="left" vertical="top" wrapText="1"/>
    </xf>
    <xf numFmtId="0" fontId="39" fillId="12" borderId="1" xfId="0" applyFont="1" applyFill="1" applyBorder="1" applyAlignment="1">
      <alignment horizontal="center"/>
    </xf>
    <xf numFmtId="0" fontId="71" fillId="2" borderId="27" xfId="0" applyFont="1" applyFill="1" applyBorder="1" applyAlignment="1">
      <alignment horizontal="left" vertical="top" wrapText="1"/>
    </xf>
    <xf numFmtId="0" fontId="71" fillId="2" borderId="47" xfId="0" applyFont="1" applyFill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71" fillId="3" borderId="1" xfId="0" applyFont="1" applyFill="1" applyBorder="1" applyAlignment="1">
      <alignment horizontal="center" vertical="center"/>
    </xf>
    <xf numFmtId="0" fontId="69" fillId="0" borderId="0" xfId="0" applyFont="1" applyAlignment="1">
      <alignment horizontal="left"/>
    </xf>
    <xf numFmtId="0" fontId="71" fillId="3" borderId="8" xfId="0" applyFont="1" applyFill="1" applyBorder="1" applyAlignment="1">
      <alignment horizontal="center"/>
    </xf>
    <xf numFmtId="0" fontId="71" fillId="3" borderId="5" xfId="0" applyFont="1" applyFill="1" applyBorder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49" xfId="0" applyFont="1" applyBorder="1" applyAlignment="1">
      <alignment horizontal="left" vertical="top" wrapText="1"/>
    </xf>
    <xf numFmtId="4" fontId="48" fillId="0" borderId="32" xfId="0" applyNumberFormat="1" applyFont="1" applyBorder="1" applyAlignment="1">
      <alignment horizontal="left" vertical="top" wrapText="1"/>
    </xf>
    <xf numFmtId="0" fontId="48" fillId="0" borderId="43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50" xfId="0" applyFont="1" applyBorder="1" applyAlignment="1">
      <alignment horizontal="left" vertical="top" wrapText="1"/>
    </xf>
    <xf numFmtId="0" fontId="36" fillId="0" borderId="33" xfId="0" applyFont="1" applyBorder="1" applyAlignment="1">
      <alignment horizontal="left" vertical="top" wrapText="1"/>
    </xf>
    <xf numFmtId="0" fontId="36" fillId="0" borderId="51" xfId="0" applyFont="1" applyBorder="1" applyAlignment="1">
      <alignment horizontal="left" vertical="top" wrapText="1"/>
    </xf>
    <xf numFmtId="0" fontId="36" fillId="0" borderId="52" xfId="0" applyFont="1" applyBorder="1" applyAlignment="1">
      <alignment horizontal="left" vertical="top" wrapText="1"/>
    </xf>
    <xf numFmtId="0" fontId="61" fillId="0" borderId="27" xfId="0" applyFont="1" applyBorder="1" applyAlignment="1">
      <alignment horizontal="left" vertical="top" wrapText="1"/>
    </xf>
    <xf numFmtId="0" fontId="61" fillId="0" borderId="48" xfId="0" applyFont="1" applyBorder="1" applyAlignment="1">
      <alignment horizontal="left" vertical="top" wrapText="1"/>
    </xf>
    <xf numFmtId="0" fontId="61" fillId="0" borderId="47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57" fillId="0" borderId="48" xfId="0" applyFont="1" applyBorder="1" applyAlignment="1">
      <alignment horizontal="left" vertical="top" wrapText="1"/>
    </xf>
    <xf numFmtId="0" fontId="57" fillId="0" borderId="47" xfId="0" applyFont="1" applyBorder="1" applyAlignment="1">
      <alignment horizontal="left" vertical="top" wrapText="1"/>
    </xf>
    <xf numFmtId="0" fontId="35" fillId="0" borderId="27" xfId="0" applyFont="1" applyBorder="1" applyAlignment="1">
      <alignment horizontal="left" vertical="top" wrapText="1"/>
    </xf>
    <xf numFmtId="0" fontId="35" fillId="0" borderId="48" xfId="0" applyFont="1" applyBorder="1" applyAlignment="1">
      <alignment horizontal="left" vertical="top" wrapText="1"/>
    </xf>
    <xf numFmtId="0" fontId="35" fillId="0" borderId="47" xfId="0" applyFont="1" applyBorder="1" applyAlignment="1">
      <alignment horizontal="left" vertical="top" wrapText="1"/>
    </xf>
    <xf numFmtId="0" fontId="56" fillId="7" borderId="0" xfId="0" applyFont="1" applyFill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48" xfId="0" applyFont="1" applyBorder="1" applyAlignment="1">
      <alignment horizontal="left"/>
    </xf>
    <xf numFmtId="0" fontId="35" fillId="0" borderId="47" xfId="0" applyFont="1" applyBorder="1" applyAlignment="1">
      <alignment horizontal="left"/>
    </xf>
    <xf numFmtId="0" fontId="35" fillId="0" borderId="1" xfId="0" applyFont="1" applyBorder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59" fillId="6" borderId="13" xfId="0" applyFont="1" applyFill="1" applyBorder="1" applyAlignment="1">
      <alignment horizontal="center" vertical="center" wrapText="1"/>
    </xf>
    <xf numFmtId="0" fontId="59" fillId="6" borderId="15" xfId="0" applyFont="1" applyFill="1" applyBorder="1" applyAlignment="1">
      <alignment horizontal="center" vertical="center" wrapText="1"/>
    </xf>
    <xf numFmtId="0" fontId="59" fillId="15" borderId="8" xfId="0" applyFont="1" applyFill="1" applyBorder="1" applyAlignment="1">
      <alignment horizontal="center" vertical="center" wrapText="1"/>
    </xf>
    <xf numFmtId="0" fontId="59" fillId="15" borderId="5" xfId="0" applyFont="1" applyFill="1" applyBorder="1" applyAlignment="1">
      <alignment horizontal="center" vertical="center" wrapText="1"/>
    </xf>
    <xf numFmtId="0" fontId="37" fillId="7" borderId="0" xfId="0" applyFont="1" applyFill="1" applyAlignment="1">
      <alignment horizontal="left"/>
    </xf>
    <xf numFmtId="4" fontId="58" fillId="13" borderId="1" xfId="0" applyNumberFormat="1" applyFont="1" applyFill="1" applyBorder="1" applyAlignment="1">
      <alignment horizontal="center"/>
    </xf>
    <xf numFmtId="4" fontId="58" fillId="13" borderId="61" xfId="0" applyNumberFormat="1" applyFont="1" applyFill="1" applyBorder="1" applyAlignment="1">
      <alignment horizontal="center"/>
    </xf>
    <xf numFmtId="4" fontId="35" fillId="0" borderId="20" xfId="0" applyNumberFormat="1" applyFont="1" applyBorder="1" applyAlignment="1">
      <alignment horizontal="left" vertical="top" wrapText="1"/>
    </xf>
    <xf numFmtId="4" fontId="67" fillId="0" borderId="20" xfId="0" applyNumberFormat="1" applyFont="1" applyBorder="1" applyAlignment="1">
      <alignment horizontal="left" vertical="top" wrapText="1"/>
    </xf>
    <xf numFmtId="4" fontId="61" fillId="0" borderId="32" xfId="0" applyNumberFormat="1" applyFont="1" applyBorder="1" applyAlignment="1">
      <alignment horizontal="left" vertical="top" wrapText="1"/>
    </xf>
    <xf numFmtId="4" fontId="59" fillId="6" borderId="8" xfId="0" applyNumberFormat="1" applyFont="1" applyFill="1" applyBorder="1" applyAlignment="1">
      <alignment horizontal="left" vertical="top" wrapText="1"/>
    </xf>
    <xf numFmtId="4" fontId="59" fillId="6" borderId="9" xfId="0" applyNumberFormat="1" applyFont="1" applyFill="1" applyBorder="1" applyAlignment="1">
      <alignment horizontal="left" vertical="top" wrapText="1"/>
    </xf>
    <xf numFmtId="4" fontId="59" fillId="6" borderId="62" xfId="0" applyNumberFormat="1" applyFont="1" applyFill="1" applyBorder="1" applyAlignment="1">
      <alignment horizontal="left" vertical="top" wrapText="1"/>
    </xf>
    <xf numFmtId="0" fontId="56" fillId="7" borderId="0" xfId="0" applyFont="1" applyFill="1" applyAlignment="1">
      <alignment horizontal="left" vertical="center"/>
    </xf>
    <xf numFmtId="0" fontId="59" fillId="6" borderId="6" xfId="0" applyFont="1" applyFill="1" applyBorder="1" applyAlignment="1">
      <alignment horizontal="center" vertical="center" wrapText="1"/>
    </xf>
    <xf numFmtId="0" fontId="59" fillId="6" borderId="54" xfId="0" applyFont="1" applyFill="1" applyBorder="1" applyAlignment="1">
      <alignment horizontal="center" vertical="center" wrapText="1"/>
    </xf>
    <xf numFmtId="0" fontId="58" fillId="13" borderId="1" xfId="0" applyFont="1" applyFill="1" applyBorder="1" applyAlignment="1">
      <alignment horizontal="center"/>
    </xf>
    <xf numFmtId="0" fontId="58" fillId="13" borderId="61" xfId="0" applyFont="1" applyFill="1" applyBorder="1" applyAlignment="1">
      <alignment horizontal="center"/>
    </xf>
    <xf numFmtId="0" fontId="65" fillId="0" borderId="27" xfId="0" applyFont="1" applyBorder="1" applyAlignment="1">
      <alignment horizontal="left" vertical="top" wrapText="1"/>
    </xf>
    <xf numFmtId="0" fontId="65" fillId="0" borderId="48" xfId="0" applyFont="1" applyBorder="1" applyAlignment="1">
      <alignment horizontal="left" vertical="top" wrapText="1"/>
    </xf>
    <xf numFmtId="0" fontId="65" fillId="0" borderId="47" xfId="0" applyFont="1" applyBorder="1" applyAlignment="1">
      <alignment horizontal="left" vertical="top" wrapText="1"/>
    </xf>
    <xf numFmtId="0" fontId="65" fillId="0" borderId="33" xfId="0" applyFont="1" applyBorder="1" applyAlignment="1">
      <alignment horizontal="left" vertical="top" wrapText="1"/>
    </xf>
    <xf numFmtId="0" fontId="65" fillId="0" borderId="51" xfId="0" applyFont="1" applyBorder="1" applyAlignment="1">
      <alignment horizontal="left" vertical="top" wrapText="1"/>
    </xf>
    <xf numFmtId="0" fontId="65" fillId="0" borderId="52" xfId="0" applyFont="1" applyBorder="1" applyAlignment="1">
      <alignment horizontal="left" vertical="top" wrapText="1"/>
    </xf>
    <xf numFmtId="4" fontId="59" fillId="14" borderId="1" xfId="0" applyNumberFormat="1" applyFont="1" applyFill="1" applyBorder="1" applyAlignment="1">
      <alignment horizontal="left"/>
    </xf>
    <xf numFmtId="4" fontId="66" fillId="14" borderId="1" xfId="0" applyNumberFormat="1" applyFont="1" applyFill="1" applyBorder="1" applyAlignment="1">
      <alignment horizontal="left"/>
    </xf>
    <xf numFmtId="4" fontId="66" fillId="14" borderId="61" xfId="0" applyNumberFormat="1" applyFont="1" applyFill="1" applyBorder="1" applyAlignment="1">
      <alignment horizontal="left"/>
    </xf>
    <xf numFmtId="0" fontId="35" fillId="0" borderId="21" xfId="0" applyFont="1" applyBorder="1" applyAlignment="1">
      <alignment horizontal="left" vertical="top" wrapText="1"/>
    </xf>
    <xf numFmtId="0" fontId="35" fillId="0" borderId="49" xfId="0" applyFont="1" applyBorder="1" applyAlignment="1">
      <alignment horizontal="left" vertical="top" wrapText="1"/>
    </xf>
    <xf numFmtId="0" fontId="35" fillId="0" borderId="50" xfId="0" applyFont="1" applyBorder="1" applyAlignment="1">
      <alignment horizontal="left" vertical="top" wrapText="1"/>
    </xf>
    <xf numFmtId="0" fontId="35" fillId="0" borderId="33" xfId="0" applyFont="1" applyBorder="1" applyAlignment="1">
      <alignment horizontal="left" vertical="top" wrapText="1"/>
    </xf>
    <xf numFmtId="0" fontId="57" fillId="14" borderId="1" xfId="0" applyFont="1" applyFill="1" applyBorder="1" applyAlignment="1">
      <alignment horizontal="center"/>
    </xf>
    <xf numFmtId="0" fontId="59" fillId="6" borderId="27" xfId="0" applyFont="1" applyFill="1" applyBorder="1" applyAlignment="1">
      <alignment horizontal="left" vertical="top" wrapText="1"/>
    </xf>
    <xf numFmtId="0" fontId="59" fillId="6" borderId="47" xfId="0" applyFont="1" applyFill="1" applyBorder="1" applyAlignment="1">
      <alignment horizontal="left" vertical="top" wrapText="1"/>
    </xf>
    <xf numFmtId="0" fontId="35" fillId="0" borderId="26" xfId="0" applyFont="1" applyBorder="1" applyAlignment="1">
      <alignment horizontal="left" vertical="top" wrapText="1"/>
    </xf>
    <xf numFmtId="0" fontId="61" fillId="0" borderId="26" xfId="0" applyFont="1" applyBorder="1" applyAlignment="1">
      <alignment horizontal="left" vertical="top" wrapText="1"/>
    </xf>
    <xf numFmtId="0" fontId="59" fillId="14" borderId="27" xfId="0" applyFont="1" applyFill="1" applyBorder="1" applyAlignment="1">
      <alignment horizontal="left" vertical="top" wrapText="1"/>
    </xf>
    <xf numFmtId="0" fontId="59" fillId="14" borderId="48" xfId="0" applyFont="1" applyFill="1" applyBorder="1" applyAlignment="1">
      <alignment horizontal="left" vertical="top" wrapText="1"/>
    </xf>
    <xf numFmtId="0" fontId="59" fillId="14" borderId="47" xfId="0" applyFont="1" applyFill="1" applyBorder="1" applyAlignment="1">
      <alignment horizontal="left" vertical="top" wrapText="1"/>
    </xf>
    <xf numFmtId="0" fontId="58" fillId="13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8" fillId="13" borderId="8" xfId="0" applyFont="1" applyFill="1" applyBorder="1" applyAlignment="1">
      <alignment horizontal="center"/>
    </xf>
    <xf numFmtId="0" fontId="58" fillId="13" borderId="5" xfId="0" applyFont="1" applyFill="1" applyBorder="1" applyAlignment="1">
      <alignment horizontal="center"/>
    </xf>
    <xf numFmtId="0" fontId="15" fillId="0" borderId="22" xfId="0" applyFont="1" applyBorder="1" applyAlignment="1">
      <alignment horizontal="left" vertical="top" wrapText="1"/>
    </xf>
    <xf numFmtId="0" fontId="15" fillId="0" borderId="63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top"/>
    </xf>
    <xf numFmtId="0" fontId="15" fillId="0" borderId="45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89" fillId="0" borderId="8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left" vertical="center" wrapText="1"/>
    </xf>
    <xf numFmtId="0" fontId="35" fillId="0" borderId="64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35" fillId="0" borderId="47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40" fillId="0" borderId="22" xfId="0" applyFont="1" applyBorder="1" applyAlignment="1">
      <alignment horizontal="left"/>
    </xf>
    <xf numFmtId="0" fontId="40" fillId="0" borderId="47" xfId="0" applyFont="1" applyBorder="1" applyAlignment="1">
      <alignment horizontal="left"/>
    </xf>
    <xf numFmtId="4" fontId="15" fillId="0" borderId="32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wrapText="1"/>
    </xf>
    <xf numFmtId="0" fontId="15" fillId="0" borderId="49" xfId="0" applyFont="1" applyBorder="1" applyAlignment="1">
      <alignment horizontal="left" wrapText="1"/>
    </xf>
    <xf numFmtId="0" fontId="15" fillId="0" borderId="50" xfId="0" applyFont="1" applyBorder="1" applyAlignment="1">
      <alignment horizontal="left" wrapText="1"/>
    </xf>
    <xf numFmtId="3" fontId="6" fillId="7" borderId="1" xfId="2" applyFont="1" applyFill="1" applyBorder="1" applyAlignment="1">
      <alignment horizontal="left"/>
    </xf>
    <xf numFmtId="3" fontId="4" fillId="6" borderId="1" xfId="2" applyFont="1" applyFill="1" applyBorder="1" applyAlignment="1">
      <alignment horizontal="center" wrapText="1"/>
    </xf>
    <xf numFmtId="4" fontId="4" fillId="6" borderId="1" xfId="2" applyNumberFormat="1" applyFont="1" applyFill="1" applyBorder="1" applyAlignment="1">
      <alignment horizontal="center" wrapText="1"/>
    </xf>
    <xf numFmtId="4" fontId="4" fillId="6" borderId="1" xfId="2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49" fontId="4" fillId="6" borderId="1" xfId="2" applyNumberFormat="1" applyFont="1" applyFill="1" applyBorder="1" applyAlignment="1">
      <alignment horizontal="center" wrapText="1"/>
    </xf>
    <xf numFmtId="3" fontId="4" fillId="6" borderId="1" xfId="2" applyFont="1" applyFill="1" applyBorder="1" applyAlignment="1">
      <alignment horizontal="center"/>
    </xf>
    <xf numFmtId="0" fontId="64" fillId="0" borderId="6" xfId="0" applyFont="1" applyBorder="1" applyAlignment="1">
      <alignment horizontal="left" vertical="center" wrapText="1"/>
    </xf>
    <xf numFmtId="0" fontId="88" fillId="0" borderId="55" xfId="0" applyFont="1" applyBorder="1" applyAlignment="1">
      <alignment horizontal="left" vertical="center" wrapText="1"/>
    </xf>
    <xf numFmtId="0" fontId="59" fillId="6" borderId="8" xfId="0" applyFont="1" applyFill="1" applyBorder="1" applyAlignment="1">
      <alignment horizontal="center" vertical="center" wrapText="1"/>
    </xf>
    <xf numFmtId="0" fontId="59" fillId="6" borderId="9" xfId="0" applyFont="1" applyFill="1" applyBorder="1" applyAlignment="1">
      <alignment horizontal="center" vertical="center" wrapText="1"/>
    </xf>
    <xf numFmtId="0" fontId="57" fillId="14" borderId="8" xfId="0" applyFont="1" applyFill="1" applyBorder="1" applyAlignment="1">
      <alignment horizontal="center" vertical="center" wrapText="1"/>
    </xf>
    <xf numFmtId="0" fontId="57" fillId="14" borderId="5" xfId="0" applyFont="1" applyFill="1" applyBorder="1" applyAlignment="1">
      <alignment horizontal="center" vertical="center" wrapText="1"/>
    </xf>
    <xf numFmtId="0" fontId="59" fillId="14" borderId="8" xfId="0" applyFont="1" applyFill="1" applyBorder="1" applyAlignment="1">
      <alignment horizontal="center" vertical="center" wrapText="1"/>
    </xf>
    <xf numFmtId="0" fontId="59" fillId="14" borderId="5" xfId="0" applyFont="1" applyFill="1" applyBorder="1" applyAlignment="1">
      <alignment horizontal="center" vertical="center" wrapText="1"/>
    </xf>
    <xf numFmtId="0" fontId="59" fillId="7" borderId="0" xfId="0" applyFont="1" applyFill="1" applyAlignment="1">
      <alignment horizontal="left"/>
    </xf>
    <xf numFmtId="0" fontId="59" fillId="13" borderId="8" xfId="0" applyFont="1" applyFill="1" applyBorder="1" applyAlignment="1">
      <alignment horizontal="center" vertical="center" wrapText="1"/>
    </xf>
    <xf numFmtId="0" fontId="59" fillId="13" borderId="9" xfId="0" applyFont="1" applyFill="1" applyBorder="1" applyAlignment="1">
      <alignment horizontal="center" vertical="center" wrapText="1"/>
    </xf>
    <xf numFmtId="0" fontId="88" fillId="0" borderId="13" xfId="0" applyFont="1" applyBorder="1" applyAlignment="1">
      <alignment horizontal="left" vertical="center" wrapText="1"/>
    </xf>
    <xf numFmtId="0" fontId="88" fillId="0" borderId="60" xfId="0" applyFont="1" applyBorder="1" applyAlignment="1">
      <alignment horizontal="left" vertical="center" wrapText="1"/>
    </xf>
    <xf numFmtId="14" fontId="60" fillId="0" borderId="43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4" fontId="60" fillId="0" borderId="92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7" fillId="0" borderId="6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" fontId="59" fillId="14" borderId="8" xfId="0" applyNumberFormat="1" applyFont="1" applyFill="1" applyBorder="1" applyAlignment="1">
      <alignment horizontal="left"/>
    </xf>
    <xf numFmtId="4" fontId="59" fillId="14" borderId="9" xfId="0" applyNumberFormat="1" applyFont="1" applyFill="1" applyBorder="1" applyAlignment="1">
      <alignment horizontal="left"/>
    </xf>
    <xf numFmtId="4" fontId="59" fillId="14" borderId="5" xfId="0" applyNumberFormat="1" applyFont="1" applyFill="1" applyBorder="1" applyAlignment="1">
      <alignment horizontal="left"/>
    </xf>
    <xf numFmtId="0" fontId="86" fillId="0" borderId="21" xfId="0" applyFont="1" applyBorder="1" applyAlignment="1">
      <alignment horizontal="left" vertical="top" wrapText="1"/>
    </xf>
    <xf numFmtId="0" fontId="87" fillId="0" borderId="49" xfId="0" applyFont="1" applyBorder="1"/>
    <xf numFmtId="0" fontId="87" fillId="0" borderId="50" xfId="0" applyFont="1" applyBorder="1"/>
    <xf numFmtId="0" fontId="86" fillId="0" borderId="27" xfId="0" applyFont="1" applyBorder="1" applyAlignment="1">
      <alignment horizontal="left" vertical="top" wrapText="1"/>
    </xf>
    <xf numFmtId="0" fontId="86" fillId="0" borderId="48" xfId="0" applyFont="1" applyBorder="1" applyAlignment="1">
      <alignment horizontal="left" vertical="top" wrapText="1"/>
    </xf>
    <xf numFmtId="0" fontId="86" fillId="0" borderId="47" xfId="0" applyFont="1" applyBorder="1" applyAlignment="1">
      <alignment horizontal="left" vertical="top" wrapText="1"/>
    </xf>
    <xf numFmtId="0" fontId="86" fillId="0" borderId="33" xfId="0" applyFont="1" applyBorder="1" applyAlignment="1">
      <alignment horizontal="left" vertical="top" wrapText="1"/>
    </xf>
    <xf numFmtId="0" fontId="86" fillId="0" borderId="51" xfId="0" applyFont="1" applyBorder="1" applyAlignment="1">
      <alignment horizontal="left" vertical="top" wrapText="1"/>
    </xf>
    <xf numFmtId="0" fontId="86" fillId="0" borderId="52" xfId="0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26" fillId="0" borderId="48" xfId="0" applyFont="1" applyBorder="1" applyAlignment="1">
      <alignment horizontal="left" vertical="top" wrapText="1"/>
    </xf>
    <xf numFmtId="0" fontId="26" fillId="0" borderId="47" xfId="0" applyFont="1" applyBorder="1" applyAlignment="1">
      <alignment horizontal="left" vertical="top" wrapText="1"/>
    </xf>
    <xf numFmtId="4" fontId="26" fillId="0" borderId="2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64" fillId="0" borderId="54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0" fillId="6" borderId="8" xfId="0" applyFont="1" applyFill="1" applyBorder="1" applyAlignment="1">
      <alignment horizontal="center" vertical="center" wrapText="1"/>
    </xf>
    <xf numFmtId="0" fontId="60" fillId="6" borderId="9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49" fontId="64" fillId="0" borderId="13" xfId="0" applyNumberFormat="1" applyFont="1" applyBorder="1" applyAlignment="1">
      <alignment horizontal="left" vertical="center" wrapText="1"/>
    </xf>
    <xf numFmtId="49" fontId="64" fillId="0" borderId="15" xfId="0" applyNumberFormat="1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center" wrapText="1"/>
    </xf>
    <xf numFmtId="4" fontId="15" fillId="0" borderId="18" xfId="0" applyNumberFormat="1" applyFont="1" applyBorder="1" applyAlignment="1">
      <alignment horizontal="left" vertical="top" wrapText="1"/>
    </xf>
    <xf numFmtId="4" fontId="36" fillId="0" borderId="30" xfId="0" applyNumberFormat="1" applyFont="1" applyBorder="1" applyAlignment="1">
      <alignment horizontal="left" vertical="top" wrapText="1"/>
    </xf>
    <xf numFmtId="4" fontId="28" fillId="2" borderId="5" xfId="0" applyNumberFormat="1" applyFont="1" applyFill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/>
    </xf>
    <xf numFmtId="0" fontId="18" fillId="0" borderId="41" xfId="0" applyFont="1" applyBorder="1" applyAlignment="1">
      <alignment horizontal="left" vertical="top" wrapText="1"/>
    </xf>
    <xf numFmtId="0" fontId="57" fillId="9" borderId="56" xfId="0" applyFont="1" applyFill="1" applyBorder="1" applyAlignment="1">
      <alignment horizontal="left" vertical="top" wrapText="1"/>
    </xf>
    <xf numFmtId="0" fontId="57" fillId="9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5" fillId="4" borderId="0" xfId="0" applyFont="1" applyFill="1" applyBorder="1" applyAlignment="1">
      <alignment vertical="center" wrapText="1"/>
    </xf>
    <xf numFmtId="0" fontId="15" fillId="0" borderId="37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28" fillId="4" borderId="76" xfId="0" applyFont="1" applyFill="1" applyBorder="1" applyAlignment="1">
      <alignment horizontal="left" vertical="top" wrapText="1"/>
    </xf>
    <xf numFmtId="0" fontId="28" fillId="4" borderId="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40" fillId="0" borderId="8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1" fillId="0" borderId="8" xfId="0" applyFont="1" applyBorder="1" applyAlignment="1">
      <alignment horizontal="left" vertical="top" wrapText="1"/>
    </xf>
    <xf numFmtId="0" fontId="82" fillId="0" borderId="9" xfId="0" applyFont="1" applyBorder="1" applyAlignment="1">
      <alignment vertical="top" wrapText="1"/>
    </xf>
    <xf numFmtId="0" fontId="82" fillId="0" borderId="5" xfId="0" applyFont="1" applyBorder="1" applyAlignment="1">
      <alignment vertical="top" wrapText="1"/>
    </xf>
    <xf numFmtId="0" fontId="82" fillId="0" borderId="9" xfId="0" applyFont="1" applyBorder="1" applyAlignment="1">
      <alignment horizontal="left" vertical="top" wrapText="1"/>
    </xf>
    <xf numFmtId="0" fontId="27" fillId="3" borderId="2" xfId="0" applyFont="1" applyFill="1" applyBorder="1" applyAlignment="1">
      <alignment horizontal="center" vertical="center"/>
    </xf>
    <xf numFmtId="3" fontId="6" fillId="0" borderId="23" xfId="2" applyFont="1" applyBorder="1" applyAlignment="1">
      <alignment horizontal="left"/>
    </xf>
    <xf numFmtId="3" fontId="6" fillId="0" borderId="24" xfId="2" applyFont="1" applyBorder="1" applyAlignment="1">
      <alignment horizontal="left"/>
    </xf>
    <xf numFmtId="3" fontId="9" fillId="0" borderId="16" xfId="2" applyFont="1" applyBorder="1" applyAlignment="1">
      <alignment horizontal="left"/>
    </xf>
    <xf numFmtId="3" fontId="9" fillId="0" borderId="37" xfId="2" applyFont="1" applyBorder="1" applyAlignment="1">
      <alignment horizontal="left"/>
    </xf>
    <xf numFmtId="4" fontId="9" fillId="0" borderId="22" xfId="2" applyNumberFormat="1" applyFont="1" applyBorder="1" applyAlignment="1">
      <alignment horizontal="left"/>
    </xf>
    <xf numFmtId="4" fontId="9" fillId="0" borderId="40" xfId="2" applyNumberFormat="1" applyFont="1" applyBorder="1" applyAlignment="1">
      <alignment horizontal="left"/>
    </xf>
    <xf numFmtId="3" fontId="9" fillId="0" borderId="28" xfId="2" applyFont="1" applyBorder="1" applyAlignment="1">
      <alignment horizontal="left"/>
    </xf>
    <xf numFmtId="3" fontId="9" fillId="0" borderId="41" xfId="2" applyFont="1" applyBorder="1" applyAlignment="1">
      <alignment horizontal="left"/>
    </xf>
    <xf numFmtId="3" fontId="7" fillId="0" borderId="23" xfId="2" applyFont="1" applyBorder="1" applyAlignment="1">
      <alignment horizontal="left"/>
    </xf>
    <xf numFmtId="3" fontId="7" fillId="0" borderId="24" xfId="2" applyFont="1" applyBorder="1" applyAlignment="1">
      <alignment horizontal="left"/>
    </xf>
    <xf numFmtId="3" fontId="6" fillId="0" borderId="17" xfId="2" applyFont="1" applyFill="1" applyBorder="1" applyAlignment="1">
      <alignment horizontal="left"/>
    </xf>
    <xf numFmtId="3" fontId="6" fillId="0" borderId="18" xfId="2" applyFont="1" applyFill="1" applyBorder="1" applyAlignment="1">
      <alignment horizontal="left"/>
    </xf>
    <xf numFmtId="3" fontId="4" fillId="6" borderId="2" xfId="2" applyFont="1" applyFill="1" applyBorder="1" applyAlignment="1">
      <alignment horizontal="center" wrapText="1"/>
    </xf>
    <xf numFmtId="3" fontId="4" fillId="6" borderId="3" xfId="2" applyFont="1" applyFill="1" applyBorder="1" applyAlignment="1">
      <alignment horizontal="center" wrapText="1"/>
    </xf>
    <xf numFmtId="4" fontId="4" fillId="6" borderId="2" xfId="2" applyNumberFormat="1" applyFont="1" applyFill="1" applyBorder="1" applyAlignment="1">
      <alignment horizontal="center" wrapText="1"/>
    </xf>
    <xf numFmtId="4" fontId="4" fillId="6" borderId="3" xfId="2" applyNumberFormat="1" applyFont="1" applyFill="1" applyBorder="1" applyAlignment="1">
      <alignment horizontal="center" wrapText="1"/>
    </xf>
    <xf numFmtId="4" fontId="4" fillId="6" borderId="8" xfId="2" applyNumberFormat="1" applyFont="1" applyFill="1" applyBorder="1" applyAlignment="1">
      <alignment horizontal="center"/>
    </xf>
    <xf numFmtId="4" fontId="4" fillId="6" borderId="9" xfId="2" applyNumberFormat="1" applyFont="1" applyFill="1" applyBorder="1" applyAlignment="1">
      <alignment horizontal="center"/>
    </xf>
    <xf numFmtId="4" fontId="4" fillId="6" borderId="5" xfId="2" applyNumberFormat="1" applyFont="1" applyFill="1" applyBorder="1" applyAlignment="1">
      <alignment horizontal="center"/>
    </xf>
    <xf numFmtId="3" fontId="6" fillId="0" borderId="17" xfId="2" applyFont="1" applyBorder="1" applyAlignment="1">
      <alignment horizontal="left"/>
    </xf>
    <xf numFmtId="3" fontId="6" fillId="0" borderId="18" xfId="2" applyFont="1" applyBorder="1" applyAlignment="1">
      <alignment horizontal="left"/>
    </xf>
    <xf numFmtId="0" fontId="5" fillId="6" borderId="10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49" fontId="4" fillId="6" borderId="6" xfId="2" applyNumberFormat="1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49" fontId="4" fillId="6" borderId="2" xfId="2" applyNumberFormat="1" applyFont="1" applyFill="1" applyBorder="1" applyAlignment="1">
      <alignment horizontal="center" wrapText="1"/>
    </xf>
    <xf numFmtId="49" fontId="4" fillId="6" borderId="10" xfId="2" applyNumberFormat="1" applyFont="1" applyFill="1" applyBorder="1" applyAlignment="1">
      <alignment horizontal="center" wrapText="1"/>
    </xf>
    <xf numFmtId="49" fontId="4" fillId="6" borderId="3" xfId="2" applyNumberFormat="1" applyFont="1" applyFill="1" applyBorder="1" applyAlignment="1">
      <alignment horizontal="center" wrapText="1"/>
    </xf>
    <xf numFmtId="3" fontId="4" fillId="6" borderId="8" xfId="2" applyFont="1" applyFill="1" applyBorder="1" applyAlignment="1">
      <alignment horizontal="center"/>
    </xf>
    <xf numFmtId="3" fontId="4" fillId="6" borderId="9" xfId="2" applyFont="1" applyFill="1" applyBorder="1" applyAlignment="1">
      <alignment horizontal="center"/>
    </xf>
    <xf numFmtId="3" fontId="4" fillId="6" borderId="5" xfId="2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left" vertical="top" wrapText="1"/>
    </xf>
    <xf numFmtId="0" fontId="28" fillId="2" borderId="5" xfId="0" applyFont="1" applyFill="1" applyBorder="1" applyAlignment="1">
      <alignment horizontal="center" vertical="center" wrapText="1"/>
    </xf>
    <xf numFmtId="0" fontId="59" fillId="0" borderId="88" xfId="0" applyFont="1" applyFill="1" applyBorder="1" applyAlignment="1">
      <alignment horizontal="left" vertical="center" wrapText="1"/>
    </xf>
    <xf numFmtId="0" fontId="59" fillId="0" borderId="78" xfId="0" applyFont="1" applyFill="1" applyBorder="1" applyAlignment="1">
      <alignment horizontal="left" vertical="center" wrapText="1"/>
    </xf>
    <xf numFmtId="0" fontId="59" fillId="0" borderId="83" xfId="0" applyFont="1" applyFill="1" applyBorder="1" applyAlignment="1">
      <alignment horizontal="left" vertical="center" wrapText="1"/>
    </xf>
    <xf numFmtId="0" fontId="59" fillId="0" borderId="70" xfId="0" applyFont="1" applyFill="1" applyBorder="1" applyAlignment="1">
      <alignment horizontal="left" vertical="center" wrapText="1"/>
    </xf>
    <xf numFmtId="0" fontId="59" fillId="0" borderId="85" xfId="0" applyFont="1" applyFill="1" applyBorder="1" applyAlignment="1">
      <alignment horizontal="left" vertical="center" wrapText="1"/>
    </xf>
    <xf numFmtId="0" fontId="59" fillId="0" borderId="86" xfId="0" applyFont="1" applyFill="1" applyBorder="1" applyAlignment="1">
      <alignment horizontal="left" vertical="center" wrapText="1"/>
    </xf>
    <xf numFmtId="4" fontId="15" fillId="0" borderId="27" xfId="0" applyNumberFormat="1" applyFont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4" fontId="26" fillId="0" borderId="43" xfId="0" applyNumberFormat="1" applyFont="1" applyBorder="1" applyAlignment="1">
      <alignment horizontal="right" vertical="top" wrapText="1"/>
    </xf>
    <xf numFmtId="0" fontId="0" fillId="0" borderId="45" xfId="0" applyBorder="1" applyAlignment="1">
      <alignment horizontal="right" vertical="top" wrapText="1"/>
    </xf>
    <xf numFmtId="0" fontId="26" fillId="0" borderId="43" xfId="0" applyNumberFormat="1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18" fillId="0" borderId="53" xfId="0" applyFont="1" applyBorder="1" applyAlignment="1">
      <alignment horizontal="left" vertical="top" wrapText="1"/>
    </xf>
    <xf numFmtId="0" fontId="18" fillId="0" borderId="54" xfId="0" applyFont="1" applyBorder="1" applyAlignment="1">
      <alignment horizontal="left" vertical="top" wrapText="1"/>
    </xf>
    <xf numFmtId="0" fontId="18" fillId="0" borderId="55" xfId="0" applyFont="1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15" fillId="0" borderId="43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left" vertical="top" wrapText="1"/>
    </xf>
    <xf numFmtId="0" fontId="15" fillId="0" borderId="58" xfId="0" applyFont="1" applyBorder="1" applyAlignment="1">
      <alignment horizontal="left" vertical="top" wrapText="1"/>
    </xf>
    <xf numFmtId="0" fontId="0" fillId="0" borderId="42" xfId="0" applyBorder="1" applyAlignment="1">
      <alignment horizontal="right" vertical="top" wrapText="1"/>
    </xf>
    <xf numFmtId="0" fontId="0" fillId="0" borderId="42" xfId="0" applyBorder="1" applyAlignment="1">
      <alignment vertical="top" wrapText="1"/>
    </xf>
    <xf numFmtId="0" fontId="15" fillId="0" borderId="53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5" fillId="0" borderId="55" xfId="0" applyFont="1" applyBorder="1" applyAlignment="1">
      <alignment horizontal="left" vertical="top" wrapText="1"/>
    </xf>
    <xf numFmtId="0" fontId="41" fillId="0" borderId="56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57" xfId="0" applyFont="1" applyBorder="1" applyAlignment="1">
      <alignment horizontal="left" vertical="top" wrapText="1"/>
    </xf>
    <xf numFmtId="0" fontId="41" fillId="0" borderId="59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60" xfId="0" applyFont="1" applyBorder="1" applyAlignment="1">
      <alignment horizontal="left" vertical="top" wrapText="1"/>
    </xf>
    <xf numFmtId="3" fontId="6" fillId="5" borderId="1" xfId="2" applyFont="1" applyFill="1" applyBorder="1" applyAlignment="1">
      <alignment horizontal="left"/>
    </xf>
    <xf numFmtId="3" fontId="4" fillId="2" borderId="2" xfId="2" applyFont="1" applyFill="1" applyBorder="1" applyAlignment="1">
      <alignment horizontal="center" wrapText="1"/>
    </xf>
    <xf numFmtId="3" fontId="4" fillId="2" borderId="3" xfId="2" applyFont="1" applyFill="1" applyBorder="1" applyAlignment="1">
      <alignment horizont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63" xfId="0" applyFont="1" applyFill="1" applyBorder="1" applyAlignment="1">
      <alignment horizontal="left" vertical="center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69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0" fontId="15" fillId="0" borderId="56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36" fillId="0" borderId="65" xfId="0" applyFont="1" applyBorder="1" applyAlignment="1">
      <alignment horizontal="left" vertical="top" wrapText="1"/>
    </xf>
    <xf numFmtId="0" fontId="36" fillId="0" borderId="66" xfId="0" applyFont="1" applyBorder="1" applyAlignment="1">
      <alignment horizontal="left" vertical="top" wrapText="1"/>
    </xf>
    <xf numFmtId="0" fontId="36" fillId="0" borderId="63" xfId="0" applyFont="1" applyBorder="1" applyAlignment="1">
      <alignment horizontal="left" vertical="top"/>
    </xf>
    <xf numFmtId="0" fontId="36" fillId="0" borderId="64" xfId="0" applyFont="1" applyBorder="1" applyAlignment="1">
      <alignment horizontal="left" vertical="top"/>
    </xf>
    <xf numFmtId="0" fontId="45" fillId="0" borderId="0" xfId="0" applyFont="1" applyAlignment="1">
      <alignment horizontal="center"/>
    </xf>
    <xf numFmtId="0" fontId="36" fillId="0" borderId="27" xfId="0" applyFont="1" applyBorder="1" applyAlignment="1">
      <alignment horizontal="left" vertical="top"/>
    </xf>
    <xf numFmtId="0" fontId="36" fillId="0" borderId="48" xfId="0" applyFont="1" applyBorder="1" applyAlignment="1">
      <alignment horizontal="left" vertical="top"/>
    </xf>
    <xf numFmtId="0" fontId="36" fillId="0" borderId="47" xfId="0" applyFont="1" applyBorder="1" applyAlignment="1">
      <alignment horizontal="left" vertical="top"/>
    </xf>
    <xf numFmtId="3" fontId="4" fillId="2" borderId="4" xfId="2" applyFont="1" applyFill="1" applyBorder="1" applyAlignment="1">
      <alignment horizontal="center" wrapText="1"/>
    </xf>
    <xf numFmtId="4" fontId="4" fillId="2" borderId="5" xfId="2" applyNumberFormat="1" applyFont="1" applyFill="1" applyBorder="1" applyAlignment="1">
      <alignment horizontal="center" wrapText="1"/>
    </xf>
    <xf numFmtId="3" fontId="4" fillId="2" borderId="4" xfId="2" applyFont="1" applyFill="1" applyBorder="1" applyAlignment="1">
      <alignment horizontal="center"/>
    </xf>
    <xf numFmtId="3" fontId="4" fillId="2" borderId="5" xfId="2" applyFont="1" applyFill="1" applyBorder="1" applyAlignment="1">
      <alignment horizontal="center"/>
    </xf>
    <xf numFmtId="0" fontId="26" fillId="0" borderId="27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35" fillId="0" borderId="63" xfId="0" applyFont="1" applyBorder="1" applyAlignment="1">
      <alignment horizontal="left" vertical="top" wrapText="1"/>
    </xf>
    <xf numFmtId="0" fontId="35" fillId="0" borderId="64" xfId="0" applyFont="1" applyBorder="1" applyAlignment="1">
      <alignment horizontal="left" vertical="top" wrapText="1"/>
    </xf>
    <xf numFmtId="0" fontId="35" fillId="0" borderId="6" xfId="0" applyFont="1" applyBorder="1" applyAlignment="1">
      <alignment horizontal="left" vertical="top" wrapText="1"/>
    </xf>
    <xf numFmtId="0" fontId="35" fillId="0" borderId="55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57" xfId="0" applyFont="1" applyBorder="1" applyAlignment="1">
      <alignment horizontal="left" vertical="top" wrapText="1"/>
    </xf>
    <xf numFmtId="0" fontId="35" fillId="0" borderId="65" xfId="0" applyFont="1" applyBorder="1" applyAlignment="1">
      <alignment horizontal="left" vertical="top" wrapText="1"/>
    </xf>
    <xf numFmtId="0" fontId="35" fillId="0" borderId="66" xfId="0" applyFont="1" applyBorder="1" applyAlignment="1">
      <alignment horizontal="left" vertical="top" wrapText="1"/>
    </xf>
    <xf numFmtId="0" fontId="15" fillId="0" borderId="53" xfId="0" applyFont="1" applyBorder="1" applyAlignment="1">
      <alignment horizontal="justify" vertical="top" wrapText="1"/>
    </xf>
    <xf numFmtId="0" fontId="15" fillId="0" borderId="54" xfId="0" applyFont="1" applyBorder="1" applyAlignment="1">
      <alignment horizontal="justify" vertical="top" wrapText="1"/>
    </xf>
    <xf numFmtId="0" fontId="15" fillId="0" borderId="55" xfId="0" applyFont="1" applyBorder="1" applyAlignment="1">
      <alignment horizontal="justify" vertical="top" wrapText="1"/>
    </xf>
    <xf numFmtId="0" fontId="15" fillId="0" borderId="56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57" xfId="0" applyFont="1" applyBorder="1" applyAlignment="1">
      <alignment horizontal="justify" vertical="top" wrapText="1"/>
    </xf>
    <xf numFmtId="0" fontId="15" fillId="0" borderId="59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60" xfId="0" applyFont="1" applyBorder="1" applyAlignment="1">
      <alignment horizontal="justify" vertical="top" wrapText="1"/>
    </xf>
    <xf numFmtId="0" fontId="15" fillId="0" borderId="21" xfId="0" applyFont="1" applyBorder="1" applyAlignment="1">
      <alignment horizontal="justify" vertical="justify" wrapText="1"/>
    </xf>
    <xf numFmtId="0" fontId="15" fillId="0" borderId="49" xfId="0" applyFont="1" applyBorder="1" applyAlignment="1">
      <alignment horizontal="justify" vertical="justify" wrapText="1"/>
    </xf>
    <xf numFmtId="0" fontId="15" fillId="0" borderId="50" xfId="0" applyFont="1" applyBorder="1" applyAlignment="1">
      <alignment horizontal="justify" vertical="justify" wrapText="1"/>
    </xf>
    <xf numFmtId="0" fontId="15" fillId="0" borderId="27" xfId="0" applyFont="1" applyBorder="1" applyAlignment="1">
      <alignment horizontal="justify" vertical="justify" wrapText="1"/>
    </xf>
    <xf numFmtId="0" fontId="15" fillId="0" borderId="48" xfId="0" applyFont="1" applyBorder="1" applyAlignment="1">
      <alignment horizontal="justify" vertical="justify" wrapText="1"/>
    </xf>
    <xf numFmtId="0" fontId="15" fillId="0" borderId="47" xfId="0" applyFont="1" applyBorder="1" applyAlignment="1">
      <alignment horizontal="justify" vertical="justify" wrapText="1"/>
    </xf>
    <xf numFmtId="0" fontId="15" fillId="0" borderId="28" xfId="0" applyFont="1" applyBorder="1" applyAlignment="1">
      <alignment horizontal="justify" vertical="justify" wrapText="1"/>
    </xf>
    <xf numFmtId="0" fontId="15" fillId="0" borderId="51" xfId="0" applyFont="1" applyBorder="1" applyAlignment="1">
      <alignment horizontal="justify" vertical="justify" wrapText="1"/>
    </xf>
    <xf numFmtId="0" fontId="15" fillId="0" borderId="52" xfId="0" applyFont="1" applyBorder="1" applyAlignment="1">
      <alignment horizontal="justify" vertical="justify" wrapText="1"/>
    </xf>
    <xf numFmtId="0" fontId="15" fillId="0" borderId="26" xfId="0" applyFont="1" applyBorder="1" applyAlignment="1">
      <alignment horizontal="justify" vertical="justify" wrapText="1"/>
    </xf>
    <xf numFmtId="0" fontId="5" fillId="0" borderId="49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35" fillId="0" borderId="27" xfId="0" applyFont="1" applyBorder="1" applyAlignment="1">
      <alignment horizontal="left" vertical="center" wrapText="1"/>
    </xf>
    <xf numFmtId="0" fontId="35" fillId="0" borderId="48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4" borderId="13" xfId="0" applyFont="1" applyFill="1" applyBorder="1" applyAlignment="1">
      <alignment horizontal="left" vertical="center" wrapText="1"/>
    </xf>
    <xf numFmtId="0" fontId="35" fillId="4" borderId="14" xfId="0" applyFont="1" applyFill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top" wrapText="1"/>
    </xf>
    <xf numFmtId="0" fontId="0" fillId="0" borderId="54" xfId="0" applyBorder="1" applyAlignment="1"/>
    <xf numFmtId="0" fontId="35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4" fontId="32" fillId="0" borderId="51" xfId="0" applyNumberFormat="1" applyFont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4" fontId="42" fillId="2" borderId="79" xfId="0" applyNumberFormat="1" applyFont="1" applyFill="1" applyBorder="1" applyAlignment="1">
      <alignment horizontal="center" vertical="center" wrapText="1"/>
    </xf>
    <xf numFmtId="4" fontId="32" fillId="0" borderId="49" xfId="0" applyNumberFormat="1" applyFont="1" applyBorder="1" applyAlignment="1">
      <alignment horizontal="center" vertical="center" wrapText="1"/>
    </xf>
    <xf numFmtId="4" fontId="43" fillId="4" borderId="48" xfId="0" applyNumberFormat="1" applyFont="1" applyFill="1" applyBorder="1" applyAlignment="1">
      <alignment horizontal="center" vertical="center" wrapText="1"/>
    </xf>
    <xf numFmtId="4" fontId="43" fillId="0" borderId="48" xfId="0" applyNumberFormat="1" applyFont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left" vertical="top" wrapText="1"/>
    </xf>
    <xf numFmtId="0" fontId="28" fillId="2" borderId="40" xfId="0" applyFont="1" applyFill="1" applyBorder="1" applyAlignment="1">
      <alignment horizontal="left" vertical="top" wrapText="1"/>
    </xf>
    <xf numFmtId="0" fontId="15" fillId="0" borderId="61" xfId="0" applyFont="1" applyBorder="1" applyAlignment="1">
      <alignment horizontal="left" vertical="top" wrapText="1"/>
    </xf>
    <xf numFmtId="0" fontId="36" fillId="0" borderId="36" xfId="0" applyFont="1" applyBorder="1" applyAlignment="1">
      <alignment horizontal="left" vertical="top" wrapText="1"/>
    </xf>
    <xf numFmtId="0" fontId="36" fillId="0" borderId="68" xfId="0" applyFont="1" applyBorder="1" applyAlignment="1">
      <alignment horizontal="left" vertical="top" wrapText="1"/>
    </xf>
    <xf numFmtId="0" fontId="28" fillId="2" borderId="28" xfId="0" applyFont="1" applyFill="1" applyBorder="1" applyAlignment="1">
      <alignment horizontal="left" vertical="top" wrapText="1"/>
    </xf>
    <xf numFmtId="0" fontId="28" fillId="2" borderId="41" xfId="0" applyFont="1" applyFill="1" applyBorder="1" applyAlignment="1">
      <alignment horizontal="left" vertical="top" wrapText="1"/>
    </xf>
    <xf numFmtId="0" fontId="28" fillId="11" borderId="13" xfId="0" applyFont="1" applyFill="1" applyBorder="1" applyAlignment="1">
      <alignment horizontal="left" vertical="top" wrapText="1"/>
    </xf>
    <xf numFmtId="0" fontId="28" fillId="11" borderId="15" xfId="0" applyFont="1" applyFill="1" applyBorder="1" applyAlignment="1">
      <alignment horizontal="left" vertical="top" wrapText="1"/>
    </xf>
    <xf numFmtId="0" fontId="28" fillId="11" borderId="14" xfId="0" applyFont="1" applyFill="1" applyBorder="1" applyAlignment="1">
      <alignment horizontal="left" vertical="top" wrapText="1"/>
    </xf>
    <xf numFmtId="0" fontId="28" fillId="3" borderId="71" xfId="0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41" fillId="0" borderId="0" xfId="0" applyFont="1" applyBorder="1" applyAlignment="1"/>
    <xf numFmtId="0" fontId="41" fillId="0" borderId="12" xfId="0" applyFont="1" applyBorder="1" applyAlignment="1"/>
    <xf numFmtId="0" fontId="39" fillId="0" borderId="16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5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</cellXfs>
  <cellStyles count="3">
    <cellStyle name="Čárka" xfId="1" builtinId="3"/>
    <cellStyle name="Normální" xfId="0" builtinId="0"/>
    <cellStyle name="normální_MŠ Raisov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onomka/Documents/Zpr&#225;va%20o%20hospoda&#345;en&#237;%20organizace%20-%201.%20pol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 refreshError="1"/>
      <sheetData sheetId="1" refreshError="1">
        <row r="207">
          <cell r="A207" t="str">
            <v>Zřizovatelem máme schválený procentní výpočet nákladů doplňkové činnosti, který se odvíjí od výnosů. V roce 2017 jsme naplánovali 30.104,- Kč výsledek hospodaření, kterého s největší pravděpodobností ale nedosáhneme.</v>
          </cell>
        </row>
        <row r="218">
          <cell r="A218" t="str">
            <v>Fond odměn: RMP dne 27.6.2017 usnesením č. 7615 schválila přiznání mimořádné odměny pro ředitelku školy za podíl na zlepšeném výsledku hospodaření v doplňkové činnosti za kalendářní rok 2016 ve výši 3.400,-, která bude vyplacena v červencové výplatě. V 1. pololetí se z fondu odměn nečerpalo. Kč. Stav k 30.6. je 42.335,98 Kč.</v>
          </cell>
        </row>
        <row r="219">
          <cell r="A219" t="str">
            <v xml:space="preserve">F K S P - do fondu byly přiděleny 2 % z objemu hrubých prostředků, což činí 93.290,- Kč. Z fondu se přispívá v rámci individuálního příspěvku na rekreační a lázeňské pobyty, zájezdy a rehabilitace - za 1. pololetí zatím jen 2.000,- Kč. Dále se přispívá na stravování zaměstnanců - 27.800,- Kč (10,- Kč na jeden oběd, není zde zohledněn příspěvek zřizovatele za červen 3.840,- Kč), na kulturní představení, tělovýchovné akce, setkání s důchodci školy apod. - za 1. pololetí to bylo 23.969,- Kč. Rozdíl mezi účetním stavem (140.364,52 Kč) a finančním stavem (132.039,61 Kč) je 8.324,91 Kč. Je to rozdíl mezi přídělem z hrubých mezd za červen 2017 (15.685,- Kč), který do doby uzávěrky nemohl být připsán na účtě, předkontací neuhrazené faktury za obědy za červen 2017 ve výši 7.680,- Kč, dále mezi poplatky za červen (327,- Kč) a připsanými úroky za červen (7,09 Kč). Z FKSP se majetek nepořizoval. Stav fondu je k 30. 6. 2017 - 140.364,52 Kč. </v>
          </cell>
        </row>
        <row r="220">
          <cell r="A220" t="str">
            <v>Rezervní fond: do fondu byl přidělen dosažený výsledek hospodaření z doplňkové činnosti roku 2016 ve výši 42.980,- Kč a část z HČ ve výši 19.750,56 Kč. Dále Zastupitelstvo města Prostějova rozhodlo o převodu finanční částky 43.355,- Kč (část výsledku hospodaření v hlavní činnosti) do rezervního fondu organizace, následně o převodu finanční částky 43.355,- Kč z rezervního fondu do fondu investic. Stav fondu na účtu 413 k 30. 6. je 149.087,99 Kč. Rada města Prostějova usnesením č. 7619 schválila čerpání rezervního fondu ve výši 70.000,- Kč na nákup nábytku do tříd (dokoupení lavic, židlí, nástěnek). Realizace proběhne ve 2. pololetí roku 2017. Na účet 414 byly přiděleny prostředky finančního daru Nadace SOVA ve výši 15.000,- Kč na materiální vybavení školních družin schválené usnesením 7150 ze dne 7. 2. 2017. V 1. pololetí se již vyčerpalo 10.224,- Kč. Stav k 30.6.2017 je 25.895,09 Kč.</v>
          </cell>
        </row>
        <row r="221">
          <cell r="A221" t="str">
            <v xml:space="preserve">Fond investic: v rámci finančního vypořádání roku 2016 byla do fondu převedena částka 43.355 Kč z rezervního fondu a následně tato částka byla odvedena na účet zřizovatele. Tvorba fondu ve výši odpisů byla za 1. pololetí 624.156,- Kč. Rada města Prostějova uložila ředitelce školy odvod zřizovateli z fondu investic ve výši odpisů budov, což činí 616.602,- Kč. Stav fondu k 30.6. je 28.766,- Kč. 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activeCell="I43" sqref="I43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85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12967119</v>
      </c>
      <c r="F6" s="8">
        <f>SUM(F7:F9)</f>
        <v>12973819</v>
      </c>
      <c r="G6" s="8">
        <f>SUM(G7:G9)</f>
        <v>6762676</v>
      </c>
      <c r="H6" s="9">
        <f t="shared" ref="H6:H36" si="0">G6/F6*100</f>
        <v>52.125561486559967</v>
      </c>
      <c r="I6" s="8">
        <f>SUM(I7:I9)</f>
        <v>6718037</v>
      </c>
      <c r="J6" s="8">
        <f>SUM(J7:J9)</f>
        <v>5705959</v>
      </c>
      <c r="K6" s="8">
        <f t="shared" ref="K6:X6" si="1">SUM(K7:K9)</f>
        <v>5712659</v>
      </c>
      <c r="L6" s="8">
        <f t="shared" si="1"/>
        <v>3217781</v>
      </c>
      <c r="M6" s="9">
        <f t="shared" ref="M6:M29" si="2">L6/K6*100</f>
        <v>56.327202446356416</v>
      </c>
      <c r="N6" s="8">
        <f t="shared" si="1"/>
        <v>3429362</v>
      </c>
      <c r="O6" s="8">
        <f t="shared" si="1"/>
        <v>7261160</v>
      </c>
      <c r="P6" s="8">
        <f t="shared" si="1"/>
        <v>7261160</v>
      </c>
      <c r="Q6" s="8">
        <f t="shared" si="1"/>
        <v>3544895</v>
      </c>
      <c r="R6" s="9">
        <f t="shared" ref="R6:R21" si="3">Q6/P6*100</f>
        <v>48.819954387453244</v>
      </c>
      <c r="S6" s="8">
        <f t="shared" si="1"/>
        <v>3288675</v>
      </c>
      <c r="T6" s="8">
        <f t="shared" si="1"/>
        <v>43438</v>
      </c>
      <c r="U6" s="8">
        <f t="shared" si="1"/>
        <v>43438</v>
      </c>
      <c r="V6" s="8">
        <f t="shared" si="1"/>
        <v>23068</v>
      </c>
      <c r="W6" s="9">
        <f t="shared" ref="W6:W33" si="4">V6/U6*100</f>
        <v>53.105575763156686</v>
      </c>
      <c r="X6" s="8">
        <f t="shared" si="1"/>
        <v>23068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5">SUM(J7,O7)</f>
        <v>2920000</v>
      </c>
      <c r="F7" s="12">
        <f t="shared" si="5"/>
        <v>2926700</v>
      </c>
      <c r="G7" s="12">
        <f t="shared" si="5"/>
        <v>1824803</v>
      </c>
      <c r="H7" s="13">
        <f t="shared" si="0"/>
        <v>62.350189633375471</v>
      </c>
      <c r="I7" s="12">
        <f>SUM(N7,S7)</f>
        <v>1902764</v>
      </c>
      <c r="J7" s="44">
        <v>2920000</v>
      </c>
      <c r="K7" s="14">
        <v>2926700</v>
      </c>
      <c r="L7" s="14">
        <v>1824803</v>
      </c>
      <c r="M7" s="13">
        <f t="shared" si="2"/>
        <v>62.350189633375471</v>
      </c>
      <c r="N7" s="14">
        <v>1902764</v>
      </c>
      <c r="O7" s="14"/>
      <c r="P7" s="14"/>
      <c r="Q7" s="14"/>
      <c r="R7" s="13"/>
      <c r="S7" s="14"/>
      <c r="T7" s="14">
        <v>43438</v>
      </c>
      <c r="U7" s="14">
        <v>43438</v>
      </c>
      <c r="V7" s="14">
        <v>23068</v>
      </c>
      <c r="W7" s="13">
        <f t="shared" si="4"/>
        <v>53.105575763156686</v>
      </c>
      <c r="X7" s="14">
        <v>23068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5"/>
        <v>0</v>
      </c>
      <c r="F8" s="12">
        <f t="shared" si="5"/>
        <v>0</v>
      </c>
      <c r="G8" s="12">
        <f t="shared" si="5"/>
        <v>0</v>
      </c>
      <c r="H8" s="13"/>
      <c r="I8" s="12">
        <f>SUM(N8,S8)</f>
        <v>0</v>
      </c>
      <c r="J8" s="45">
        <v>0</v>
      </c>
      <c r="K8" s="12">
        <v>0</v>
      </c>
      <c r="L8" s="12">
        <v>0</v>
      </c>
      <c r="M8" s="13"/>
      <c r="N8" s="12">
        <v>0</v>
      </c>
      <c r="O8" s="12"/>
      <c r="P8" s="12"/>
      <c r="Q8" s="12"/>
      <c r="R8" s="13"/>
      <c r="S8" s="12"/>
      <c r="T8" s="12"/>
      <c r="U8" s="12"/>
      <c r="V8" s="12"/>
      <c r="W8" s="13"/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5"/>
        <v>10047119</v>
      </c>
      <c r="F9" s="12">
        <f t="shared" si="5"/>
        <v>10047119</v>
      </c>
      <c r="G9" s="12">
        <f t="shared" si="5"/>
        <v>4937873</v>
      </c>
      <c r="H9" s="13">
        <f t="shared" si="0"/>
        <v>49.147153527294741</v>
      </c>
      <c r="I9" s="12">
        <f>SUM(N9,S9)</f>
        <v>4815273</v>
      </c>
      <c r="J9" s="45">
        <v>2785959</v>
      </c>
      <c r="K9" s="12">
        <v>2785959</v>
      </c>
      <c r="L9" s="12">
        <v>1392978</v>
      </c>
      <c r="M9" s="13">
        <f t="shared" si="2"/>
        <v>49.999946158575916</v>
      </c>
      <c r="N9" s="12">
        <v>1526598</v>
      </c>
      <c r="O9" s="12">
        <v>7261160</v>
      </c>
      <c r="P9" s="12">
        <v>7261160</v>
      </c>
      <c r="Q9" s="12">
        <v>3544895</v>
      </c>
      <c r="R9" s="13">
        <f t="shared" si="3"/>
        <v>48.819954387453244</v>
      </c>
      <c r="S9" s="12">
        <v>3288675</v>
      </c>
      <c r="T9" s="12"/>
      <c r="U9" s="12"/>
      <c r="V9" s="12"/>
      <c r="W9" s="13"/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5"/>
        <v>0</v>
      </c>
      <c r="F10" s="18">
        <f t="shared" si="5"/>
        <v>0</v>
      </c>
      <c r="G10" s="18">
        <f t="shared" si="5"/>
        <v>0</v>
      </c>
      <c r="H10" s="9"/>
      <c r="I10" s="18">
        <f>SUM(N10,S10)</f>
        <v>0</v>
      </c>
      <c r="J10" s="19"/>
      <c r="K10" s="18"/>
      <c r="L10" s="18"/>
      <c r="M10" s="9"/>
      <c r="N10" s="18"/>
      <c r="O10" s="18"/>
      <c r="P10" s="18"/>
      <c r="Q10" s="18"/>
      <c r="R10" s="9"/>
      <c r="S10" s="18"/>
      <c r="T10" s="18"/>
      <c r="U10" s="18"/>
      <c r="V10" s="18"/>
      <c r="W10" s="9"/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12967119</v>
      </c>
      <c r="F11" s="8">
        <f>SUM(F12:F31)</f>
        <v>12973819</v>
      </c>
      <c r="G11" s="8">
        <f>SUM(G12:G31)</f>
        <v>6040494</v>
      </c>
      <c r="H11" s="9">
        <f t="shared" si="0"/>
        <v>46.559104917372437</v>
      </c>
      <c r="I11" s="8">
        <f>SUM(I12:I31)</f>
        <v>6180738</v>
      </c>
      <c r="J11" s="8">
        <f>SUM(J12:J31)</f>
        <v>5705959</v>
      </c>
      <c r="K11" s="8">
        <f>SUM(K12:K31)</f>
        <v>5712659</v>
      </c>
      <c r="L11" s="8">
        <f>SUM(L12:L31)</f>
        <v>2495599</v>
      </c>
      <c r="M11" s="9">
        <f t="shared" si="2"/>
        <v>43.685418646553209</v>
      </c>
      <c r="N11" s="8">
        <f>SUM(N12:N31)</f>
        <v>2892063</v>
      </c>
      <c r="O11" s="8">
        <f>SUM(O12:O31)</f>
        <v>7261160</v>
      </c>
      <c r="P11" s="8">
        <f>SUM(P12:P31)</f>
        <v>7261160</v>
      </c>
      <c r="Q11" s="8">
        <f>SUM(Q12:Q31)</f>
        <v>3544895</v>
      </c>
      <c r="R11" s="9">
        <f t="shared" si="3"/>
        <v>48.819954387453244</v>
      </c>
      <c r="S11" s="8">
        <f>SUM(S12:S31)</f>
        <v>3288675</v>
      </c>
      <c r="T11" s="8">
        <f>SUM(T12:T31)</f>
        <v>10640</v>
      </c>
      <c r="U11" s="8">
        <f>SUM(U12:U31)</f>
        <v>10640</v>
      </c>
      <c r="V11" s="8">
        <f>SUM(V12:V31)</f>
        <v>2820</v>
      </c>
      <c r="W11" s="9">
        <f t="shared" si="4"/>
        <v>26.503759398496239</v>
      </c>
      <c r="X11" s="8">
        <f>SUM(X12:X31)</f>
        <v>2350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L29" si="6">SUM(J12,O12)</f>
        <v>3169999</v>
      </c>
      <c r="F12" s="12">
        <f t="shared" si="6"/>
        <v>3169999</v>
      </c>
      <c r="G12" s="12">
        <f t="shared" si="6"/>
        <v>1604098</v>
      </c>
      <c r="H12" s="13">
        <f t="shared" si="0"/>
        <v>50.602476530749698</v>
      </c>
      <c r="I12" s="12">
        <f t="shared" si="6"/>
        <v>1833985</v>
      </c>
      <c r="J12" s="20">
        <v>3163999</v>
      </c>
      <c r="K12" s="21">
        <v>3163999</v>
      </c>
      <c r="L12" s="21">
        <v>1604098</v>
      </c>
      <c r="M12" s="13">
        <f t="shared" si="2"/>
        <v>50.698435745396885</v>
      </c>
      <c r="N12" s="22">
        <v>1833985</v>
      </c>
      <c r="O12" s="21">
        <v>6000</v>
      </c>
      <c r="P12" s="21">
        <v>6000</v>
      </c>
      <c r="Q12" s="21">
        <v>0</v>
      </c>
      <c r="R12" s="13">
        <f t="shared" si="3"/>
        <v>0</v>
      </c>
      <c r="S12" s="21">
        <v>0</v>
      </c>
      <c r="T12" s="21"/>
      <c r="U12" s="21"/>
      <c r="V12" s="21"/>
      <c r="W12" s="13"/>
      <c r="X12" s="22"/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6"/>
        <v>770000</v>
      </c>
      <c r="F13" s="12">
        <f t="shared" si="6"/>
        <v>620000</v>
      </c>
      <c r="G13" s="12">
        <f t="shared" si="6"/>
        <v>272301</v>
      </c>
      <c r="H13" s="13">
        <f t="shared" si="0"/>
        <v>43.91951612903226</v>
      </c>
      <c r="I13" s="12">
        <f t="shared" si="6"/>
        <v>420064</v>
      </c>
      <c r="J13" s="20">
        <v>770000</v>
      </c>
      <c r="K13" s="12">
        <v>620000</v>
      </c>
      <c r="L13" s="12">
        <v>272301</v>
      </c>
      <c r="M13" s="13">
        <f t="shared" si="2"/>
        <v>43.91951612903226</v>
      </c>
      <c r="N13" s="12">
        <v>420064</v>
      </c>
      <c r="O13" s="12"/>
      <c r="P13" s="12"/>
      <c r="Q13" s="12"/>
      <c r="R13" s="13"/>
      <c r="S13" s="12"/>
      <c r="T13" s="12"/>
      <c r="U13" s="12"/>
      <c r="V13" s="12"/>
      <c r="W13" s="13"/>
      <c r="X13" s="12"/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3"/>
      <c r="I14" s="12">
        <f t="shared" si="6"/>
        <v>0</v>
      </c>
      <c r="J14" s="20">
        <v>0</v>
      </c>
      <c r="K14" s="12">
        <v>0</v>
      </c>
      <c r="L14" s="12">
        <v>0</v>
      </c>
      <c r="M14" s="13"/>
      <c r="N14" s="12">
        <v>0</v>
      </c>
      <c r="O14" s="12"/>
      <c r="P14" s="12"/>
      <c r="Q14" s="12"/>
      <c r="R14" s="13"/>
      <c r="S14" s="12"/>
      <c r="T14" s="12"/>
      <c r="U14" s="12"/>
      <c r="V14" s="12"/>
      <c r="W14" s="13"/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6"/>
        <v>403000</v>
      </c>
      <c r="F15" s="12">
        <f t="shared" si="6"/>
        <v>553000</v>
      </c>
      <c r="G15" s="12">
        <f t="shared" si="6"/>
        <v>39211</v>
      </c>
      <c r="H15" s="13">
        <f t="shared" si="0"/>
        <v>7.090596745027125</v>
      </c>
      <c r="I15" s="12">
        <f t="shared" si="6"/>
        <v>72943</v>
      </c>
      <c r="J15" s="20">
        <v>403000</v>
      </c>
      <c r="K15" s="87">
        <v>553000</v>
      </c>
      <c r="L15" s="12">
        <v>39211</v>
      </c>
      <c r="M15" s="13">
        <f t="shared" si="2"/>
        <v>7.090596745027125</v>
      </c>
      <c r="N15" s="12">
        <v>72943</v>
      </c>
      <c r="O15" s="12"/>
      <c r="P15" s="12"/>
      <c r="Q15" s="12"/>
      <c r="R15" s="13"/>
      <c r="S15" s="12"/>
      <c r="T15" s="12">
        <v>3000</v>
      </c>
      <c r="U15" s="12">
        <v>3000</v>
      </c>
      <c r="V15" s="12">
        <v>0</v>
      </c>
      <c r="W15" s="13">
        <f t="shared" si="4"/>
        <v>0</v>
      </c>
      <c r="X15" s="12"/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6"/>
        <v>5000</v>
      </c>
      <c r="F16" s="12">
        <f t="shared" si="6"/>
        <v>5000</v>
      </c>
      <c r="G16" s="12">
        <f t="shared" si="6"/>
        <v>0</v>
      </c>
      <c r="H16" s="13">
        <f t="shared" si="0"/>
        <v>0</v>
      </c>
      <c r="I16" s="12">
        <f t="shared" si="6"/>
        <v>161</v>
      </c>
      <c r="J16" s="20">
        <v>5000</v>
      </c>
      <c r="K16" s="12">
        <v>5000</v>
      </c>
      <c r="L16" s="12">
        <v>0</v>
      </c>
      <c r="M16" s="13">
        <f t="shared" si="2"/>
        <v>0</v>
      </c>
      <c r="N16" s="12">
        <v>161</v>
      </c>
      <c r="O16" s="12"/>
      <c r="P16" s="12"/>
      <c r="Q16" s="12"/>
      <c r="R16" s="13"/>
      <c r="S16" s="12"/>
      <c r="T16" s="12"/>
      <c r="U16" s="12"/>
      <c r="V16" s="12"/>
      <c r="W16" s="13"/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6"/>
        <v>0</v>
      </c>
      <c r="F17" s="12">
        <f t="shared" si="6"/>
        <v>0</v>
      </c>
      <c r="G17" s="12">
        <f t="shared" si="6"/>
        <v>0</v>
      </c>
      <c r="H17" s="13"/>
      <c r="I17" s="12">
        <f t="shared" si="6"/>
        <v>0</v>
      </c>
      <c r="J17" s="20">
        <v>0</v>
      </c>
      <c r="K17" s="12">
        <v>0</v>
      </c>
      <c r="L17" s="12">
        <v>0</v>
      </c>
      <c r="M17" s="13"/>
      <c r="N17" s="12">
        <v>0</v>
      </c>
      <c r="O17" s="12"/>
      <c r="P17" s="12"/>
      <c r="Q17" s="12"/>
      <c r="R17" s="13"/>
      <c r="S17" s="12"/>
      <c r="T17" s="12"/>
      <c r="U17" s="12"/>
      <c r="V17" s="12"/>
      <c r="W17" s="13"/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6"/>
        <v>331240</v>
      </c>
      <c r="F18" s="12">
        <f t="shared" si="6"/>
        <v>331240</v>
      </c>
      <c r="G18" s="12">
        <f t="shared" si="6"/>
        <v>105229</v>
      </c>
      <c r="H18" s="13">
        <f t="shared" si="0"/>
        <v>31.76820432314938</v>
      </c>
      <c r="I18" s="12">
        <f t="shared" si="6"/>
        <v>130305</v>
      </c>
      <c r="J18" s="20">
        <v>331240</v>
      </c>
      <c r="K18" s="12">
        <v>331240</v>
      </c>
      <c r="L18" s="12">
        <v>105229</v>
      </c>
      <c r="M18" s="13">
        <f t="shared" si="2"/>
        <v>31.76820432314938</v>
      </c>
      <c r="N18" s="12">
        <v>130305</v>
      </c>
      <c r="O18" s="12"/>
      <c r="P18" s="12"/>
      <c r="Q18" s="12"/>
      <c r="R18" s="13"/>
      <c r="S18" s="12"/>
      <c r="T18" s="12">
        <v>2000</v>
      </c>
      <c r="U18" s="12">
        <v>2000</v>
      </c>
      <c r="V18" s="12">
        <v>0</v>
      </c>
      <c r="W18" s="13">
        <f t="shared" si="4"/>
        <v>0</v>
      </c>
      <c r="X18" s="12"/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6"/>
        <v>5475400</v>
      </c>
      <c r="F19" s="12">
        <f t="shared" si="6"/>
        <v>5480400</v>
      </c>
      <c r="G19" s="12">
        <f t="shared" si="6"/>
        <v>2705152</v>
      </c>
      <c r="H19" s="13">
        <f t="shared" si="0"/>
        <v>49.360484636157942</v>
      </c>
      <c r="I19" s="12">
        <f t="shared" si="6"/>
        <v>2515038</v>
      </c>
      <c r="J19" s="23">
        <v>195000</v>
      </c>
      <c r="K19" s="87">
        <v>200000</v>
      </c>
      <c r="L19" s="12">
        <v>99815</v>
      </c>
      <c r="M19" s="13">
        <f t="shared" si="2"/>
        <v>49.907499999999999</v>
      </c>
      <c r="N19" s="12">
        <v>86871</v>
      </c>
      <c r="O19" s="12">
        <v>5280400</v>
      </c>
      <c r="P19" s="12">
        <v>5280400</v>
      </c>
      <c r="Q19" s="12">
        <v>2605337</v>
      </c>
      <c r="R19" s="13">
        <f t="shared" si="3"/>
        <v>49.339765926823723</v>
      </c>
      <c r="S19" s="12">
        <v>2428167</v>
      </c>
      <c r="T19" s="24"/>
      <c r="U19" s="24"/>
      <c r="V19" s="24"/>
      <c r="W19" s="13"/>
      <c r="X19" s="24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6"/>
        <v>1884639</v>
      </c>
      <c r="F20" s="12">
        <f t="shared" si="6"/>
        <v>1886339</v>
      </c>
      <c r="G20" s="12">
        <f t="shared" si="6"/>
        <v>921769</v>
      </c>
      <c r="H20" s="13">
        <f t="shared" si="0"/>
        <v>48.865500845818275</v>
      </c>
      <c r="I20" s="12">
        <f t="shared" si="6"/>
        <v>855167</v>
      </c>
      <c r="J20" s="20">
        <v>67119</v>
      </c>
      <c r="K20" s="87">
        <v>68819</v>
      </c>
      <c r="L20" s="12">
        <v>34617</v>
      </c>
      <c r="M20" s="13">
        <f t="shared" si="2"/>
        <v>50.301515569828105</v>
      </c>
      <c r="N20" s="12">
        <v>31355</v>
      </c>
      <c r="O20" s="12">
        <v>1817520</v>
      </c>
      <c r="P20" s="12">
        <v>1817520</v>
      </c>
      <c r="Q20" s="12">
        <v>887152</v>
      </c>
      <c r="R20" s="13">
        <f t="shared" si="3"/>
        <v>48.811127250319117</v>
      </c>
      <c r="S20" s="12">
        <v>823812</v>
      </c>
      <c r="T20" s="12"/>
      <c r="U20" s="12"/>
      <c r="V20" s="12"/>
      <c r="W20" s="13"/>
      <c r="X20" s="12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6"/>
        <v>174340</v>
      </c>
      <c r="F21" s="12">
        <f t="shared" si="6"/>
        <v>174340</v>
      </c>
      <c r="G21" s="12">
        <f t="shared" si="6"/>
        <v>54702</v>
      </c>
      <c r="H21" s="13">
        <f t="shared" si="0"/>
        <v>31.376620396925546</v>
      </c>
      <c r="I21" s="12">
        <f t="shared" si="6"/>
        <v>39784</v>
      </c>
      <c r="J21" s="20">
        <v>17100</v>
      </c>
      <c r="K21" s="12">
        <v>17100</v>
      </c>
      <c r="L21" s="12">
        <v>2296</v>
      </c>
      <c r="M21" s="13">
        <f t="shared" si="2"/>
        <v>13.42690058479532</v>
      </c>
      <c r="N21" s="12">
        <v>3088</v>
      </c>
      <c r="O21" s="12">
        <v>157240</v>
      </c>
      <c r="P21" s="12">
        <v>157240</v>
      </c>
      <c r="Q21" s="12">
        <v>52406</v>
      </c>
      <c r="R21" s="13">
        <f t="shared" si="3"/>
        <v>33.328669549732894</v>
      </c>
      <c r="S21" s="12">
        <v>36696</v>
      </c>
      <c r="T21" s="12"/>
      <c r="U21" s="12"/>
      <c r="V21" s="12"/>
      <c r="W21" s="13"/>
      <c r="X21" s="12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3"/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0</v>
      </c>
      <c r="M22" s="13"/>
      <c r="N22" s="12">
        <v>0</v>
      </c>
      <c r="O22" s="12"/>
      <c r="P22" s="12"/>
      <c r="Q22" s="12"/>
      <c r="R22" s="13"/>
      <c r="S22" s="12"/>
      <c r="T22" s="12"/>
      <c r="U22" s="12"/>
      <c r="V22" s="12"/>
      <c r="W22" s="13"/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6"/>
        <v>0</v>
      </c>
      <c r="F23" s="12">
        <f t="shared" si="6"/>
        <v>0</v>
      </c>
      <c r="G23" s="12">
        <f t="shared" si="6"/>
        <v>0</v>
      </c>
      <c r="H23" s="13"/>
      <c r="I23" s="12">
        <f t="shared" si="6"/>
        <v>0</v>
      </c>
      <c r="J23" s="12">
        <f t="shared" si="6"/>
        <v>0</v>
      </c>
      <c r="K23" s="12">
        <f t="shared" si="6"/>
        <v>0</v>
      </c>
      <c r="L23" s="12">
        <f t="shared" si="6"/>
        <v>0</v>
      </c>
      <c r="M23" s="13"/>
      <c r="N23" s="12">
        <v>0</v>
      </c>
      <c r="O23" s="12"/>
      <c r="P23" s="12"/>
      <c r="Q23" s="12"/>
      <c r="R23" s="13"/>
      <c r="S23" s="12"/>
      <c r="T23" s="12"/>
      <c r="U23" s="12"/>
      <c r="V23" s="12"/>
      <c r="W23" s="13"/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3"/>
      <c r="I24" s="12">
        <f t="shared" si="6"/>
        <v>0</v>
      </c>
      <c r="J24" s="12">
        <f t="shared" si="6"/>
        <v>0</v>
      </c>
      <c r="K24" s="12">
        <f t="shared" si="6"/>
        <v>0</v>
      </c>
      <c r="L24" s="12">
        <f t="shared" si="6"/>
        <v>0</v>
      </c>
      <c r="M24" s="13"/>
      <c r="N24" s="12">
        <v>0</v>
      </c>
      <c r="O24" s="12"/>
      <c r="P24" s="12"/>
      <c r="Q24" s="12"/>
      <c r="R24" s="13"/>
      <c r="S24" s="12"/>
      <c r="T24" s="12"/>
      <c r="U24" s="12"/>
      <c r="V24" s="12"/>
      <c r="W24" s="13"/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3"/>
      <c r="I25" s="12">
        <f t="shared" si="6"/>
        <v>0</v>
      </c>
      <c r="J25" s="12">
        <f t="shared" si="6"/>
        <v>0</v>
      </c>
      <c r="K25" s="12">
        <f t="shared" si="6"/>
        <v>0</v>
      </c>
      <c r="L25" s="12">
        <f t="shared" si="6"/>
        <v>0</v>
      </c>
      <c r="M25" s="13"/>
      <c r="N25" s="22">
        <v>0</v>
      </c>
      <c r="O25" s="21"/>
      <c r="P25" s="21"/>
      <c r="Q25" s="21"/>
      <c r="R25" s="13"/>
      <c r="S25" s="21"/>
      <c r="T25" s="21"/>
      <c r="U25" s="21"/>
      <c r="V25" s="21"/>
      <c r="W25" s="13"/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6"/>
        <v>571132</v>
      </c>
      <c r="F26" s="12">
        <f t="shared" si="6"/>
        <v>571132</v>
      </c>
      <c r="G26" s="12">
        <f t="shared" si="6"/>
        <v>324697</v>
      </c>
      <c r="H26" s="13">
        <f>G26/F26*100</f>
        <v>56.851480918596749</v>
      </c>
      <c r="I26" s="12">
        <f>SUM(N26,S26)</f>
        <v>288324</v>
      </c>
      <c r="J26" s="20">
        <v>571132</v>
      </c>
      <c r="K26" s="22">
        <v>571132</v>
      </c>
      <c r="L26" s="22">
        <v>324697</v>
      </c>
      <c r="M26" s="13">
        <f>L26/K26*100</f>
        <v>56.851480918596749</v>
      </c>
      <c r="N26" s="22">
        <v>288324</v>
      </c>
      <c r="O26" s="22"/>
      <c r="P26" s="22"/>
      <c r="Q26" s="22"/>
      <c r="R26" s="13"/>
      <c r="S26" s="22"/>
      <c r="T26" s="47">
        <v>5640</v>
      </c>
      <c r="U26" s="47">
        <v>5640</v>
      </c>
      <c r="V26" s="47">
        <v>2820</v>
      </c>
      <c r="W26" s="13">
        <f>V26/U26*100</f>
        <v>50</v>
      </c>
      <c r="X26" s="47">
        <v>2350</v>
      </c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6"/>
        <v>0</v>
      </c>
      <c r="F27" s="12">
        <f t="shared" si="6"/>
        <v>0</v>
      </c>
      <c r="G27" s="12">
        <f t="shared" si="6"/>
        <v>0</v>
      </c>
      <c r="H27" s="13"/>
      <c r="I27" s="12">
        <f t="shared" si="6"/>
        <v>0</v>
      </c>
      <c r="J27" s="20">
        <v>0</v>
      </c>
      <c r="K27" s="22">
        <v>0</v>
      </c>
      <c r="L27" s="22">
        <v>0</v>
      </c>
      <c r="M27" s="13"/>
      <c r="N27" s="12">
        <v>0</v>
      </c>
      <c r="O27" s="22"/>
      <c r="P27" s="22"/>
      <c r="Q27" s="22"/>
      <c r="R27" s="13"/>
      <c r="S27" s="22"/>
      <c r="T27" s="47"/>
      <c r="U27" s="47"/>
      <c r="V27" s="47"/>
      <c r="W27" s="13"/>
      <c r="X27" s="47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182000</v>
      </c>
      <c r="F28" s="12">
        <f>SUM(K28,P28)</f>
        <v>182000</v>
      </c>
      <c r="G28" s="12">
        <f>SUM(L28,Q28)</f>
        <v>12966</v>
      </c>
      <c r="H28" s="13">
        <f>G28/F28*100</f>
        <v>7.1241758241758237</v>
      </c>
      <c r="I28" s="12">
        <f>SUM(N28,S28)</f>
        <v>24598</v>
      </c>
      <c r="J28" s="20">
        <v>182000</v>
      </c>
      <c r="K28" s="22">
        <v>182000</v>
      </c>
      <c r="L28" s="22">
        <v>12966</v>
      </c>
      <c r="M28" s="13">
        <f>L28/K28*100</f>
        <v>7.1241758241758237</v>
      </c>
      <c r="N28" s="12">
        <v>24598</v>
      </c>
      <c r="O28" s="22"/>
      <c r="P28" s="22"/>
      <c r="Q28" s="22"/>
      <c r="R28" s="13"/>
      <c r="S28" s="22"/>
      <c r="T28" s="47"/>
      <c r="U28" s="47"/>
      <c r="V28" s="47"/>
      <c r="W28" s="13"/>
      <c r="X28" s="47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6"/>
        <v>369</v>
      </c>
      <c r="F29" s="12">
        <f t="shared" si="6"/>
        <v>369</v>
      </c>
      <c r="G29" s="12">
        <f t="shared" si="6"/>
        <v>369</v>
      </c>
      <c r="H29" s="13">
        <f t="shared" si="0"/>
        <v>100</v>
      </c>
      <c r="I29" s="12">
        <f t="shared" si="6"/>
        <v>369</v>
      </c>
      <c r="J29" s="20">
        <v>369</v>
      </c>
      <c r="K29" s="22">
        <v>369</v>
      </c>
      <c r="L29" s="22">
        <v>369</v>
      </c>
      <c r="M29" s="13">
        <f t="shared" si="2"/>
        <v>100</v>
      </c>
      <c r="N29" s="22">
        <v>369</v>
      </c>
      <c r="O29" s="22"/>
      <c r="P29" s="22"/>
      <c r="Q29" s="22"/>
      <c r="R29" s="13"/>
      <c r="S29" s="22"/>
      <c r="T29" s="47"/>
      <c r="U29" s="47"/>
      <c r="V29" s="47"/>
      <c r="W29" s="13"/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7">SUM(J30,O30)</f>
        <v>0</v>
      </c>
      <c r="F30" s="12">
        <f t="shared" si="7"/>
        <v>0</v>
      </c>
      <c r="G30" s="12">
        <f t="shared" si="7"/>
        <v>0</v>
      </c>
      <c r="H30" s="13"/>
      <c r="I30" s="12">
        <f>SUM(N30,S30)</f>
        <v>0</v>
      </c>
      <c r="J30" s="12">
        <f t="shared" ref="J30:L32" si="8">SUM(O30,T30)</f>
        <v>0</v>
      </c>
      <c r="K30" s="12">
        <f t="shared" si="8"/>
        <v>0</v>
      </c>
      <c r="L30" s="12">
        <f t="shared" si="8"/>
        <v>0</v>
      </c>
      <c r="M30" s="13"/>
      <c r="N30" s="12">
        <f>SUM(S30,X30)</f>
        <v>0</v>
      </c>
      <c r="O30" s="22"/>
      <c r="P30" s="22"/>
      <c r="Q30" s="22"/>
      <c r="R30" s="13"/>
      <c r="S30" s="22"/>
      <c r="T30" s="47"/>
      <c r="U30" s="47"/>
      <c r="V30" s="47"/>
      <c r="W30" s="13"/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13"/>
      <c r="I31" s="12">
        <f>SUM(N31,S31)</f>
        <v>0</v>
      </c>
      <c r="J31" s="12">
        <f t="shared" si="8"/>
        <v>0</v>
      </c>
      <c r="K31" s="12">
        <f t="shared" si="8"/>
        <v>0</v>
      </c>
      <c r="L31" s="12">
        <f t="shared" si="8"/>
        <v>0</v>
      </c>
      <c r="M31" s="13"/>
      <c r="N31" s="12">
        <f>SUM(S31,X31)</f>
        <v>0</v>
      </c>
      <c r="O31" s="29"/>
      <c r="P31" s="29"/>
      <c r="Q31" s="29"/>
      <c r="R31" s="13"/>
      <c r="S31" s="29"/>
      <c r="T31" s="30"/>
      <c r="U31" s="30"/>
      <c r="V31" s="30"/>
      <c r="W31" s="13"/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13"/>
      <c r="I32" s="12">
        <f>SUM(N32,S32)</f>
        <v>0</v>
      </c>
      <c r="J32" s="12">
        <f t="shared" si="8"/>
        <v>0</v>
      </c>
      <c r="K32" s="12">
        <f t="shared" si="8"/>
        <v>0</v>
      </c>
      <c r="L32" s="12">
        <f t="shared" si="8"/>
        <v>0</v>
      </c>
      <c r="M32" s="13"/>
      <c r="N32" s="12">
        <f>SUM(S32,X32)</f>
        <v>0</v>
      </c>
      <c r="O32" s="30"/>
      <c r="P32" s="30"/>
      <c r="Q32" s="30"/>
      <c r="R32" s="13"/>
      <c r="S32" s="30"/>
      <c r="T32" s="30"/>
      <c r="U32" s="30"/>
      <c r="V32" s="30"/>
      <c r="W32" s="13"/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722182</v>
      </c>
      <c r="H33" s="9"/>
      <c r="I33" s="8">
        <f>I6-I11</f>
        <v>537299</v>
      </c>
      <c r="J33" s="8">
        <f>J6-J11</f>
        <v>0</v>
      </c>
      <c r="K33" s="8">
        <f>K6-K11</f>
        <v>0</v>
      </c>
      <c r="L33" s="8">
        <f>L6-L11</f>
        <v>722182</v>
      </c>
      <c r="M33" s="9"/>
      <c r="N33" s="8">
        <f>N6-N11</f>
        <v>537299</v>
      </c>
      <c r="O33" s="8">
        <f>O6-O11</f>
        <v>0</v>
      </c>
      <c r="P33" s="8">
        <f>P6-P11</f>
        <v>0</v>
      </c>
      <c r="Q33" s="8">
        <f>Q6-Q11</f>
        <v>0</v>
      </c>
      <c r="R33" s="9"/>
      <c r="S33" s="8">
        <f>S6-S11</f>
        <v>0</v>
      </c>
      <c r="T33" s="8">
        <f>T6-T11</f>
        <v>32798</v>
      </c>
      <c r="U33" s="8">
        <f>U6-U11</f>
        <v>32798</v>
      </c>
      <c r="V33" s="8">
        <f>V6-V11</f>
        <v>20248</v>
      </c>
      <c r="W33" s="9">
        <f t="shared" si="4"/>
        <v>61.73547167510214</v>
      </c>
      <c r="X33" s="8">
        <f>X6-X11</f>
        <v>20718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18251</v>
      </c>
      <c r="F34" s="37">
        <v>18251</v>
      </c>
      <c r="G34" s="37">
        <v>18034</v>
      </c>
      <c r="H34" s="13">
        <f t="shared" si="0"/>
        <v>98.81102405347653</v>
      </c>
      <c r="I34" s="37">
        <v>18224</v>
      </c>
      <c r="J34" s="38"/>
      <c r="K34" s="38"/>
      <c r="L34" s="38"/>
      <c r="M34" s="9"/>
      <c r="N34" s="38"/>
      <c r="O34" s="38"/>
      <c r="P34" s="38"/>
      <c r="Q34" s="38"/>
      <c r="R34" s="9"/>
      <c r="S34" s="38"/>
      <c r="T34" s="38"/>
      <c r="U34" s="38"/>
      <c r="V34" s="38"/>
      <c r="W34" s="9"/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24</v>
      </c>
      <c r="F35" s="37">
        <v>24</v>
      </c>
      <c r="G35" s="37">
        <v>25</v>
      </c>
      <c r="H35" s="13">
        <f t="shared" si="0"/>
        <v>104.16666666666667</v>
      </c>
      <c r="I35" s="37">
        <v>23</v>
      </c>
      <c r="J35" s="38"/>
      <c r="K35" s="49"/>
      <c r="L35" s="38"/>
      <c r="M35" s="9"/>
      <c r="N35" s="38"/>
      <c r="O35" s="38"/>
      <c r="P35" s="38"/>
      <c r="Q35" s="38"/>
      <c r="R35" s="9"/>
      <c r="S35" s="38"/>
      <c r="T35" s="38"/>
      <c r="U35" s="38"/>
      <c r="V35" s="38"/>
      <c r="W35" s="9"/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37</v>
      </c>
      <c r="F36" s="37">
        <v>37</v>
      </c>
      <c r="G36" s="37">
        <v>38</v>
      </c>
      <c r="H36" s="13">
        <f t="shared" si="0"/>
        <v>102.70270270270269</v>
      </c>
      <c r="I36" s="37">
        <v>38</v>
      </c>
      <c r="J36" s="38"/>
      <c r="K36" s="38"/>
      <c r="L36" s="38"/>
      <c r="M36" s="9"/>
      <c r="N36" s="38"/>
      <c r="O36" s="38"/>
      <c r="P36" s="38"/>
      <c r="Q36" s="38"/>
      <c r="R36" s="9"/>
      <c r="S36" s="38"/>
      <c r="T36" s="38"/>
      <c r="U36" s="38"/>
      <c r="V36" s="38"/>
      <c r="W36" s="9"/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57" orientation="landscape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>
      <selection sqref="A1:XFD1048576"/>
    </sheetView>
  </sheetViews>
  <sheetFormatPr defaultRowHeight="12.75" x14ac:dyDescent="0.2"/>
  <cols>
    <col min="1" max="1" width="33.140625" style="486" customWidth="1"/>
    <col min="2" max="2" width="19.140625" style="486" customWidth="1"/>
    <col min="3" max="5" width="14.7109375" style="486" customWidth="1"/>
    <col min="6" max="6" width="13" style="486" customWidth="1"/>
    <col min="7" max="7" width="10.85546875" style="486" customWidth="1"/>
    <col min="8" max="16384" width="9.140625" style="486"/>
  </cols>
  <sheetData>
    <row r="1" spans="1:14" s="484" customFormat="1" ht="18.75" x14ac:dyDescent="0.3">
      <c r="A1" s="1051" t="s">
        <v>333</v>
      </c>
      <c r="B1" s="1051"/>
      <c r="C1" s="1051"/>
      <c r="D1" s="1051"/>
      <c r="E1" s="1051"/>
      <c r="F1" s="1051"/>
      <c r="G1" s="1051"/>
      <c r="H1" s="1051"/>
      <c r="I1" s="1051"/>
    </row>
    <row r="2" spans="1:14" x14ac:dyDescent="0.2">
      <c r="A2" s="485"/>
    </row>
    <row r="3" spans="1:14" s="487" customFormat="1" ht="10.5" x14ac:dyDescent="0.15">
      <c r="A3" s="1004" t="s">
        <v>104</v>
      </c>
      <c r="B3" s="1004"/>
      <c r="C3" s="1004"/>
      <c r="D3" s="1004"/>
      <c r="E3" s="1004"/>
      <c r="F3" s="1004"/>
      <c r="G3" s="1004"/>
      <c r="H3" s="1004"/>
      <c r="I3" s="1004"/>
    </row>
    <row r="4" spans="1:14" s="488" customFormat="1" ht="11.25" x14ac:dyDescent="0.2"/>
    <row r="5" spans="1:14" s="490" customFormat="1" ht="9.75" x14ac:dyDescent="0.2">
      <c r="A5" s="1052" t="s">
        <v>105</v>
      </c>
      <c r="B5" s="1053"/>
      <c r="C5" s="489" t="s">
        <v>16</v>
      </c>
      <c r="D5" s="1027" t="s">
        <v>334</v>
      </c>
      <c r="E5" s="1027"/>
      <c r="F5" s="1027"/>
      <c r="G5" s="1027"/>
      <c r="H5" s="1027"/>
      <c r="I5" s="1027"/>
    </row>
    <row r="6" spans="1:14" s="488" customFormat="1" ht="12" x14ac:dyDescent="0.2">
      <c r="A6" s="1043" t="s">
        <v>107</v>
      </c>
      <c r="B6" s="1044"/>
      <c r="C6" s="491">
        <v>441518.12</v>
      </c>
      <c r="D6" s="1045" t="s">
        <v>335</v>
      </c>
      <c r="E6" s="1046"/>
      <c r="F6" s="1046"/>
      <c r="G6" s="1046"/>
      <c r="H6" s="1046"/>
      <c r="I6" s="1046"/>
    </row>
    <row r="7" spans="1:14" s="492" customFormat="1" ht="12" x14ac:dyDescent="0.15">
      <c r="A7" s="1043" t="s">
        <v>92</v>
      </c>
      <c r="B7" s="1044"/>
      <c r="C7" s="491">
        <v>0</v>
      </c>
      <c r="D7" s="1045" t="s">
        <v>336</v>
      </c>
      <c r="E7" s="1046"/>
      <c r="F7" s="1046"/>
      <c r="G7" s="1046"/>
      <c r="H7" s="1046"/>
      <c r="I7" s="1046"/>
    </row>
    <row r="8" spans="1:14" s="492" customFormat="1" ht="12" x14ac:dyDescent="0.15">
      <c r="A8" s="1043" t="s">
        <v>110</v>
      </c>
      <c r="B8" s="1044"/>
      <c r="C8" s="491">
        <v>121794</v>
      </c>
      <c r="D8" s="1047"/>
      <c r="E8" s="1048"/>
      <c r="F8" s="1048"/>
      <c r="G8" s="1048"/>
      <c r="H8" s="1048"/>
      <c r="I8" s="1049"/>
    </row>
    <row r="9" spans="1:14" s="488" customFormat="1" ht="11.25" x14ac:dyDescent="0.2">
      <c r="C9" s="493"/>
    </row>
    <row r="10" spans="1:14" s="494" customFormat="1" ht="11.25" x14ac:dyDescent="0.2">
      <c r="A10" s="1004" t="s">
        <v>111</v>
      </c>
      <c r="B10" s="1004"/>
      <c r="C10" s="1004"/>
      <c r="D10" s="1004"/>
      <c r="E10" s="1004"/>
      <c r="F10" s="1004"/>
      <c r="G10" s="1004"/>
      <c r="H10" s="1004"/>
      <c r="I10" s="1004"/>
    </row>
    <row r="11" spans="1:14" s="488" customFormat="1" ht="11.25" x14ac:dyDescent="0.2">
      <c r="C11" s="493"/>
    </row>
    <row r="12" spans="1:14" s="496" customFormat="1" ht="19.5" x14ac:dyDescent="0.15">
      <c r="A12" s="495" t="s">
        <v>112</v>
      </c>
      <c r="B12" s="495" t="s">
        <v>113</v>
      </c>
      <c r="C12" s="495" t="s">
        <v>114</v>
      </c>
      <c r="D12" s="495" t="s">
        <v>115</v>
      </c>
      <c r="E12" s="495" t="s">
        <v>116</v>
      </c>
      <c r="F12" s="495" t="s">
        <v>117</v>
      </c>
      <c r="G12" s="1050" t="s">
        <v>118</v>
      </c>
      <c r="H12" s="1050"/>
      <c r="I12" s="1050"/>
    </row>
    <row r="13" spans="1:14" s="488" customFormat="1" ht="12" x14ac:dyDescent="0.2">
      <c r="A13" s="497" t="s">
        <v>337</v>
      </c>
      <c r="B13" s="498">
        <v>77133.72</v>
      </c>
      <c r="C13" s="498">
        <v>25880.54</v>
      </c>
      <c r="D13" s="498">
        <v>0</v>
      </c>
      <c r="E13" s="498">
        <v>103014.26</v>
      </c>
      <c r="F13" s="498">
        <v>103014.26</v>
      </c>
      <c r="G13" s="1038" t="s">
        <v>338</v>
      </c>
      <c r="H13" s="1039"/>
      <c r="I13" s="1040"/>
    </row>
    <row r="14" spans="1:14" s="488" customFormat="1" ht="13.5" customHeight="1" x14ac:dyDescent="0.2">
      <c r="A14" s="497" t="s">
        <v>339</v>
      </c>
      <c r="B14" s="498">
        <v>53043.49</v>
      </c>
      <c r="C14" s="498">
        <v>5000</v>
      </c>
      <c r="D14" s="498">
        <v>5000</v>
      </c>
      <c r="E14" s="498">
        <v>53043.49</v>
      </c>
      <c r="F14" s="498">
        <v>53043.49</v>
      </c>
      <c r="G14" s="499" t="s">
        <v>340</v>
      </c>
      <c r="H14" s="500" t="s">
        <v>341</v>
      </c>
      <c r="I14" s="501"/>
    </row>
    <row r="15" spans="1:14" s="488" customFormat="1" ht="12" x14ac:dyDescent="0.2">
      <c r="A15" s="502" t="s">
        <v>342</v>
      </c>
      <c r="B15" s="503">
        <v>92302.1</v>
      </c>
      <c r="C15" s="503">
        <v>304219</v>
      </c>
      <c r="D15" s="503">
        <v>250110</v>
      </c>
      <c r="E15" s="503">
        <v>146411.1</v>
      </c>
      <c r="F15" s="503">
        <v>146411.1</v>
      </c>
      <c r="G15" s="1001" t="s">
        <v>343</v>
      </c>
      <c r="H15" s="863"/>
      <c r="I15" s="864"/>
      <c r="N15" s="504"/>
    </row>
    <row r="16" spans="1:14" s="488" customFormat="1" ht="12" x14ac:dyDescent="0.2">
      <c r="A16" s="502" t="s">
        <v>119</v>
      </c>
      <c r="B16" s="503">
        <v>68810.67</v>
      </c>
      <c r="C16" s="503">
        <v>10000</v>
      </c>
      <c r="D16" s="503">
        <v>0</v>
      </c>
      <c r="E16" s="503">
        <v>78810.67</v>
      </c>
      <c r="F16" s="503">
        <v>78810.67</v>
      </c>
      <c r="G16" s="1001" t="s">
        <v>344</v>
      </c>
      <c r="H16" s="863"/>
      <c r="I16" s="864"/>
    </row>
    <row r="17" spans="1:9" s="488" customFormat="1" ht="12" x14ac:dyDescent="0.2">
      <c r="A17" s="505" t="s">
        <v>121</v>
      </c>
      <c r="B17" s="506">
        <v>178977.47</v>
      </c>
      <c r="C17" s="506">
        <v>104774.88</v>
      </c>
      <c r="D17" s="506">
        <v>40504</v>
      </c>
      <c r="E17" s="506">
        <v>243248.35</v>
      </c>
      <c r="F17" s="506">
        <v>226964.17</v>
      </c>
      <c r="G17" s="1041" t="s">
        <v>345</v>
      </c>
      <c r="H17" s="908"/>
      <c r="I17" s="909"/>
    </row>
    <row r="18" spans="1:9" s="488" customFormat="1" ht="12" x14ac:dyDescent="0.2">
      <c r="A18" s="507" t="s">
        <v>90</v>
      </c>
      <c r="B18" s="508">
        <f>SUM(B13:B17)</f>
        <v>470267.44999999995</v>
      </c>
      <c r="C18" s="508">
        <f>SUM(C13:C17)</f>
        <v>449874.42</v>
      </c>
      <c r="D18" s="508">
        <f>SUM(D13:D17)</f>
        <v>295614</v>
      </c>
      <c r="E18" s="508">
        <f>SUM(E13:E17)</f>
        <v>624527.87</v>
      </c>
      <c r="F18" s="508">
        <f>SUM(F13:F17)</f>
        <v>608243.68999999994</v>
      </c>
      <c r="G18" s="1042"/>
      <c r="H18" s="1042"/>
      <c r="I18" s="1042"/>
    </row>
    <row r="19" spans="1:9" s="509" customFormat="1" ht="13.5" customHeight="1" x14ac:dyDescent="0.2">
      <c r="C19" s="510"/>
    </row>
    <row r="20" spans="1:9" s="494" customFormat="1" ht="11.25" x14ac:dyDescent="0.2">
      <c r="A20" s="1004" t="s">
        <v>346</v>
      </c>
      <c r="B20" s="1004"/>
      <c r="C20" s="1004"/>
      <c r="D20" s="1004"/>
      <c r="E20" s="1004"/>
      <c r="F20" s="1004"/>
      <c r="G20" s="1004"/>
      <c r="H20" s="1004"/>
      <c r="I20" s="1004"/>
    </row>
    <row r="21" spans="1:9" s="488" customFormat="1" ht="12" x14ac:dyDescent="0.2">
      <c r="A21" s="511" t="s">
        <v>217</v>
      </c>
      <c r="C21" s="493"/>
    </row>
    <row r="22" spans="1:9" s="488" customFormat="1" ht="11.25" x14ac:dyDescent="0.2">
      <c r="A22" s="489" t="s">
        <v>130</v>
      </c>
      <c r="B22" s="489" t="s">
        <v>16</v>
      </c>
      <c r="C22" s="512" t="s">
        <v>131</v>
      </c>
      <c r="D22" s="1027" t="s">
        <v>347</v>
      </c>
      <c r="E22" s="1027"/>
      <c r="F22" s="1027"/>
      <c r="G22" s="1027"/>
      <c r="H22" s="1027"/>
      <c r="I22" s="1027"/>
    </row>
    <row r="23" spans="1:9" s="488" customFormat="1" ht="11.25" customHeight="1" x14ac:dyDescent="0.2">
      <c r="A23" s="883"/>
      <c r="B23" s="513"/>
      <c r="C23" s="514"/>
      <c r="D23" s="1029"/>
      <c r="E23" s="1030"/>
      <c r="F23" s="1030"/>
      <c r="G23" s="1030"/>
      <c r="H23" s="1030"/>
      <c r="I23" s="1031"/>
    </row>
    <row r="24" spans="1:9" s="488" customFormat="1" ht="11.25" customHeight="1" x14ac:dyDescent="0.2">
      <c r="A24" s="884"/>
      <c r="B24" s="515"/>
      <c r="C24" s="516"/>
      <c r="D24" s="1029"/>
      <c r="E24" s="1030"/>
      <c r="F24" s="1030"/>
      <c r="G24" s="1030"/>
      <c r="H24" s="1030"/>
      <c r="I24" s="1031"/>
    </row>
    <row r="25" spans="1:9" s="492" customFormat="1" ht="11.25" x14ac:dyDescent="0.2">
      <c r="A25" s="517" t="s">
        <v>90</v>
      </c>
      <c r="B25" s="518">
        <f>SUM(B23:B24)</f>
        <v>0</v>
      </c>
      <c r="C25" s="1036"/>
      <c r="D25" s="1036"/>
      <c r="E25" s="1036"/>
      <c r="F25" s="1036"/>
      <c r="G25" s="1036"/>
      <c r="H25" s="1036"/>
      <c r="I25" s="1037"/>
    </row>
    <row r="26" spans="1:9" s="509" customFormat="1" ht="11.25" x14ac:dyDescent="0.2">
      <c r="C26" s="510"/>
    </row>
    <row r="27" spans="1:9" s="494" customFormat="1" ht="11.25" x14ac:dyDescent="0.2">
      <c r="A27" s="1004" t="s">
        <v>348</v>
      </c>
      <c r="B27" s="1004"/>
      <c r="C27" s="1004"/>
      <c r="D27" s="1004"/>
      <c r="E27" s="1004"/>
      <c r="F27" s="1004"/>
      <c r="G27" s="1004"/>
      <c r="H27" s="1004"/>
      <c r="I27" s="1004"/>
    </row>
    <row r="28" spans="1:9" s="488" customFormat="1" ht="12" x14ac:dyDescent="0.2">
      <c r="A28" s="511" t="s">
        <v>218</v>
      </c>
      <c r="C28" s="493"/>
    </row>
    <row r="29" spans="1:9" s="488" customFormat="1" ht="11.25" x14ac:dyDescent="0.2">
      <c r="A29" s="489" t="s">
        <v>130</v>
      </c>
      <c r="B29" s="489" t="s">
        <v>16</v>
      </c>
      <c r="C29" s="512" t="s">
        <v>131</v>
      </c>
      <c r="D29" s="1027" t="s">
        <v>349</v>
      </c>
      <c r="E29" s="1027"/>
      <c r="F29" s="1027"/>
      <c r="G29" s="1027"/>
      <c r="H29" s="1027"/>
      <c r="I29" s="1028"/>
    </row>
    <row r="30" spans="1:9" s="488" customFormat="1" ht="11.25" customHeight="1" x14ac:dyDescent="0.2">
      <c r="A30" s="883"/>
      <c r="B30" s="513"/>
      <c r="C30" s="514"/>
      <c r="D30" s="1029"/>
      <c r="E30" s="1030"/>
      <c r="F30" s="1030"/>
      <c r="G30" s="1030"/>
      <c r="H30" s="1030"/>
      <c r="I30" s="1031"/>
    </row>
    <row r="31" spans="1:9" s="488" customFormat="1" ht="11.25" customHeight="1" x14ac:dyDescent="0.2">
      <c r="A31" s="884"/>
      <c r="B31" s="515"/>
      <c r="C31" s="516"/>
      <c r="D31" s="1032"/>
      <c r="E31" s="1033"/>
      <c r="F31" s="1033"/>
      <c r="G31" s="1033"/>
      <c r="H31" s="1033"/>
      <c r="I31" s="1034"/>
    </row>
    <row r="32" spans="1:9" s="492" customFormat="1" ht="10.5" x14ac:dyDescent="0.15">
      <c r="A32" s="517" t="s">
        <v>90</v>
      </c>
      <c r="B32" s="518">
        <f>SUM(B30:B31)</f>
        <v>0</v>
      </c>
      <c r="C32" s="1035"/>
      <c r="D32" s="1035"/>
      <c r="E32" s="1035"/>
      <c r="F32" s="1035"/>
      <c r="G32" s="1035"/>
      <c r="H32" s="1035"/>
      <c r="I32" s="1035"/>
    </row>
    <row r="33" spans="1:9" s="488" customFormat="1" ht="11.25" x14ac:dyDescent="0.2">
      <c r="C33" s="493"/>
    </row>
    <row r="34" spans="1:9" s="494" customFormat="1" ht="11.25" x14ac:dyDescent="0.2">
      <c r="A34" s="1004" t="s">
        <v>143</v>
      </c>
      <c r="B34" s="1004"/>
      <c r="C34" s="1004"/>
      <c r="D34" s="1004"/>
      <c r="E34" s="1004"/>
      <c r="F34" s="1004"/>
      <c r="G34" s="1004"/>
      <c r="H34" s="1004"/>
      <c r="I34" s="1004"/>
    </row>
    <row r="35" spans="1:9" s="488" customFormat="1" ht="12" x14ac:dyDescent="0.2">
      <c r="A35" s="511"/>
      <c r="C35" s="519"/>
    </row>
    <row r="36" spans="1:9" s="488" customFormat="1" ht="11.25" x14ac:dyDescent="0.2">
      <c r="A36" s="489" t="s">
        <v>144</v>
      </c>
      <c r="B36" s="512" t="s">
        <v>145</v>
      </c>
      <c r="C36" s="1016" t="s">
        <v>146</v>
      </c>
      <c r="D36" s="1016"/>
      <c r="E36" s="1016"/>
      <c r="F36" s="1016"/>
      <c r="G36" s="1016"/>
      <c r="H36" s="1016"/>
      <c r="I36" s="1017"/>
    </row>
    <row r="37" spans="1:9" s="488" customFormat="1" ht="12" x14ac:dyDescent="0.2">
      <c r="A37" s="520">
        <v>5000</v>
      </c>
      <c r="B37" s="520">
        <v>5000</v>
      </c>
      <c r="C37" s="1018" t="s">
        <v>350</v>
      </c>
      <c r="D37" s="1019"/>
      <c r="E37" s="1019"/>
      <c r="F37" s="1019"/>
      <c r="G37" s="1019"/>
      <c r="H37" s="1019"/>
      <c r="I37" s="1019"/>
    </row>
    <row r="38" spans="1:9" s="488" customFormat="1" ht="12" x14ac:dyDescent="0.2">
      <c r="A38" s="521"/>
      <c r="B38" s="522"/>
      <c r="C38" s="523"/>
      <c r="D38" s="523"/>
      <c r="E38" s="523"/>
      <c r="F38" s="523"/>
      <c r="G38" s="523"/>
      <c r="H38" s="523"/>
      <c r="I38" s="523"/>
    </row>
    <row r="39" spans="1:9" s="488" customFormat="1" ht="12" x14ac:dyDescent="0.2">
      <c r="A39" s="521"/>
      <c r="B39" s="522"/>
      <c r="C39" s="523"/>
      <c r="D39" s="523"/>
      <c r="E39" s="523"/>
      <c r="F39" s="523"/>
      <c r="G39" s="523"/>
      <c r="H39" s="523"/>
      <c r="I39" s="523"/>
    </row>
    <row r="40" spans="1:9" s="488" customFormat="1" ht="12" x14ac:dyDescent="0.2">
      <c r="A40" s="524"/>
      <c r="B40" s="525"/>
      <c r="C40" s="1020"/>
      <c r="D40" s="1020"/>
      <c r="E40" s="1020"/>
      <c r="F40" s="1020"/>
      <c r="G40" s="1020"/>
      <c r="H40" s="1020"/>
      <c r="I40" s="1020"/>
    </row>
    <row r="41" spans="1:9" s="492" customFormat="1" ht="12" x14ac:dyDescent="0.15">
      <c r="A41" s="526">
        <f>SUM(A37:A40)</f>
        <v>5000</v>
      </c>
      <c r="B41" s="526">
        <f>SUM(B37:B40)</f>
        <v>5000</v>
      </c>
      <c r="C41" s="1021" t="s">
        <v>90</v>
      </c>
      <c r="D41" s="1022"/>
      <c r="E41" s="1022"/>
      <c r="F41" s="1022"/>
      <c r="G41" s="1022"/>
      <c r="H41" s="1022"/>
      <c r="I41" s="1023"/>
    </row>
    <row r="42" spans="1:9" s="488" customFormat="1" ht="33" customHeight="1" x14ac:dyDescent="0.2">
      <c r="C42" s="519"/>
    </row>
    <row r="43" spans="1:9" s="488" customFormat="1" ht="11.25" x14ac:dyDescent="0.2">
      <c r="A43" s="1024" t="s">
        <v>351</v>
      </c>
      <c r="B43" s="1024"/>
      <c r="C43" s="1024"/>
      <c r="D43" s="1024"/>
      <c r="E43" s="1024"/>
      <c r="F43" s="1024"/>
      <c r="G43" s="1024"/>
    </row>
    <row r="44" spans="1:9" s="488" customFormat="1" ht="11.25" x14ac:dyDescent="0.2">
      <c r="A44" s="527"/>
    </row>
    <row r="45" spans="1:9" s="488" customFormat="1" ht="11.25" x14ac:dyDescent="0.2">
      <c r="A45" s="527"/>
    </row>
    <row r="46" spans="1:9" s="529" customFormat="1" ht="34.5" customHeight="1" x14ac:dyDescent="0.25">
      <c r="A46" s="1025" t="s">
        <v>149</v>
      </c>
      <c r="B46" s="1026"/>
      <c r="C46" s="528" t="s">
        <v>150</v>
      </c>
      <c r="D46" s="528" t="s">
        <v>151</v>
      </c>
      <c r="E46" s="528" t="s">
        <v>152</v>
      </c>
      <c r="F46" s="528" t="s">
        <v>153</v>
      </c>
      <c r="G46" s="528" t="s">
        <v>154</v>
      </c>
    </row>
    <row r="47" spans="1:9" s="533" customFormat="1" ht="12" customHeight="1" x14ac:dyDescent="0.2">
      <c r="A47" s="1008" t="s">
        <v>352</v>
      </c>
      <c r="B47" s="1009"/>
      <c r="C47" s="530" t="s">
        <v>353</v>
      </c>
      <c r="D47" s="531"/>
      <c r="E47" s="531">
        <v>7140</v>
      </c>
      <c r="F47" s="532">
        <v>42801</v>
      </c>
      <c r="G47" s="532">
        <v>42825</v>
      </c>
    </row>
    <row r="48" spans="1:9" s="533" customFormat="1" ht="12" customHeight="1" x14ac:dyDescent="0.2">
      <c r="A48" s="534" t="s">
        <v>354</v>
      </c>
      <c r="B48" s="535"/>
      <c r="C48" s="530" t="s">
        <v>355</v>
      </c>
      <c r="D48" s="536"/>
      <c r="E48" s="531">
        <v>-7140</v>
      </c>
      <c r="F48" s="532">
        <v>42801</v>
      </c>
      <c r="G48" s="532">
        <v>42825</v>
      </c>
    </row>
    <row r="49" spans="1:9" s="533" customFormat="1" ht="12" customHeight="1" x14ac:dyDescent="0.2">
      <c r="A49" s="534" t="s">
        <v>356</v>
      </c>
      <c r="B49" s="535"/>
      <c r="C49" s="530" t="s">
        <v>357</v>
      </c>
      <c r="D49" s="531">
        <v>150000</v>
      </c>
      <c r="E49" s="531"/>
      <c r="F49" s="532">
        <v>42836</v>
      </c>
      <c r="G49" s="532">
        <v>42855</v>
      </c>
    </row>
    <row r="50" spans="1:9" s="533" customFormat="1" ht="12" customHeight="1" x14ac:dyDescent="0.2">
      <c r="A50" s="534" t="s">
        <v>358</v>
      </c>
      <c r="B50" s="535"/>
      <c r="C50" s="530" t="s">
        <v>359</v>
      </c>
      <c r="D50" s="531"/>
      <c r="E50" s="531">
        <v>150000</v>
      </c>
      <c r="F50" s="532">
        <v>42836</v>
      </c>
      <c r="G50" s="532">
        <v>42855</v>
      </c>
    </row>
    <row r="51" spans="1:9" s="533" customFormat="1" ht="12" customHeight="1" x14ac:dyDescent="0.2">
      <c r="A51" s="534" t="s">
        <v>360</v>
      </c>
      <c r="B51" s="535"/>
      <c r="C51" s="530" t="s">
        <v>361</v>
      </c>
      <c r="D51" s="531">
        <v>5000</v>
      </c>
      <c r="E51" s="531"/>
      <c r="F51" s="532">
        <v>42814</v>
      </c>
      <c r="G51" s="532">
        <v>42879</v>
      </c>
    </row>
    <row r="52" spans="1:9" s="533" customFormat="1" ht="12" customHeight="1" x14ac:dyDescent="0.2">
      <c r="A52" s="534" t="s">
        <v>362</v>
      </c>
      <c r="B52" s="535"/>
      <c r="C52" s="530" t="s">
        <v>363</v>
      </c>
      <c r="D52" s="531"/>
      <c r="E52" s="531">
        <v>5000</v>
      </c>
      <c r="F52" s="532">
        <v>42814</v>
      </c>
      <c r="G52" s="532">
        <v>42879</v>
      </c>
    </row>
    <row r="53" spans="1:9" s="533" customFormat="1" ht="12" customHeight="1" x14ac:dyDescent="0.2">
      <c r="A53" s="534" t="s">
        <v>364</v>
      </c>
      <c r="B53" s="535"/>
      <c r="C53" s="530" t="s">
        <v>365</v>
      </c>
      <c r="D53" s="531">
        <v>14553</v>
      </c>
      <c r="E53" s="531"/>
      <c r="F53" s="532">
        <v>42901</v>
      </c>
      <c r="G53" s="532">
        <v>42901</v>
      </c>
    </row>
    <row r="54" spans="1:9" s="533" customFormat="1" ht="12" customHeight="1" x14ac:dyDescent="0.2">
      <c r="A54" s="534" t="s">
        <v>366</v>
      </c>
      <c r="B54" s="535"/>
      <c r="C54" s="530" t="s">
        <v>367</v>
      </c>
      <c r="D54" s="531"/>
      <c r="E54" s="531">
        <v>14553</v>
      </c>
      <c r="F54" s="532">
        <v>42901</v>
      </c>
      <c r="G54" s="532">
        <v>42901</v>
      </c>
    </row>
    <row r="55" spans="1:9" s="533" customFormat="1" ht="12" customHeight="1" x14ac:dyDescent="0.2">
      <c r="A55" s="1010"/>
      <c r="B55" s="1010"/>
      <c r="C55" s="530"/>
      <c r="D55" s="536"/>
      <c r="E55" s="531"/>
      <c r="F55" s="532"/>
      <c r="G55" s="532"/>
    </row>
    <row r="56" spans="1:9" s="488" customFormat="1" ht="12" customHeight="1" x14ac:dyDescent="0.2">
      <c r="A56" s="1011" t="s">
        <v>169</v>
      </c>
      <c r="B56" s="1012"/>
      <c r="C56" s="537"/>
      <c r="D56" s="508">
        <f>SUM(D47:D55)</f>
        <v>169553</v>
      </c>
      <c r="E56" s="508">
        <f>SUM(E47:E55)</f>
        <v>169553</v>
      </c>
      <c r="F56" s="1013"/>
      <c r="G56" s="1014"/>
    </row>
    <row r="57" spans="1:9" s="488" customFormat="1" ht="16.5" customHeight="1" x14ac:dyDescent="0.2">
      <c r="A57" s="511" t="s">
        <v>368</v>
      </c>
      <c r="C57" s="519"/>
    </row>
    <row r="58" spans="1:9" s="494" customFormat="1" ht="11.25" x14ac:dyDescent="0.2">
      <c r="A58" s="1015" t="s">
        <v>292</v>
      </c>
      <c r="B58" s="1015"/>
      <c r="C58" s="1015"/>
      <c r="D58" s="1015"/>
      <c r="E58" s="1015"/>
      <c r="F58" s="1015"/>
      <c r="G58" s="1015"/>
      <c r="H58" s="1015"/>
      <c r="I58" s="1015"/>
    </row>
    <row r="59" spans="1:9" s="488" customFormat="1" ht="11.25" x14ac:dyDescent="0.2"/>
    <row r="60" spans="1:9" s="488" customFormat="1" ht="12" x14ac:dyDescent="0.2">
      <c r="A60" s="1001" t="s">
        <v>369</v>
      </c>
      <c r="B60" s="1002"/>
      <c r="C60" s="1002"/>
      <c r="D60" s="1002"/>
      <c r="E60" s="1002"/>
      <c r="F60" s="1002"/>
      <c r="G60" s="1002"/>
      <c r="H60" s="1002"/>
      <c r="I60" s="1003"/>
    </row>
    <row r="61" spans="1:9" s="488" customFormat="1" ht="12" x14ac:dyDescent="0.2">
      <c r="A61" s="1001"/>
      <c r="B61" s="1002"/>
      <c r="C61" s="1002"/>
      <c r="D61" s="1002"/>
      <c r="E61" s="1002"/>
      <c r="F61" s="1002"/>
      <c r="G61" s="1002"/>
      <c r="H61" s="1002"/>
      <c r="I61" s="1003"/>
    </row>
    <row r="62" spans="1:9" s="488" customFormat="1" ht="12" x14ac:dyDescent="0.2">
      <c r="A62" s="1001"/>
      <c r="B62" s="1002"/>
      <c r="C62" s="1002"/>
      <c r="D62" s="1002"/>
      <c r="E62" s="1002"/>
      <c r="F62" s="1002"/>
      <c r="G62" s="1002"/>
      <c r="H62" s="1002"/>
      <c r="I62" s="1003"/>
    </row>
    <row r="63" spans="1:9" s="488" customFormat="1" ht="12" x14ac:dyDescent="0.2">
      <c r="A63" s="533"/>
      <c r="B63" s="533"/>
      <c r="C63" s="533"/>
      <c r="D63" s="533"/>
      <c r="E63" s="533"/>
      <c r="F63" s="533"/>
      <c r="G63" s="533"/>
      <c r="H63" s="533"/>
      <c r="I63" s="533"/>
    </row>
    <row r="64" spans="1:9" s="487" customFormat="1" ht="10.5" x14ac:dyDescent="0.15">
      <c r="A64" s="1004" t="s">
        <v>175</v>
      </c>
      <c r="B64" s="1004"/>
      <c r="C64" s="1004"/>
      <c r="D64" s="1004"/>
      <c r="E64" s="1004"/>
      <c r="F64" s="1004"/>
      <c r="G64" s="1004"/>
      <c r="H64" s="1004"/>
      <c r="I64" s="1004"/>
    </row>
    <row r="65" spans="1:9" s="488" customFormat="1" ht="11.25" x14ac:dyDescent="0.2"/>
    <row r="66" spans="1:9" s="488" customFormat="1" ht="12.75" customHeight="1" x14ac:dyDescent="0.2">
      <c r="A66" s="1001" t="s">
        <v>370</v>
      </c>
      <c r="B66" s="1002"/>
      <c r="C66" s="1002"/>
      <c r="D66" s="1002"/>
      <c r="E66" s="1002"/>
      <c r="F66" s="1002"/>
      <c r="G66" s="1002"/>
      <c r="H66" s="1002"/>
      <c r="I66" s="1003"/>
    </row>
    <row r="67" spans="1:9" s="488" customFormat="1" ht="12" x14ac:dyDescent="0.2">
      <c r="A67" s="1005" t="s">
        <v>371</v>
      </c>
      <c r="B67" s="1006"/>
      <c r="C67" s="1006"/>
      <c r="D67" s="1006"/>
      <c r="E67" s="1006"/>
      <c r="F67" s="1006"/>
      <c r="G67" s="1006"/>
      <c r="H67" s="1006"/>
      <c r="I67" s="1007"/>
    </row>
    <row r="68" spans="1:9" s="488" customFormat="1" ht="12" x14ac:dyDescent="0.2">
      <c r="A68" s="1001" t="s">
        <v>372</v>
      </c>
      <c r="B68" s="1002"/>
      <c r="C68" s="1002"/>
      <c r="D68" s="1002"/>
      <c r="E68" s="1002"/>
      <c r="F68" s="1002"/>
      <c r="G68" s="1002"/>
      <c r="H68" s="1002"/>
      <c r="I68" s="1003"/>
    </row>
    <row r="69" spans="1:9" s="488" customFormat="1" ht="11.25" x14ac:dyDescent="0.2">
      <c r="A69" s="995"/>
      <c r="B69" s="996"/>
      <c r="C69" s="996"/>
      <c r="D69" s="996"/>
      <c r="E69" s="996"/>
      <c r="F69" s="996"/>
      <c r="G69" s="996"/>
      <c r="H69" s="996"/>
      <c r="I69" s="997"/>
    </row>
    <row r="70" spans="1:9" s="488" customFormat="1" ht="11.25" x14ac:dyDescent="0.2">
      <c r="A70" s="998" t="s">
        <v>373</v>
      </c>
      <c r="B70" s="999"/>
      <c r="C70" s="999"/>
      <c r="D70" s="999"/>
      <c r="E70" s="999"/>
      <c r="F70" s="999"/>
      <c r="G70" s="999"/>
      <c r="H70" s="999"/>
      <c r="I70" s="1000"/>
    </row>
    <row r="72" spans="1:9" s="488" customFormat="1" ht="11.25" x14ac:dyDescent="0.2">
      <c r="A72" s="538"/>
    </row>
  </sheetData>
  <mergeCells count="50">
    <mergeCell ref="A1:I1"/>
    <mergeCell ref="A3:I3"/>
    <mergeCell ref="A5:B5"/>
    <mergeCell ref="D5:I5"/>
    <mergeCell ref="A6:B6"/>
    <mergeCell ref="D6:I6"/>
    <mergeCell ref="A20:I20"/>
    <mergeCell ref="A7:B7"/>
    <mergeCell ref="D7:I7"/>
    <mergeCell ref="A8:B8"/>
    <mergeCell ref="D8:I8"/>
    <mergeCell ref="A10:I10"/>
    <mergeCell ref="G12:I12"/>
    <mergeCell ref="G13:I13"/>
    <mergeCell ref="G15:I15"/>
    <mergeCell ref="G16:I16"/>
    <mergeCell ref="G17:I17"/>
    <mergeCell ref="G18:I18"/>
    <mergeCell ref="A34:I34"/>
    <mergeCell ref="D22:I22"/>
    <mergeCell ref="A23:A24"/>
    <mergeCell ref="D23:I23"/>
    <mergeCell ref="D24:I24"/>
    <mergeCell ref="C25:I25"/>
    <mergeCell ref="A27:I27"/>
    <mergeCell ref="D29:I29"/>
    <mergeCell ref="A30:A31"/>
    <mergeCell ref="D30:I30"/>
    <mergeCell ref="D31:I31"/>
    <mergeCell ref="C32:I32"/>
    <mergeCell ref="A60:I60"/>
    <mergeCell ref="C36:I36"/>
    <mergeCell ref="C37:I37"/>
    <mergeCell ref="C40:I40"/>
    <mergeCell ref="C41:I41"/>
    <mergeCell ref="A43:G43"/>
    <mergeCell ref="A46:B46"/>
    <mergeCell ref="A47:B47"/>
    <mergeCell ref="A55:B55"/>
    <mergeCell ref="A56:B56"/>
    <mergeCell ref="F56:G56"/>
    <mergeCell ref="A58:I58"/>
    <mergeCell ref="A69:I69"/>
    <mergeCell ref="A70:I70"/>
    <mergeCell ref="A61:I61"/>
    <mergeCell ref="A62:I62"/>
    <mergeCell ref="A64:I64"/>
    <mergeCell ref="A66:I66"/>
    <mergeCell ref="A67:I67"/>
    <mergeCell ref="A68:I68"/>
  </mergeCells>
  <pageMargins left="0.70866141732283472" right="0.70866141732283472" top="0.78740157480314965" bottom="0.78740157480314965" header="0.31496062992125984" footer="0.31496062992125984"/>
  <pageSetup paperSize="9" scale="62" firstPageNumber="66" fitToHeight="2" orientation="portrait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5" width="5.85546875" style="43" customWidth="1"/>
    <col min="6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98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30235685</v>
      </c>
      <c r="F6" s="8">
        <f>SUM(F7:F9)</f>
        <v>30798785</v>
      </c>
      <c r="G6" s="8">
        <f>SUM(G7:G9)</f>
        <v>15227044.049999999</v>
      </c>
      <c r="H6" s="9">
        <f t="shared" ref="H6:H36" si="0">G6/F6*100</f>
        <v>49.440405035458376</v>
      </c>
      <c r="I6" s="8">
        <f>SUM(I7:I9)</f>
        <v>14675186</v>
      </c>
      <c r="J6" s="8">
        <f>SUM(J7:J9)</f>
        <v>6971145</v>
      </c>
      <c r="K6" s="8">
        <f t="shared" ref="K6:X6" si="1">SUM(K7:K9)</f>
        <v>7513145</v>
      </c>
      <c r="L6" s="8">
        <f t="shared" si="1"/>
        <v>3769500.2</v>
      </c>
      <c r="M6" s="9">
        <f t="shared" ref="M6:M36" si="2">L6/K6*100</f>
        <v>50.17206775591314</v>
      </c>
      <c r="N6" s="8">
        <f t="shared" si="1"/>
        <v>3824098</v>
      </c>
      <c r="O6" s="8">
        <f t="shared" si="1"/>
        <v>23264540</v>
      </c>
      <c r="P6" s="8">
        <f t="shared" si="1"/>
        <v>23285640</v>
      </c>
      <c r="Q6" s="8">
        <f t="shared" si="1"/>
        <v>11457543.85</v>
      </c>
      <c r="R6" s="9">
        <f t="shared" ref="R6:R36" si="3">Q6/P6*100</f>
        <v>49.20433301382311</v>
      </c>
      <c r="S6" s="8">
        <f t="shared" si="1"/>
        <v>10851088</v>
      </c>
      <c r="T6" s="8">
        <f t="shared" si="1"/>
        <v>565000</v>
      </c>
      <c r="U6" s="8">
        <f t="shared" si="1"/>
        <v>656000</v>
      </c>
      <c r="V6" s="8">
        <f t="shared" si="1"/>
        <v>335701.5</v>
      </c>
      <c r="W6" s="9">
        <f t="shared" ref="W6:W36" si="4">V6/U6*100</f>
        <v>51.174009146341461</v>
      </c>
      <c r="X6" s="8">
        <f t="shared" si="1"/>
        <v>429644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5">SUM(J7,O7)</f>
        <v>2092000</v>
      </c>
      <c r="F7" s="12">
        <f t="shared" si="5"/>
        <v>2092000</v>
      </c>
      <c r="G7" s="12">
        <f t="shared" si="5"/>
        <v>1330991</v>
      </c>
      <c r="H7" s="13">
        <f t="shared" si="0"/>
        <v>63.622896749521985</v>
      </c>
      <c r="I7" s="12">
        <f>SUM(N7,S7)</f>
        <v>1364701</v>
      </c>
      <c r="J7" s="44">
        <v>2092000</v>
      </c>
      <c r="K7" s="14">
        <v>2092000</v>
      </c>
      <c r="L7" s="14">
        <f>1318886+12105</f>
        <v>1330991</v>
      </c>
      <c r="M7" s="13">
        <f t="shared" si="2"/>
        <v>63.622896749521985</v>
      </c>
      <c r="N7" s="14">
        <v>1364701</v>
      </c>
      <c r="O7" s="14">
        <v>0</v>
      </c>
      <c r="P7" s="14">
        <v>0</v>
      </c>
      <c r="Q7" s="14">
        <v>0</v>
      </c>
      <c r="R7" s="13">
        <v>0</v>
      </c>
      <c r="S7" s="14">
        <v>0</v>
      </c>
      <c r="T7" s="14">
        <v>565000</v>
      </c>
      <c r="U7" s="14">
        <v>565000</v>
      </c>
      <c r="V7" s="14">
        <v>290638</v>
      </c>
      <c r="W7" s="13">
        <f t="shared" si="4"/>
        <v>51.440353982300891</v>
      </c>
      <c r="X7" s="14">
        <v>296425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5"/>
        <v>3000</v>
      </c>
      <c r="F8" s="12">
        <f t="shared" si="5"/>
        <v>3000</v>
      </c>
      <c r="G8" s="12">
        <f t="shared" si="5"/>
        <v>439.2</v>
      </c>
      <c r="H8" s="13">
        <f t="shared" si="0"/>
        <v>14.64</v>
      </c>
      <c r="I8" s="12">
        <f>SUM(N8,S8)</f>
        <v>705</v>
      </c>
      <c r="J8" s="45">
        <v>3000</v>
      </c>
      <c r="K8" s="12">
        <v>3000</v>
      </c>
      <c r="L8" s="12">
        <v>439.2</v>
      </c>
      <c r="M8" s="13">
        <f t="shared" si="2"/>
        <v>14.64</v>
      </c>
      <c r="N8" s="12">
        <v>705</v>
      </c>
      <c r="O8" s="12">
        <v>0</v>
      </c>
      <c r="P8" s="12">
        <v>0</v>
      </c>
      <c r="Q8" s="12">
        <v>0</v>
      </c>
      <c r="R8" s="13">
        <v>0</v>
      </c>
      <c r="S8" s="12">
        <v>0</v>
      </c>
      <c r="T8" s="12">
        <v>0</v>
      </c>
      <c r="U8" s="12">
        <v>0</v>
      </c>
      <c r="V8" s="12">
        <v>0</v>
      </c>
      <c r="W8" s="13">
        <v>0</v>
      </c>
      <c r="X8" s="12">
        <v>0</v>
      </c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5"/>
        <v>28140685</v>
      </c>
      <c r="F9" s="12">
        <f t="shared" si="5"/>
        <v>28703785</v>
      </c>
      <c r="G9" s="12">
        <f t="shared" si="5"/>
        <v>13895613.85</v>
      </c>
      <c r="H9" s="13">
        <f t="shared" si="0"/>
        <v>48.410388560254333</v>
      </c>
      <c r="I9" s="12">
        <f>SUM(N9,S9)</f>
        <v>13309780</v>
      </c>
      <c r="J9" s="45">
        <v>4876145</v>
      </c>
      <c r="K9" s="12">
        <f>J9+51000+480000+17000-17000+11000</f>
        <v>5418145</v>
      </c>
      <c r="L9" s="12">
        <f>13895613.85-Q9</f>
        <v>2438070</v>
      </c>
      <c r="M9" s="13">
        <f t="shared" si="2"/>
        <v>44.998242018255326</v>
      </c>
      <c r="N9" s="12">
        <v>2458692</v>
      </c>
      <c r="O9" s="12">
        <v>23264540</v>
      </c>
      <c r="P9" s="12">
        <v>23285640</v>
      </c>
      <c r="Q9" s="12">
        <f>11412480.35+45063.5</f>
        <v>11457543.85</v>
      </c>
      <c r="R9" s="13">
        <f t="shared" si="3"/>
        <v>49.20433301382311</v>
      </c>
      <c r="S9" s="12">
        <v>10851088</v>
      </c>
      <c r="T9" s="12">
        <v>0</v>
      </c>
      <c r="U9" s="12">
        <v>91000</v>
      </c>
      <c r="V9" s="12">
        <v>45063.5</v>
      </c>
      <c r="W9" s="13">
        <f t="shared" si="4"/>
        <v>49.520329670329673</v>
      </c>
      <c r="X9" s="12">
        <v>133219</v>
      </c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5"/>
        <v>0</v>
      </c>
      <c r="F10" s="18">
        <f t="shared" si="5"/>
        <v>0</v>
      </c>
      <c r="G10" s="18">
        <f t="shared" si="5"/>
        <v>0</v>
      </c>
      <c r="H10" s="9">
        <v>0</v>
      </c>
      <c r="I10" s="18">
        <f>SUM(N10,S10)</f>
        <v>0</v>
      </c>
      <c r="J10" s="19">
        <v>0</v>
      </c>
      <c r="K10" s="18">
        <v>0</v>
      </c>
      <c r="L10" s="18">
        <v>0</v>
      </c>
      <c r="M10" s="9">
        <v>0</v>
      </c>
      <c r="N10" s="18">
        <v>0</v>
      </c>
      <c r="O10" s="18">
        <v>0</v>
      </c>
      <c r="P10" s="18">
        <v>0</v>
      </c>
      <c r="Q10" s="18">
        <v>0</v>
      </c>
      <c r="R10" s="9">
        <v>0</v>
      </c>
      <c r="S10" s="18">
        <v>0</v>
      </c>
      <c r="T10" s="18">
        <v>0</v>
      </c>
      <c r="U10" s="18">
        <v>0</v>
      </c>
      <c r="V10" s="18">
        <v>0</v>
      </c>
      <c r="W10" s="9">
        <v>0</v>
      </c>
      <c r="X10" s="18">
        <v>0</v>
      </c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30235685</v>
      </c>
      <c r="F11" s="8">
        <f>SUM(F12:F31)</f>
        <v>30798785</v>
      </c>
      <c r="G11" s="8">
        <f>SUM(G12:G31)</f>
        <v>14906935.279999999</v>
      </c>
      <c r="H11" s="9">
        <f t="shared" si="0"/>
        <v>48.401049846609205</v>
      </c>
      <c r="I11" s="8">
        <f>SUM(I12:I31)</f>
        <v>14434013</v>
      </c>
      <c r="J11" s="8">
        <f>SUM(J12:J31)</f>
        <v>6971145</v>
      </c>
      <c r="K11" s="8">
        <f>SUM(K12:K31)</f>
        <v>7513145</v>
      </c>
      <c r="L11" s="8">
        <f>SUM(L12:L31)</f>
        <v>3449391.4299999997</v>
      </c>
      <c r="M11" s="9">
        <f t="shared" si="2"/>
        <v>45.911418320823032</v>
      </c>
      <c r="N11" s="8">
        <f>SUM(N12:N31)</f>
        <v>3582925</v>
      </c>
      <c r="O11" s="8">
        <f>SUM(O12:O31)</f>
        <v>23264540</v>
      </c>
      <c r="P11" s="8">
        <f>SUM(P12:P31)</f>
        <v>23285640</v>
      </c>
      <c r="Q11" s="8">
        <f>SUM(Q12:Q31)</f>
        <v>11457543.850000001</v>
      </c>
      <c r="R11" s="9">
        <f t="shared" si="3"/>
        <v>49.204333013823117</v>
      </c>
      <c r="S11" s="8">
        <f>SUM(S12:S31)</f>
        <v>10851088</v>
      </c>
      <c r="T11" s="8">
        <f>SUM(T12:T31)</f>
        <v>408500</v>
      </c>
      <c r="U11" s="8">
        <f>SUM(U12:U31)</f>
        <v>528500</v>
      </c>
      <c r="V11" s="8">
        <f>SUM(V12:V31)</f>
        <v>249148.63</v>
      </c>
      <c r="W11" s="9">
        <f t="shared" si="4"/>
        <v>47.142597918637655</v>
      </c>
      <c r="X11" s="8">
        <f>SUM(X12:X31)</f>
        <v>348468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6">SUM(J12,O12)</f>
        <v>2289000</v>
      </c>
      <c r="F12" s="12">
        <f t="shared" si="6"/>
        <v>2342000</v>
      </c>
      <c r="G12" s="12">
        <f t="shared" si="6"/>
        <v>1361156.36</v>
      </c>
      <c r="H12" s="13">
        <f t="shared" si="0"/>
        <v>58.119400512382583</v>
      </c>
      <c r="I12" s="12">
        <f t="shared" si="6"/>
        <v>1371139</v>
      </c>
      <c r="J12" s="20">
        <v>2154000</v>
      </c>
      <c r="K12" s="21">
        <f>2154000+51000</f>
        <v>2205000</v>
      </c>
      <c r="L12" s="21">
        <f>1361156.36-Q12</f>
        <v>1342691.36</v>
      </c>
      <c r="M12" s="13">
        <f t="shared" si="2"/>
        <v>60.893032199546496</v>
      </c>
      <c r="N12" s="22">
        <v>1328770</v>
      </c>
      <c r="O12" s="21">
        <v>135000</v>
      </c>
      <c r="P12" s="21">
        <v>137000</v>
      </c>
      <c r="Q12" s="21">
        <v>18465</v>
      </c>
      <c r="R12" s="13">
        <f t="shared" si="3"/>
        <v>13.478102189781021</v>
      </c>
      <c r="S12" s="21">
        <v>42369</v>
      </c>
      <c r="T12" s="21">
        <v>14000</v>
      </c>
      <c r="U12" s="21">
        <v>28000</v>
      </c>
      <c r="V12" s="21">
        <v>13373.19</v>
      </c>
      <c r="W12" s="13">
        <f t="shared" si="4"/>
        <v>47.761392857142859</v>
      </c>
      <c r="X12" s="22">
        <v>2716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6"/>
        <v>1863000</v>
      </c>
      <c r="F13" s="12">
        <f t="shared" si="6"/>
        <v>1863000</v>
      </c>
      <c r="G13" s="12">
        <f t="shared" si="6"/>
        <v>1002055.44</v>
      </c>
      <c r="H13" s="13">
        <f t="shared" si="0"/>
        <v>53.787194847020935</v>
      </c>
      <c r="I13" s="12">
        <f t="shared" si="6"/>
        <v>878816</v>
      </c>
      <c r="J13" s="20">
        <v>1863000</v>
      </c>
      <c r="K13" s="12">
        <v>1863000</v>
      </c>
      <c r="L13" s="12">
        <f>1002055.44-Q13</f>
        <v>1002055.44</v>
      </c>
      <c r="M13" s="13">
        <f t="shared" si="2"/>
        <v>53.787194847020935</v>
      </c>
      <c r="N13" s="12">
        <v>878816</v>
      </c>
      <c r="O13" s="12">
        <v>0</v>
      </c>
      <c r="P13" s="12">
        <v>0</v>
      </c>
      <c r="Q13" s="12">
        <v>0</v>
      </c>
      <c r="R13" s="13">
        <v>0</v>
      </c>
      <c r="S13" s="12">
        <v>0</v>
      </c>
      <c r="T13" s="12">
        <v>317000</v>
      </c>
      <c r="U13" s="12">
        <v>317000</v>
      </c>
      <c r="V13" s="12">
        <v>141387</v>
      </c>
      <c r="W13" s="13">
        <f t="shared" si="4"/>
        <v>44.601577287066249</v>
      </c>
      <c r="X13" s="12">
        <v>206122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3">
        <v>0</v>
      </c>
      <c r="I14" s="12">
        <f t="shared" si="6"/>
        <v>0</v>
      </c>
      <c r="J14" s="20">
        <v>0</v>
      </c>
      <c r="K14" s="12">
        <v>0</v>
      </c>
      <c r="L14" s="12">
        <v>0</v>
      </c>
      <c r="M14" s="13">
        <v>0</v>
      </c>
      <c r="N14" s="12">
        <v>0</v>
      </c>
      <c r="O14" s="12">
        <v>0</v>
      </c>
      <c r="P14" s="12">
        <v>0</v>
      </c>
      <c r="Q14" s="12">
        <v>0</v>
      </c>
      <c r="R14" s="13">
        <v>0</v>
      </c>
      <c r="S14" s="12">
        <v>0</v>
      </c>
      <c r="T14" s="12">
        <v>0</v>
      </c>
      <c r="U14" s="12">
        <v>0</v>
      </c>
      <c r="V14" s="12">
        <v>0</v>
      </c>
      <c r="W14" s="13">
        <v>0</v>
      </c>
      <c r="X14" s="12">
        <v>0</v>
      </c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6"/>
        <v>505000</v>
      </c>
      <c r="F15" s="12">
        <f t="shared" si="6"/>
        <v>985000</v>
      </c>
      <c r="G15" s="12">
        <f t="shared" si="6"/>
        <v>79691.78</v>
      </c>
      <c r="H15" s="13">
        <f t="shared" si="0"/>
        <v>8.0905360406091358</v>
      </c>
      <c r="I15" s="12">
        <f t="shared" si="6"/>
        <v>151384</v>
      </c>
      <c r="J15" s="20">
        <v>505000</v>
      </c>
      <c r="K15" s="12">
        <f>J15+480000</f>
        <v>985000</v>
      </c>
      <c r="L15" s="12">
        <v>79691.78</v>
      </c>
      <c r="M15" s="13">
        <f t="shared" si="2"/>
        <v>8.0905360406091358</v>
      </c>
      <c r="N15" s="12">
        <v>151384</v>
      </c>
      <c r="O15" s="12">
        <v>0</v>
      </c>
      <c r="P15" s="12">
        <v>0</v>
      </c>
      <c r="Q15" s="12">
        <v>0</v>
      </c>
      <c r="R15" s="13">
        <v>0</v>
      </c>
      <c r="S15" s="12">
        <v>0</v>
      </c>
      <c r="T15" s="12">
        <v>0</v>
      </c>
      <c r="U15" s="12">
        <v>0</v>
      </c>
      <c r="V15" s="12">
        <v>0</v>
      </c>
      <c r="W15" s="13">
        <v>0</v>
      </c>
      <c r="X15" s="12">
        <v>0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6"/>
        <v>47240</v>
      </c>
      <c r="F16" s="12">
        <f t="shared" si="6"/>
        <v>47240</v>
      </c>
      <c r="G16" s="12">
        <f t="shared" si="6"/>
        <v>28728</v>
      </c>
      <c r="H16" s="13">
        <f t="shared" si="0"/>
        <v>60.81287044877223</v>
      </c>
      <c r="I16" s="12">
        <f t="shared" si="6"/>
        <v>28403</v>
      </c>
      <c r="J16" s="20">
        <v>7000</v>
      </c>
      <c r="K16" s="12">
        <v>7000</v>
      </c>
      <c r="L16" s="12">
        <f>28728-Q16</f>
        <v>1791</v>
      </c>
      <c r="M16" s="13">
        <f t="shared" si="2"/>
        <v>25.585714285714285</v>
      </c>
      <c r="N16" s="12">
        <v>1823</v>
      </c>
      <c r="O16" s="12">
        <v>40240</v>
      </c>
      <c r="P16" s="12">
        <v>40240</v>
      </c>
      <c r="Q16" s="12">
        <v>26937</v>
      </c>
      <c r="R16" s="13">
        <f t="shared" si="3"/>
        <v>66.94085487077534</v>
      </c>
      <c r="S16" s="12">
        <v>26580</v>
      </c>
      <c r="T16" s="12">
        <v>0</v>
      </c>
      <c r="U16" s="12">
        <v>0</v>
      </c>
      <c r="V16" s="12">
        <v>0</v>
      </c>
      <c r="W16" s="13">
        <v>0</v>
      </c>
      <c r="X16" s="12">
        <v>0</v>
      </c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6"/>
        <v>4000</v>
      </c>
      <c r="F17" s="12">
        <f t="shared" si="6"/>
        <v>4000</v>
      </c>
      <c r="G17" s="12">
        <f t="shared" si="6"/>
        <v>2094</v>
      </c>
      <c r="H17" s="13">
        <f t="shared" si="0"/>
        <v>52.349999999999994</v>
      </c>
      <c r="I17" s="12">
        <f t="shared" si="6"/>
        <v>474</v>
      </c>
      <c r="J17" s="20">
        <v>4000</v>
      </c>
      <c r="K17" s="12">
        <v>4000</v>
      </c>
      <c r="L17" s="12">
        <v>2094</v>
      </c>
      <c r="M17" s="13">
        <f t="shared" si="2"/>
        <v>52.349999999999994</v>
      </c>
      <c r="N17" s="12">
        <v>474</v>
      </c>
      <c r="O17" s="12">
        <v>0</v>
      </c>
      <c r="P17" s="12">
        <v>0</v>
      </c>
      <c r="Q17" s="12">
        <v>0</v>
      </c>
      <c r="R17" s="13">
        <v>0</v>
      </c>
      <c r="S17" s="12">
        <v>0</v>
      </c>
      <c r="T17" s="12">
        <v>0</v>
      </c>
      <c r="U17" s="12">
        <v>0</v>
      </c>
      <c r="V17" s="12">
        <v>0</v>
      </c>
      <c r="W17" s="13">
        <v>0</v>
      </c>
      <c r="X17" s="12">
        <v>0</v>
      </c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6"/>
        <v>677000</v>
      </c>
      <c r="F18" s="12">
        <f t="shared" si="6"/>
        <v>651900</v>
      </c>
      <c r="G18" s="12">
        <f t="shared" si="6"/>
        <v>318160.53999999998</v>
      </c>
      <c r="H18" s="13">
        <f t="shared" si="0"/>
        <v>48.805114281331491</v>
      </c>
      <c r="I18" s="12">
        <f t="shared" si="6"/>
        <v>354047</v>
      </c>
      <c r="J18" s="20">
        <v>457000</v>
      </c>
      <c r="K18" s="12">
        <f>457000-25100</f>
        <v>431900</v>
      </c>
      <c r="L18" s="12">
        <f>318160.54-Q18</f>
        <v>198062.53999999998</v>
      </c>
      <c r="M18" s="13">
        <f t="shared" si="2"/>
        <v>45.858425561472558</v>
      </c>
      <c r="N18" s="12">
        <v>222624</v>
      </c>
      <c r="O18" s="12">
        <v>220000</v>
      </c>
      <c r="P18" s="12">
        <v>220000</v>
      </c>
      <c r="Q18" s="12">
        <v>120098</v>
      </c>
      <c r="R18" s="13">
        <f t="shared" si="3"/>
        <v>54.59</v>
      </c>
      <c r="S18" s="12">
        <v>131423</v>
      </c>
      <c r="T18" s="12">
        <v>1000</v>
      </c>
      <c r="U18" s="12">
        <v>5000</v>
      </c>
      <c r="V18" s="12">
        <v>2180.2199999999998</v>
      </c>
      <c r="W18" s="13">
        <f t="shared" si="4"/>
        <v>43.604399999999998</v>
      </c>
      <c r="X18" s="12">
        <v>0</v>
      </c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6"/>
        <v>16871700</v>
      </c>
      <c r="F19" s="12">
        <f t="shared" si="6"/>
        <v>16885700</v>
      </c>
      <c r="G19" s="12">
        <f t="shared" si="6"/>
        <v>8383452</v>
      </c>
      <c r="H19" s="13">
        <f t="shared" si="0"/>
        <v>49.648234896983837</v>
      </c>
      <c r="I19" s="12">
        <f t="shared" si="6"/>
        <v>7905735</v>
      </c>
      <c r="J19" s="23">
        <v>158800</v>
      </c>
      <c r="K19" s="12">
        <f>158800</f>
        <v>158800</v>
      </c>
      <c r="L19" s="12">
        <f>8383452-Q19</f>
        <v>87740</v>
      </c>
      <c r="M19" s="13">
        <f t="shared" si="2"/>
        <v>55.251889168765743</v>
      </c>
      <c r="N19" s="12">
        <v>76220</v>
      </c>
      <c r="O19" s="12">
        <f>16707900+5000</f>
        <v>16712900</v>
      </c>
      <c r="P19" s="12">
        <v>16726900</v>
      </c>
      <c r="Q19" s="12">
        <f>8254680+41032</f>
        <v>8295712</v>
      </c>
      <c r="R19" s="13">
        <f t="shared" si="3"/>
        <v>49.595035541552832</v>
      </c>
      <c r="S19" s="12">
        <v>7829515</v>
      </c>
      <c r="T19" s="24">
        <v>0</v>
      </c>
      <c r="U19" s="24">
        <v>50000</v>
      </c>
      <c r="V19" s="24">
        <v>25038</v>
      </c>
      <c r="W19" s="13">
        <f t="shared" si="4"/>
        <v>50.076000000000001</v>
      </c>
      <c r="X19" s="24">
        <v>103180</v>
      </c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6"/>
        <v>5683386</v>
      </c>
      <c r="F20" s="12">
        <f t="shared" si="6"/>
        <v>5699146</v>
      </c>
      <c r="G20" s="12">
        <f t="shared" si="6"/>
        <v>2837365.82</v>
      </c>
      <c r="H20" s="13">
        <f t="shared" si="0"/>
        <v>49.785806855974556</v>
      </c>
      <c r="I20" s="12">
        <f t="shared" si="6"/>
        <v>2680483</v>
      </c>
      <c r="J20" s="20">
        <v>1000</v>
      </c>
      <c r="K20" s="12">
        <f>1000+17000-17000+11000</f>
        <v>12000</v>
      </c>
      <c r="L20" s="12">
        <f>2802743.61+34622.21-Q20</f>
        <v>10052.10999999987</v>
      </c>
      <c r="M20" s="13">
        <f t="shared" si="2"/>
        <v>83.767583333332254</v>
      </c>
      <c r="N20" s="12">
        <v>0</v>
      </c>
      <c r="O20" s="12">
        <f>O19*34%</f>
        <v>5682386</v>
      </c>
      <c r="P20" s="12">
        <f>P19*34%</f>
        <v>5687146</v>
      </c>
      <c r="Q20" s="12">
        <f>2788792.5+34489.71+10257.98+3693.13-10257.98-3693.13+947.4+3084.1</f>
        <v>2827313.71</v>
      </c>
      <c r="R20" s="13">
        <f t="shared" si="3"/>
        <v>49.714104578992696</v>
      </c>
      <c r="S20" s="12">
        <v>2680483</v>
      </c>
      <c r="T20" s="12">
        <v>1000</v>
      </c>
      <c r="U20" s="12">
        <f>U19*34%</f>
        <v>17000</v>
      </c>
      <c r="V20" s="12">
        <f>8512.39+105.17</f>
        <v>8617.56</v>
      </c>
      <c r="W20" s="13">
        <f t="shared" si="4"/>
        <v>50.691529411764705</v>
      </c>
      <c r="X20" s="12">
        <v>34902</v>
      </c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6"/>
        <v>336134</v>
      </c>
      <c r="F21" s="12">
        <f t="shared" si="6"/>
        <v>336474</v>
      </c>
      <c r="G21" s="12">
        <f t="shared" si="6"/>
        <v>166415.34</v>
      </c>
      <c r="H21" s="13">
        <f t="shared" si="0"/>
        <v>49.458603042136986</v>
      </c>
      <c r="I21" s="12">
        <f t="shared" si="6"/>
        <v>117774</v>
      </c>
      <c r="J21" s="20">
        <v>2120</v>
      </c>
      <c r="K21" s="12">
        <v>2120</v>
      </c>
      <c r="L21" s="12">
        <f>166415.34-Q21</f>
        <v>876.19999999998254</v>
      </c>
      <c r="M21" s="13">
        <f t="shared" si="2"/>
        <v>41.330188679244465</v>
      </c>
      <c r="N21" s="12">
        <v>0</v>
      </c>
      <c r="O21" s="12">
        <f>6016400-O20</f>
        <v>334014</v>
      </c>
      <c r="P21" s="12">
        <f>6021500-P20</f>
        <v>334354</v>
      </c>
      <c r="Q21" s="12">
        <f>165539.14</f>
        <v>165539.14000000001</v>
      </c>
      <c r="R21" s="13">
        <f t="shared" si="3"/>
        <v>49.510141945363301</v>
      </c>
      <c r="S21" s="12">
        <v>117774</v>
      </c>
      <c r="T21" s="12">
        <v>1500</v>
      </c>
      <c r="U21" s="12">
        <v>1500</v>
      </c>
      <c r="V21" s="12">
        <v>519.66</v>
      </c>
      <c r="W21" s="13">
        <f t="shared" si="4"/>
        <v>34.643999999999998</v>
      </c>
      <c r="X21" s="12">
        <v>1548</v>
      </c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3">
        <v>0</v>
      </c>
      <c r="I22" s="12">
        <f t="shared" si="6"/>
        <v>0</v>
      </c>
      <c r="J22" s="20">
        <v>0</v>
      </c>
      <c r="K22" s="12">
        <v>0</v>
      </c>
      <c r="L22" s="12">
        <v>0</v>
      </c>
      <c r="M22" s="13">
        <v>0</v>
      </c>
      <c r="N22" s="12">
        <v>0</v>
      </c>
      <c r="O22" s="12">
        <v>0</v>
      </c>
      <c r="P22" s="12">
        <v>0</v>
      </c>
      <c r="Q22" s="12">
        <v>0</v>
      </c>
      <c r="R22" s="13">
        <v>0</v>
      </c>
      <c r="S22" s="12">
        <v>0</v>
      </c>
      <c r="T22" s="12">
        <v>0</v>
      </c>
      <c r="U22" s="12">
        <v>0</v>
      </c>
      <c r="V22" s="12">
        <v>0</v>
      </c>
      <c r="W22" s="13">
        <v>0</v>
      </c>
      <c r="X22" s="12">
        <v>0</v>
      </c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6"/>
        <v>0</v>
      </c>
      <c r="F23" s="12">
        <f t="shared" si="6"/>
        <v>0</v>
      </c>
      <c r="G23" s="12">
        <f t="shared" si="6"/>
        <v>0</v>
      </c>
      <c r="H23" s="13">
        <v>0</v>
      </c>
      <c r="I23" s="12">
        <f t="shared" si="6"/>
        <v>0</v>
      </c>
      <c r="J23" s="20">
        <v>0</v>
      </c>
      <c r="K23" s="12">
        <v>0</v>
      </c>
      <c r="L23" s="12">
        <v>0</v>
      </c>
      <c r="M23" s="13">
        <v>0</v>
      </c>
      <c r="N23" s="12">
        <v>0</v>
      </c>
      <c r="O23" s="12">
        <v>0</v>
      </c>
      <c r="P23" s="12">
        <v>0</v>
      </c>
      <c r="Q23" s="12">
        <v>0</v>
      </c>
      <c r="R23" s="13">
        <v>0</v>
      </c>
      <c r="S23" s="12">
        <v>0</v>
      </c>
      <c r="T23" s="12">
        <v>0</v>
      </c>
      <c r="U23" s="12">
        <v>0</v>
      </c>
      <c r="V23" s="12">
        <v>0</v>
      </c>
      <c r="W23" s="13">
        <v>0</v>
      </c>
      <c r="X23" s="12">
        <v>0</v>
      </c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3">
        <v>0</v>
      </c>
      <c r="I24" s="12">
        <f t="shared" si="6"/>
        <v>0</v>
      </c>
      <c r="J24" s="20">
        <v>0</v>
      </c>
      <c r="K24" s="12">
        <v>0</v>
      </c>
      <c r="L24" s="12">
        <v>0</v>
      </c>
      <c r="M24" s="13">
        <v>0</v>
      </c>
      <c r="N24" s="12">
        <v>0</v>
      </c>
      <c r="O24" s="12">
        <v>0</v>
      </c>
      <c r="P24" s="12">
        <v>0</v>
      </c>
      <c r="Q24" s="12">
        <v>0</v>
      </c>
      <c r="R24" s="13">
        <v>0</v>
      </c>
      <c r="S24" s="12">
        <v>0</v>
      </c>
      <c r="T24" s="12">
        <v>0</v>
      </c>
      <c r="U24" s="12">
        <v>0</v>
      </c>
      <c r="V24" s="12">
        <v>0</v>
      </c>
      <c r="W24" s="13">
        <v>0</v>
      </c>
      <c r="X24" s="12">
        <v>0</v>
      </c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3">
        <v>0</v>
      </c>
      <c r="I25" s="12">
        <f t="shared" si="6"/>
        <v>0</v>
      </c>
      <c r="J25" s="20">
        <v>0</v>
      </c>
      <c r="K25" s="21">
        <v>0</v>
      </c>
      <c r="L25" s="21">
        <v>0</v>
      </c>
      <c r="M25" s="13">
        <v>0</v>
      </c>
      <c r="N25" s="22">
        <v>0</v>
      </c>
      <c r="O25" s="21">
        <v>0</v>
      </c>
      <c r="P25" s="21">
        <v>0</v>
      </c>
      <c r="Q25" s="21">
        <v>0</v>
      </c>
      <c r="R25" s="13">
        <v>0</v>
      </c>
      <c r="S25" s="21">
        <v>0</v>
      </c>
      <c r="T25" s="21">
        <v>0</v>
      </c>
      <c r="U25" s="21">
        <v>0</v>
      </c>
      <c r="V25" s="21">
        <v>0</v>
      </c>
      <c r="W25" s="13">
        <v>0</v>
      </c>
      <c r="X25" s="21">
        <v>0</v>
      </c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6"/>
        <v>1688225</v>
      </c>
      <c r="F26" s="12">
        <f t="shared" si="6"/>
        <v>1688225</v>
      </c>
      <c r="G26" s="12">
        <f t="shared" si="6"/>
        <v>667261</v>
      </c>
      <c r="H26" s="26">
        <v>0</v>
      </c>
      <c r="I26" s="12">
        <f>SUM(N26,S26)</f>
        <v>824007</v>
      </c>
      <c r="J26" s="20">
        <v>1688225</v>
      </c>
      <c r="K26" s="22">
        <v>1688225</v>
      </c>
      <c r="L26" s="22">
        <v>667261</v>
      </c>
      <c r="M26" s="13">
        <v>0</v>
      </c>
      <c r="N26" s="22">
        <v>824007</v>
      </c>
      <c r="O26" s="22">
        <v>0</v>
      </c>
      <c r="P26" s="22">
        <v>0</v>
      </c>
      <c r="Q26" s="22">
        <v>0</v>
      </c>
      <c r="R26" s="13">
        <v>0</v>
      </c>
      <c r="S26" s="22">
        <v>0</v>
      </c>
      <c r="T26" s="21">
        <v>74000</v>
      </c>
      <c r="U26" s="21">
        <v>110000</v>
      </c>
      <c r="V26" s="21">
        <v>58033</v>
      </c>
      <c r="W26" s="13">
        <f>V26/U26*100</f>
        <v>52.757272727272728</v>
      </c>
      <c r="X26" s="21">
        <v>0</v>
      </c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6"/>
        <v>0</v>
      </c>
      <c r="F27" s="12">
        <f t="shared" si="6"/>
        <v>0</v>
      </c>
      <c r="G27" s="12">
        <f t="shared" si="6"/>
        <v>0</v>
      </c>
      <c r="H27" s="26">
        <v>0</v>
      </c>
      <c r="I27" s="12">
        <f t="shared" si="6"/>
        <v>0</v>
      </c>
      <c r="J27" s="20">
        <v>0</v>
      </c>
      <c r="K27" s="22">
        <v>0</v>
      </c>
      <c r="L27" s="22">
        <v>0</v>
      </c>
      <c r="M27" s="13">
        <v>0</v>
      </c>
      <c r="N27" s="12">
        <v>0</v>
      </c>
      <c r="O27" s="22">
        <v>0</v>
      </c>
      <c r="P27" s="22">
        <v>0</v>
      </c>
      <c r="Q27" s="22">
        <v>0</v>
      </c>
      <c r="R27" s="13">
        <v>0</v>
      </c>
      <c r="S27" s="22">
        <v>0</v>
      </c>
      <c r="T27" s="30">
        <v>0</v>
      </c>
      <c r="U27" s="21">
        <v>0</v>
      </c>
      <c r="V27" s="47"/>
      <c r="W27" s="13">
        <v>0</v>
      </c>
      <c r="X27" s="21">
        <v>0</v>
      </c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270000</v>
      </c>
      <c r="F28" s="12">
        <f>SUM(K28,P28)</f>
        <v>270000</v>
      </c>
      <c r="G28" s="12">
        <f>SUM(L28,Q28)</f>
        <v>34475</v>
      </c>
      <c r="H28" s="26">
        <f>G28/F28*100</f>
        <v>12.768518518518517</v>
      </c>
      <c r="I28" s="12">
        <f>SUM(N28,S28)</f>
        <v>120281</v>
      </c>
      <c r="J28" s="20">
        <v>130000</v>
      </c>
      <c r="K28" s="22">
        <v>130000</v>
      </c>
      <c r="L28" s="22">
        <f>34475-Q28</f>
        <v>30996</v>
      </c>
      <c r="M28" s="13">
        <f>L28/K28*100</f>
        <v>23.843076923076922</v>
      </c>
      <c r="N28" s="12">
        <v>97337</v>
      </c>
      <c r="O28" s="22">
        <v>140000</v>
      </c>
      <c r="P28" s="22">
        <v>140000</v>
      </c>
      <c r="Q28" s="22">
        <v>3479</v>
      </c>
      <c r="R28" s="13">
        <f>Q28/P28*100</f>
        <v>2.4849999999999999</v>
      </c>
      <c r="S28" s="22">
        <v>22944</v>
      </c>
      <c r="T28" s="30">
        <v>0</v>
      </c>
      <c r="U28" s="21">
        <v>0</v>
      </c>
      <c r="V28" s="47"/>
      <c r="W28" s="13">
        <v>0</v>
      </c>
      <c r="X28" s="21">
        <v>0</v>
      </c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6"/>
        <v>1000</v>
      </c>
      <c r="F29" s="12">
        <f t="shared" si="6"/>
        <v>26100</v>
      </c>
      <c r="G29" s="12">
        <f t="shared" si="6"/>
        <v>26080</v>
      </c>
      <c r="H29" s="26">
        <f t="shared" si="0"/>
        <v>99.923371647509569</v>
      </c>
      <c r="I29" s="12">
        <f t="shared" si="6"/>
        <v>1470</v>
      </c>
      <c r="J29" s="20">
        <v>1000</v>
      </c>
      <c r="K29" s="22">
        <f>1000+25100</f>
        <v>26100</v>
      </c>
      <c r="L29" s="22">
        <v>26080</v>
      </c>
      <c r="M29" s="13">
        <f t="shared" si="2"/>
        <v>99.923371647509569</v>
      </c>
      <c r="N29" s="22">
        <v>1470</v>
      </c>
      <c r="O29" s="22">
        <v>0</v>
      </c>
      <c r="P29" s="22">
        <v>0</v>
      </c>
      <c r="Q29" s="22">
        <v>0</v>
      </c>
      <c r="R29" s="13">
        <v>0</v>
      </c>
      <c r="S29" s="22">
        <v>0</v>
      </c>
      <c r="T29" s="30">
        <v>0</v>
      </c>
      <c r="U29" s="21">
        <v>0</v>
      </c>
      <c r="V29" s="47"/>
      <c r="W29" s="13">
        <v>0</v>
      </c>
      <c r="X29" s="21">
        <v>0</v>
      </c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7">SUM(J30,O30)</f>
        <v>0</v>
      </c>
      <c r="F30" s="12">
        <f t="shared" si="7"/>
        <v>0</v>
      </c>
      <c r="G30" s="12">
        <f t="shared" si="7"/>
        <v>0</v>
      </c>
      <c r="H30" s="26">
        <v>0</v>
      </c>
      <c r="I30" s="12">
        <f>SUM(N30,S30)</f>
        <v>0</v>
      </c>
      <c r="J30" s="20">
        <v>0</v>
      </c>
      <c r="K30" s="22">
        <v>0</v>
      </c>
      <c r="L30" s="22">
        <v>0</v>
      </c>
      <c r="M30" s="13">
        <v>0</v>
      </c>
      <c r="N30" s="22">
        <v>0</v>
      </c>
      <c r="O30" s="22">
        <v>0</v>
      </c>
      <c r="P30" s="22">
        <v>0</v>
      </c>
      <c r="Q30" s="22">
        <v>0</v>
      </c>
      <c r="R30" s="13">
        <v>0</v>
      </c>
      <c r="S30" s="22">
        <v>0</v>
      </c>
      <c r="T30" s="30">
        <v>0</v>
      </c>
      <c r="U30" s="21">
        <v>0</v>
      </c>
      <c r="V30" s="47"/>
      <c r="W30" s="13">
        <v>0</v>
      </c>
      <c r="X30" s="21">
        <v>0</v>
      </c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26">
        <v>0</v>
      </c>
      <c r="I31" s="12">
        <f>SUM(N31,S31)</f>
        <v>0</v>
      </c>
      <c r="J31" s="20">
        <v>0</v>
      </c>
      <c r="K31" s="29">
        <v>0</v>
      </c>
      <c r="L31" s="29">
        <v>0</v>
      </c>
      <c r="M31" s="13">
        <v>0</v>
      </c>
      <c r="N31" s="29">
        <v>0</v>
      </c>
      <c r="O31" s="29">
        <v>0</v>
      </c>
      <c r="P31" s="29">
        <v>0</v>
      </c>
      <c r="Q31" s="29">
        <v>0</v>
      </c>
      <c r="R31" s="13">
        <v>0</v>
      </c>
      <c r="S31" s="29">
        <v>0</v>
      </c>
      <c r="T31" s="30">
        <v>0</v>
      </c>
      <c r="U31" s="30">
        <v>0</v>
      </c>
      <c r="V31" s="30"/>
      <c r="W31" s="13">
        <v>0</v>
      </c>
      <c r="X31" s="30">
        <v>0</v>
      </c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26">
        <v>0</v>
      </c>
      <c r="I32" s="12">
        <f>SUM(N32,S32)</f>
        <v>0</v>
      </c>
      <c r="J32" s="32">
        <v>0</v>
      </c>
      <c r="K32" s="30">
        <v>0</v>
      </c>
      <c r="L32" s="30">
        <v>0</v>
      </c>
      <c r="M32" s="13">
        <v>0</v>
      </c>
      <c r="N32" s="30">
        <v>0</v>
      </c>
      <c r="O32" s="30">
        <v>0</v>
      </c>
      <c r="P32" s="30">
        <v>0</v>
      </c>
      <c r="Q32" s="30">
        <v>0</v>
      </c>
      <c r="R32" s="13">
        <v>0</v>
      </c>
      <c r="S32" s="30">
        <v>0</v>
      </c>
      <c r="T32" s="30">
        <v>0</v>
      </c>
      <c r="U32" s="30">
        <v>0</v>
      </c>
      <c r="V32" s="30"/>
      <c r="W32" s="13">
        <v>0</v>
      </c>
      <c r="X32" s="30">
        <v>0</v>
      </c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320108.76999999955</v>
      </c>
      <c r="H33" s="34" t="e">
        <f t="shared" si="0"/>
        <v>#DIV/0!</v>
      </c>
      <c r="I33" s="8">
        <f>I6-I11</f>
        <v>241173</v>
      </c>
      <c r="J33" s="8">
        <f>J6-J11</f>
        <v>0</v>
      </c>
      <c r="K33" s="8">
        <f>K6-K11</f>
        <v>0</v>
      </c>
      <c r="L33" s="8">
        <f>L6-L11</f>
        <v>320108.77000000048</v>
      </c>
      <c r="M33" s="9" t="e">
        <f t="shared" si="2"/>
        <v>#DIV/0!</v>
      </c>
      <c r="N33" s="8">
        <f>N6-N11</f>
        <v>241173</v>
      </c>
      <c r="O33" s="8">
        <f>O6-O11</f>
        <v>0</v>
      </c>
      <c r="P33" s="8">
        <f>P6-P11</f>
        <v>0</v>
      </c>
      <c r="Q33" s="8">
        <f>Q6-Q11</f>
        <v>0</v>
      </c>
      <c r="R33" s="9" t="e">
        <f t="shared" si="3"/>
        <v>#DIV/0!</v>
      </c>
      <c r="S33" s="8">
        <f>S6-S11</f>
        <v>0</v>
      </c>
      <c r="T33" s="8">
        <f>T6-T11</f>
        <v>156500</v>
      </c>
      <c r="U33" s="8">
        <f>U6-U11</f>
        <v>127500</v>
      </c>
      <c r="V33" s="8">
        <f>V6-V11</f>
        <v>86552.87</v>
      </c>
      <c r="W33" s="9">
        <f t="shared" si="4"/>
        <v>67.884603921568626</v>
      </c>
      <c r="X33" s="8">
        <f>X6-X11</f>
        <v>81176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f>E19/E35/12</f>
        <v>24434.741049704553</v>
      </c>
      <c r="F34" s="37">
        <f>F19/F35/12</f>
        <v>24442.273174685892</v>
      </c>
      <c r="G34" s="37">
        <f>G19/G35/6</f>
        <v>25722.422680412372</v>
      </c>
      <c r="H34" s="26">
        <f t="shared" si="0"/>
        <v>105.23744046463032</v>
      </c>
      <c r="I34" s="37">
        <f>I19/I35/6</f>
        <v>23116.184210526317</v>
      </c>
      <c r="J34" s="38"/>
      <c r="K34" s="38"/>
      <c r="L34" s="38"/>
      <c r="M34" s="9" t="e">
        <f t="shared" si="2"/>
        <v>#DIV/0!</v>
      </c>
      <c r="N34" s="38"/>
      <c r="O34" s="38"/>
      <c r="P34" s="38"/>
      <c r="Q34" s="38"/>
      <c r="R34" s="9" t="e">
        <f t="shared" si="3"/>
        <v>#DIV/0!</v>
      </c>
      <c r="S34" s="38"/>
      <c r="T34" s="38"/>
      <c r="U34" s="38"/>
      <c r="V34" s="38"/>
      <c r="W34" s="9" t="e">
        <f t="shared" si="4"/>
        <v>#DIV/0!</v>
      </c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269">
        <v>57.54</v>
      </c>
      <c r="F35" s="269">
        <v>57.57</v>
      </c>
      <c r="G35" s="269">
        <v>54.32</v>
      </c>
      <c r="H35" s="26">
        <f t="shared" si="0"/>
        <v>94.354698627757514</v>
      </c>
      <c r="I35" s="37">
        <v>57</v>
      </c>
      <c r="J35" s="38"/>
      <c r="K35" s="49"/>
      <c r="L35" s="38"/>
      <c r="M35" s="9" t="e">
        <f t="shared" si="2"/>
        <v>#DIV/0!</v>
      </c>
      <c r="N35" s="38"/>
      <c r="O35" s="38"/>
      <c r="P35" s="38"/>
      <c r="Q35" s="38"/>
      <c r="R35" s="9" t="e">
        <f t="shared" si="3"/>
        <v>#DIV/0!</v>
      </c>
      <c r="S35" s="38"/>
      <c r="T35" s="38"/>
      <c r="U35" s="38"/>
      <c r="V35" s="38"/>
      <c r="W35" s="9" t="e">
        <f t="shared" si="4"/>
        <v>#DIV/0!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269">
        <v>60</v>
      </c>
      <c r="F36" s="269">
        <v>60</v>
      </c>
      <c r="G36" s="269">
        <v>60.231999999999999</v>
      </c>
      <c r="H36" s="26">
        <f t="shared" si="0"/>
        <v>100.38666666666667</v>
      </c>
      <c r="I36" s="37">
        <v>61</v>
      </c>
      <c r="J36" s="38"/>
      <c r="K36" s="38"/>
      <c r="L36" s="38"/>
      <c r="M36" s="9" t="e">
        <f t="shared" si="2"/>
        <v>#DIV/0!</v>
      </c>
      <c r="N36" s="38"/>
      <c r="O36" s="38"/>
      <c r="P36" s="38"/>
      <c r="Q36" s="38"/>
      <c r="R36" s="9" t="e">
        <f t="shared" si="3"/>
        <v>#DIV/0!</v>
      </c>
      <c r="S36" s="38"/>
      <c r="T36" s="38"/>
      <c r="U36" s="38"/>
      <c r="V36" s="38"/>
      <c r="W36" s="9" t="e">
        <f t="shared" si="4"/>
        <v>#DIV/0!</v>
      </c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67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8.75" x14ac:dyDescent="0.3">
      <c r="A1" s="919" t="s">
        <v>664</v>
      </c>
      <c r="B1" s="919"/>
      <c r="C1" s="919"/>
      <c r="D1" s="919"/>
      <c r="E1" s="919"/>
      <c r="F1" s="919"/>
      <c r="G1" s="919"/>
      <c r="H1" s="919"/>
      <c r="I1" s="919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44.25" customHeight="1" x14ac:dyDescent="0.2">
      <c r="A6" s="911" t="s">
        <v>107</v>
      </c>
      <c r="B6" s="912"/>
      <c r="C6" s="337">
        <v>320108.77</v>
      </c>
      <c r="D6" s="913" t="s">
        <v>665</v>
      </c>
      <c r="E6" s="913"/>
      <c r="F6" s="913"/>
      <c r="G6" s="913"/>
      <c r="H6" s="913"/>
      <c r="I6" s="913"/>
    </row>
    <row r="7" spans="1:14" s="338" customFormat="1" ht="26.25" customHeight="1" x14ac:dyDescent="0.15">
      <c r="A7" s="911" t="s">
        <v>92</v>
      </c>
      <c r="B7" s="912"/>
      <c r="C7" s="337">
        <v>86552.87</v>
      </c>
      <c r="D7" s="913" t="s">
        <v>666</v>
      </c>
      <c r="E7" s="913"/>
      <c r="F7" s="913"/>
      <c r="G7" s="913"/>
      <c r="H7" s="913"/>
      <c r="I7" s="913"/>
    </row>
    <row r="8" spans="1:14" s="338" customFormat="1" ht="10.5" x14ac:dyDescent="0.15">
      <c r="A8" s="911" t="s">
        <v>110</v>
      </c>
      <c r="B8" s="912"/>
      <c r="C8" s="337">
        <v>0</v>
      </c>
      <c r="D8" s="915"/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14" s="334" customFormat="1" ht="93.75" customHeight="1" x14ac:dyDescent="0.2">
      <c r="A13" s="437" t="s">
        <v>187</v>
      </c>
      <c r="B13" s="438">
        <f>209755.92+14844.62</f>
        <v>224600.54</v>
      </c>
      <c r="C13" s="438">
        <v>140966.72</v>
      </c>
      <c r="D13" s="438">
        <v>0</v>
      </c>
      <c r="E13" s="438">
        <f>B13+C13-D13</f>
        <v>365567.26</v>
      </c>
      <c r="F13" s="438">
        <v>365567.26</v>
      </c>
      <c r="G13" s="904" t="s">
        <v>667</v>
      </c>
      <c r="H13" s="905"/>
      <c r="I13" s="906"/>
    </row>
    <row r="14" spans="1:14" s="334" customFormat="1" ht="33.75" customHeight="1" x14ac:dyDescent="0.2">
      <c r="A14" s="440" t="s">
        <v>214</v>
      </c>
      <c r="B14" s="441">
        <v>122297.34</v>
      </c>
      <c r="C14" s="441">
        <v>725294</v>
      </c>
      <c r="D14" s="441">
        <v>588014</v>
      </c>
      <c r="E14" s="441">
        <f>B14+C14-D14</f>
        <v>259577.33999999997</v>
      </c>
      <c r="F14" s="441">
        <v>259577.34</v>
      </c>
      <c r="G14" s="862" t="s">
        <v>668</v>
      </c>
      <c r="H14" s="863"/>
      <c r="I14" s="864"/>
      <c r="N14" s="349"/>
    </row>
    <row r="15" spans="1:14" s="334" customFormat="1" ht="31.5" customHeight="1" x14ac:dyDescent="0.2">
      <c r="A15" s="440" t="s">
        <v>191</v>
      </c>
      <c r="B15" s="441">
        <v>91463.72</v>
      </c>
      <c r="C15" s="441">
        <v>20000</v>
      </c>
      <c r="D15" s="441">
        <v>0</v>
      </c>
      <c r="E15" s="441">
        <f>B15+C15-D15</f>
        <v>111463.72</v>
      </c>
      <c r="F15" s="441">
        <v>111463.72</v>
      </c>
      <c r="G15" s="862" t="s">
        <v>669</v>
      </c>
      <c r="H15" s="863"/>
      <c r="I15" s="864"/>
    </row>
    <row r="16" spans="1:14" s="334" customFormat="1" ht="61.5" customHeight="1" x14ac:dyDescent="0.2">
      <c r="A16" s="443" t="s">
        <v>193</v>
      </c>
      <c r="B16" s="444">
        <v>164087.01</v>
      </c>
      <c r="C16" s="444">
        <v>166331</v>
      </c>
      <c r="D16" s="444">
        <v>132311</v>
      </c>
      <c r="E16" s="441">
        <f>B16+C16-D16</f>
        <v>198107.01</v>
      </c>
      <c r="F16" s="441">
        <v>190788.44</v>
      </c>
      <c r="G16" s="907" t="s">
        <v>670</v>
      </c>
      <c r="H16" s="908"/>
      <c r="I16" s="909"/>
    </row>
    <row r="17" spans="1:9" s="334" customFormat="1" ht="11.25" x14ac:dyDescent="0.2">
      <c r="A17" s="353" t="s">
        <v>90</v>
      </c>
      <c r="B17" s="354">
        <f>SUM(B13:B16)</f>
        <v>602448.61</v>
      </c>
      <c r="C17" s="354">
        <f t="shared" ref="C17:F17" si="0">SUM(C13:C16)</f>
        <v>1052591.72</v>
      </c>
      <c r="D17" s="354">
        <f t="shared" si="0"/>
        <v>720325</v>
      </c>
      <c r="E17" s="354">
        <f t="shared" si="0"/>
        <v>934715.33</v>
      </c>
      <c r="F17" s="354">
        <f t="shared" si="0"/>
        <v>927396.76</v>
      </c>
      <c r="G17" s="910"/>
      <c r="H17" s="910"/>
      <c r="I17" s="91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1064" t="s">
        <v>498</v>
      </c>
      <c r="B22" s="358">
        <v>0</v>
      </c>
      <c r="C22" s="368">
        <v>9999</v>
      </c>
      <c r="D22" s="897"/>
      <c r="E22" s="898"/>
      <c r="F22" s="898"/>
      <c r="G22" s="898"/>
      <c r="H22" s="898"/>
      <c r="I22" s="899"/>
    </row>
    <row r="23" spans="1:9" s="334" customFormat="1" ht="11.25" customHeight="1" x14ac:dyDescent="0.2">
      <c r="A23" s="883"/>
      <c r="B23" s="741">
        <v>0</v>
      </c>
      <c r="C23" s="456">
        <v>9999</v>
      </c>
      <c r="D23" s="885"/>
      <c r="E23" s="886"/>
      <c r="F23" s="886"/>
      <c r="G23" s="886"/>
      <c r="H23" s="886"/>
      <c r="I23" s="887"/>
    </row>
    <row r="24" spans="1:9" s="334" customFormat="1" ht="11.25" customHeight="1" x14ac:dyDescent="0.2">
      <c r="A24" s="1065"/>
      <c r="B24" s="362">
        <v>0</v>
      </c>
      <c r="C24" s="362" t="s">
        <v>279</v>
      </c>
      <c r="D24" s="885"/>
      <c r="E24" s="886"/>
      <c r="F24" s="886"/>
      <c r="G24" s="886"/>
      <c r="H24" s="886"/>
      <c r="I24" s="887"/>
    </row>
    <row r="25" spans="1:9" s="334" customFormat="1" ht="11.25" customHeight="1" x14ac:dyDescent="0.2">
      <c r="A25" s="1064" t="s">
        <v>498</v>
      </c>
      <c r="B25" s="360">
        <v>0</v>
      </c>
      <c r="C25" s="579">
        <v>9999</v>
      </c>
      <c r="D25" s="885"/>
      <c r="E25" s="886"/>
      <c r="F25" s="886"/>
      <c r="G25" s="886"/>
      <c r="H25" s="886"/>
      <c r="I25" s="887"/>
    </row>
    <row r="26" spans="1:9" s="334" customFormat="1" ht="11.25" customHeight="1" x14ac:dyDescent="0.2">
      <c r="A26" s="883"/>
      <c r="B26" s="362">
        <v>0</v>
      </c>
      <c r="C26" s="456">
        <v>9999</v>
      </c>
      <c r="D26" s="885"/>
      <c r="E26" s="886"/>
      <c r="F26" s="886"/>
      <c r="G26" s="886"/>
      <c r="H26" s="886"/>
      <c r="I26" s="887"/>
    </row>
    <row r="27" spans="1:9" s="334" customFormat="1" ht="11.25" customHeight="1" x14ac:dyDescent="0.2">
      <c r="A27" s="884"/>
      <c r="B27" s="362">
        <v>0</v>
      </c>
      <c r="C27" s="362" t="s">
        <v>279</v>
      </c>
      <c r="D27" s="885"/>
      <c r="E27" s="886"/>
      <c r="F27" s="886"/>
      <c r="G27" s="886"/>
      <c r="H27" s="886"/>
      <c r="I27" s="887"/>
    </row>
    <row r="28" spans="1:9" s="334" customFormat="1" ht="11.25" customHeight="1" x14ac:dyDescent="0.2">
      <c r="A28" s="883" t="s">
        <v>404</v>
      </c>
      <c r="B28" s="360">
        <v>0</v>
      </c>
      <c r="C28" s="579">
        <v>9999</v>
      </c>
      <c r="D28" s="885"/>
      <c r="E28" s="886"/>
      <c r="F28" s="886"/>
      <c r="G28" s="886"/>
      <c r="H28" s="886"/>
      <c r="I28" s="887"/>
    </row>
    <row r="29" spans="1:9" s="334" customFormat="1" ht="11.25" customHeight="1" x14ac:dyDescent="0.2">
      <c r="A29" s="884"/>
      <c r="B29" s="362">
        <v>0</v>
      </c>
      <c r="C29" s="456">
        <v>9999</v>
      </c>
      <c r="D29" s="885"/>
      <c r="E29" s="886"/>
      <c r="F29" s="886"/>
      <c r="G29" s="886"/>
      <c r="H29" s="886"/>
      <c r="I29" s="887"/>
    </row>
    <row r="30" spans="1:9" s="338" customFormat="1" ht="11.25" x14ac:dyDescent="0.2">
      <c r="A30" s="365" t="s">
        <v>90</v>
      </c>
      <c r="B30" s="366">
        <f>SUM(B22:B29)</f>
        <v>0</v>
      </c>
      <c r="C30" s="900"/>
      <c r="D30" s="900"/>
      <c r="E30" s="900"/>
      <c r="F30" s="900"/>
      <c r="G30" s="900"/>
      <c r="H30" s="900"/>
      <c r="I30" s="901"/>
    </row>
    <row r="31" spans="1:9" s="355" customFormat="1" ht="11.25" x14ac:dyDescent="0.2">
      <c r="C31" s="356"/>
    </row>
    <row r="32" spans="1:9" s="340" customFormat="1" ht="11.25" x14ac:dyDescent="0.2">
      <c r="A32" s="861" t="s">
        <v>140</v>
      </c>
      <c r="B32" s="861"/>
      <c r="C32" s="861"/>
      <c r="D32" s="861"/>
      <c r="E32" s="861"/>
      <c r="F32" s="861"/>
      <c r="G32" s="861"/>
      <c r="H32" s="861"/>
      <c r="I32" s="861"/>
    </row>
    <row r="33" spans="1:9" s="334" customFormat="1" ht="11.25" x14ac:dyDescent="0.2">
      <c r="C33" s="339"/>
    </row>
    <row r="34" spans="1:9" s="334" customFormat="1" ht="11.25" x14ac:dyDescent="0.2">
      <c r="A34" s="335" t="s">
        <v>130</v>
      </c>
      <c r="B34" s="335" t="s">
        <v>16</v>
      </c>
      <c r="C34" s="357" t="s">
        <v>131</v>
      </c>
      <c r="D34" s="902" t="s">
        <v>141</v>
      </c>
      <c r="E34" s="902"/>
      <c r="F34" s="902"/>
      <c r="G34" s="902"/>
      <c r="H34" s="902"/>
      <c r="I34" s="903"/>
    </row>
    <row r="35" spans="1:9" s="334" customFormat="1" ht="11.25" customHeight="1" x14ac:dyDescent="0.2">
      <c r="A35" s="1064" t="s">
        <v>498</v>
      </c>
      <c r="B35" s="358">
        <v>0</v>
      </c>
      <c r="C35" s="368">
        <v>9999</v>
      </c>
      <c r="D35" s="897"/>
      <c r="E35" s="898"/>
      <c r="F35" s="898"/>
      <c r="G35" s="898"/>
      <c r="H35" s="898"/>
      <c r="I35" s="899"/>
    </row>
    <row r="36" spans="1:9" s="334" customFormat="1" ht="11.25" customHeight="1" x14ac:dyDescent="0.2">
      <c r="A36" s="883"/>
      <c r="B36" s="362">
        <v>0</v>
      </c>
      <c r="C36" s="456">
        <v>9999</v>
      </c>
      <c r="D36" s="885"/>
      <c r="E36" s="886"/>
      <c r="F36" s="886"/>
      <c r="G36" s="886"/>
      <c r="H36" s="886"/>
      <c r="I36" s="887"/>
    </row>
    <row r="37" spans="1:9" s="334" customFormat="1" ht="11.25" customHeight="1" x14ac:dyDescent="0.2">
      <c r="A37" s="884"/>
      <c r="B37" s="362">
        <v>0</v>
      </c>
      <c r="C37" s="362" t="s">
        <v>279</v>
      </c>
      <c r="D37" s="885"/>
      <c r="E37" s="886"/>
      <c r="F37" s="886"/>
      <c r="G37" s="886"/>
      <c r="H37" s="886"/>
      <c r="I37" s="887"/>
    </row>
    <row r="38" spans="1:9" s="334" customFormat="1" ht="11.25" customHeight="1" x14ac:dyDescent="0.2">
      <c r="A38" s="883" t="s">
        <v>498</v>
      </c>
      <c r="B38" s="360">
        <v>0</v>
      </c>
      <c r="C38" s="579">
        <v>9999</v>
      </c>
      <c r="D38" s="885"/>
      <c r="E38" s="886"/>
      <c r="F38" s="886"/>
      <c r="G38" s="886"/>
      <c r="H38" s="886"/>
      <c r="I38" s="887"/>
    </row>
    <row r="39" spans="1:9" s="334" customFormat="1" ht="11.25" customHeight="1" x14ac:dyDescent="0.2">
      <c r="A39" s="883"/>
      <c r="B39" s="362">
        <v>0</v>
      </c>
      <c r="C39" s="456">
        <v>9999</v>
      </c>
      <c r="D39" s="885"/>
      <c r="E39" s="886"/>
      <c r="F39" s="886"/>
      <c r="G39" s="886"/>
      <c r="H39" s="886"/>
      <c r="I39" s="887"/>
    </row>
    <row r="40" spans="1:9" s="334" customFormat="1" ht="11.25" customHeight="1" x14ac:dyDescent="0.2">
      <c r="A40" s="884"/>
      <c r="B40" s="362">
        <v>0</v>
      </c>
      <c r="C40" s="362" t="s">
        <v>279</v>
      </c>
      <c r="D40" s="885"/>
      <c r="E40" s="886"/>
      <c r="F40" s="886"/>
      <c r="G40" s="886"/>
      <c r="H40" s="886"/>
      <c r="I40" s="887"/>
    </row>
    <row r="41" spans="1:9" s="334" customFormat="1" ht="11.25" customHeight="1" x14ac:dyDescent="0.2">
      <c r="A41" s="883" t="s">
        <v>279</v>
      </c>
      <c r="B41" s="360">
        <v>0</v>
      </c>
      <c r="C41" s="579">
        <v>9999</v>
      </c>
      <c r="D41" s="885"/>
      <c r="E41" s="886"/>
      <c r="F41" s="886"/>
      <c r="G41" s="886"/>
      <c r="H41" s="886"/>
      <c r="I41" s="887"/>
    </row>
    <row r="42" spans="1:9" s="334" customFormat="1" ht="11.25" customHeight="1" x14ac:dyDescent="0.2">
      <c r="A42" s="884"/>
      <c r="B42" s="362">
        <v>0</v>
      </c>
      <c r="C42" s="456">
        <v>9999</v>
      </c>
      <c r="D42" s="888"/>
      <c r="E42" s="889"/>
      <c r="F42" s="889"/>
      <c r="G42" s="889"/>
      <c r="H42" s="889"/>
      <c r="I42" s="890"/>
    </row>
    <row r="43" spans="1:9" s="338" customFormat="1" ht="10.5" x14ac:dyDescent="0.15">
      <c r="A43" s="365" t="s">
        <v>90</v>
      </c>
      <c r="B43" s="366">
        <f>SUM(B35:B42)</f>
        <v>0</v>
      </c>
      <c r="C43" s="891"/>
      <c r="D43" s="891"/>
      <c r="E43" s="891"/>
      <c r="F43" s="891"/>
      <c r="G43" s="891"/>
      <c r="H43" s="891"/>
      <c r="I43" s="891"/>
    </row>
    <row r="44" spans="1:9" s="334" customFormat="1" ht="11.25" x14ac:dyDescent="0.2">
      <c r="C44" s="339"/>
    </row>
    <row r="45" spans="1:9" s="340" customFormat="1" ht="11.25" x14ac:dyDescent="0.2">
      <c r="A45" s="861" t="s">
        <v>143</v>
      </c>
      <c r="B45" s="861"/>
      <c r="C45" s="861"/>
      <c r="D45" s="861"/>
      <c r="E45" s="861"/>
      <c r="F45" s="861"/>
      <c r="G45" s="861"/>
      <c r="H45" s="861"/>
      <c r="I45" s="861"/>
    </row>
    <row r="46" spans="1:9" s="334" customFormat="1" ht="11.25" x14ac:dyDescent="0.2">
      <c r="C46" s="369"/>
    </row>
    <row r="47" spans="1:9" s="334" customFormat="1" ht="11.25" x14ac:dyDescent="0.2">
      <c r="A47" s="335" t="s">
        <v>144</v>
      </c>
      <c r="B47" s="357" t="s">
        <v>145</v>
      </c>
      <c r="C47" s="892" t="s">
        <v>146</v>
      </c>
      <c r="D47" s="892"/>
      <c r="E47" s="892"/>
      <c r="F47" s="892"/>
      <c r="G47" s="892"/>
      <c r="H47" s="892"/>
      <c r="I47" s="893"/>
    </row>
    <row r="48" spans="1:9" s="334" customFormat="1" ht="11.25" x14ac:dyDescent="0.2">
      <c r="A48" s="370">
        <v>0</v>
      </c>
      <c r="B48" s="370">
        <v>0</v>
      </c>
      <c r="C48" s="934" t="s">
        <v>671</v>
      </c>
      <c r="D48" s="934"/>
      <c r="E48" s="934"/>
      <c r="F48" s="934"/>
      <c r="G48" s="934"/>
      <c r="H48" s="934"/>
      <c r="I48" s="934"/>
    </row>
    <row r="49" spans="1:9" s="334" customFormat="1" ht="11.25" x14ac:dyDescent="0.2">
      <c r="A49" s="462">
        <v>0</v>
      </c>
      <c r="B49" s="462">
        <v>0</v>
      </c>
      <c r="C49" s="877"/>
      <c r="D49" s="877"/>
      <c r="E49" s="877"/>
      <c r="F49" s="877"/>
      <c r="G49" s="877"/>
      <c r="H49" s="877"/>
      <c r="I49" s="877"/>
    </row>
    <row r="50" spans="1:9" s="338" customFormat="1" ht="10.5" x14ac:dyDescent="0.15">
      <c r="A50" s="371">
        <f>SUM(A48:A49)</f>
        <v>0</v>
      </c>
      <c r="B50" s="371">
        <f>SUM(B48:B49)</f>
        <v>0</v>
      </c>
      <c r="C50" s="878" t="s">
        <v>90</v>
      </c>
      <c r="D50" s="879"/>
      <c r="E50" s="879"/>
      <c r="F50" s="879"/>
      <c r="G50" s="879"/>
      <c r="H50" s="879"/>
      <c r="I50" s="880"/>
    </row>
    <row r="51" spans="1:9" s="334" customFormat="1" ht="11.25" x14ac:dyDescent="0.2">
      <c r="C51" s="369"/>
    </row>
    <row r="52" spans="1:9" s="334" customFormat="1" ht="11.25" x14ac:dyDescent="0.2">
      <c r="A52" s="861" t="s">
        <v>148</v>
      </c>
      <c r="B52" s="865"/>
      <c r="C52" s="865"/>
      <c r="D52" s="865"/>
      <c r="E52" s="865"/>
      <c r="F52" s="865"/>
      <c r="G52" s="865"/>
      <c r="H52" s="865"/>
      <c r="I52" s="865"/>
    </row>
    <row r="53" spans="1:9" s="334" customFormat="1" ht="11.25" x14ac:dyDescent="0.2">
      <c r="C53" s="369"/>
    </row>
    <row r="54" spans="1:9" s="373" customFormat="1" ht="31.5" x14ac:dyDescent="0.25">
      <c r="A54" s="866" t="s">
        <v>149</v>
      </c>
      <c r="B54" s="867"/>
      <c r="C54" s="372" t="s">
        <v>150</v>
      </c>
      <c r="D54" s="372" t="s">
        <v>151</v>
      </c>
      <c r="E54" s="372" t="s">
        <v>152</v>
      </c>
      <c r="F54" s="372" t="s">
        <v>153</v>
      </c>
      <c r="G54" s="372" t="s">
        <v>154</v>
      </c>
    </row>
    <row r="55" spans="1:9" s="334" customFormat="1" ht="26.25" customHeight="1" x14ac:dyDescent="0.2">
      <c r="A55" s="1062" t="s">
        <v>672</v>
      </c>
      <c r="B55" s="1063"/>
      <c r="C55" s="742" t="s">
        <v>673</v>
      </c>
      <c r="D55" s="389">
        <v>51000</v>
      </c>
      <c r="E55" s="389">
        <v>0</v>
      </c>
      <c r="F55" s="743" t="s">
        <v>674</v>
      </c>
      <c r="G55" s="743" t="s">
        <v>674</v>
      </c>
    </row>
    <row r="56" spans="1:9" s="334" customFormat="1" ht="33.75" x14ac:dyDescent="0.2">
      <c r="A56" s="1055" t="s">
        <v>672</v>
      </c>
      <c r="B56" s="1057"/>
      <c r="C56" s="744" t="s">
        <v>673</v>
      </c>
      <c r="D56" s="745"/>
      <c r="E56" s="606">
        <v>51000</v>
      </c>
      <c r="F56" s="746" t="s">
        <v>674</v>
      </c>
      <c r="G56" s="746" t="s">
        <v>674</v>
      </c>
    </row>
    <row r="57" spans="1:9" s="334" customFormat="1" ht="33.75" x14ac:dyDescent="0.2">
      <c r="A57" s="1058" t="s">
        <v>675</v>
      </c>
      <c r="B57" s="1059"/>
      <c r="C57" s="744" t="s">
        <v>673</v>
      </c>
      <c r="D57" s="747">
        <v>480000</v>
      </c>
      <c r="E57" s="747"/>
      <c r="F57" s="748" t="s">
        <v>676</v>
      </c>
      <c r="G57" s="748" t="s">
        <v>676</v>
      </c>
    </row>
    <row r="58" spans="1:9" s="334" customFormat="1" ht="33.75" x14ac:dyDescent="0.2">
      <c r="A58" s="1060" t="s">
        <v>675</v>
      </c>
      <c r="B58" s="1061"/>
      <c r="C58" s="744" t="s">
        <v>673</v>
      </c>
      <c r="D58" s="747"/>
      <c r="E58" s="749">
        <v>480000</v>
      </c>
      <c r="F58" s="750" t="s">
        <v>676</v>
      </c>
      <c r="G58" s="750" t="s">
        <v>676</v>
      </c>
    </row>
    <row r="59" spans="1:9" s="334" customFormat="1" ht="15" customHeight="1" x14ac:dyDescent="0.2">
      <c r="A59" s="1060" t="s">
        <v>677</v>
      </c>
      <c r="B59" s="1061"/>
      <c r="C59" s="751" t="s">
        <v>678</v>
      </c>
      <c r="D59" s="749"/>
      <c r="E59" s="606">
        <v>11000</v>
      </c>
      <c r="F59" s="746" t="s">
        <v>679</v>
      </c>
      <c r="G59" s="743" t="s">
        <v>679</v>
      </c>
    </row>
    <row r="60" spans="1:9" s="334" customFormat="1" ht="15" customHeight="1" x14ac:dyDescent="0.2">
      <c r="A60" s="1060" t="s">
        <v>680</v>
      </c>
      <c r="B60" s="1061"/>
      <c r="C60" s="752" t="s">
        <v>681</v>
      </c>
      <c r="D60" s="606">
        <v>11000</v>
      </c>
      <c r="E60" s="749"/>
      <c r="F60" s="746" t="s">
        <v>679</v>
      </c>
      <c r="G60" s="748" t="s">
        <v>679</v>
      </c>
    </row>
    <row r="61" spans="1:9" s="334" customFormat="1" ht="15" customHeight="1" x14ac:dyDescent="0.2">
      <c r="A61" s="1060" t="s">
        <v>682</v>
      </c>
      <c r="B61" s="1061"/>
      <c r="C61" s="751" t="s">
        <v>683</v>
      </c>
      <c r="D61" s="749"/>
      <c r="E61" s="389">
        <v>-21100</v>
      </c>
      <c r="F61" s="746" t="s">
        <v>679</v>
      </c>
      <c r="G61" s="746" t="s">
        <v>679</v>
      </c>
    </row>
    <row r="62" spans="1:9" s="334" customFormat="1" ht="22.5" customHeight="1" x14ac:dyDescent="0.2">
      <c r="A62" s="1055" t="s">
        <v>684</v>
      </c>
      <c r="B62" s="1056"/>
      <c r="C62" s="753" t="s">
        <v>685</v>
      </c>
      <c r="D62" s="606"/>
      <c r="E62" s="606">
        <v>21100</v>
      </c>
      <c r="F62" s="748" t="s">
        <v>679</v>
      </c>
      <c r="G62" s="754" t="s">
        <v>679</v>
      </c>
    </row>
    <row r="63" spans="1:9" s="334" customFormat="1" ht="11.25" x14ac:dyDescent="0.2">
      <c r="A63" s="872" t="s">
        <v>169</v>
      </c>
      <c r="B63" s="873"/>
      <c r="C63" s="387"/>
      <c r="D63" s="354">
        <f>SUM(D55:D62)</f>
        <v>542000</v>
      </c>
      <c r="E63" s="354">
        <f>SUM(E55:E62)</f>
        <v>542000</v>
      </c>
      <c r="F63" s="881"/>
      <c r="G63" s="882"/>
    </row>
    <row r="64" spans="1:9" s="334" customFormat="1" ht="11.25" x14ac:dyDescent="0.2">
      <c r="C64" s="369"/>
    </row>
    <row r="65" spans="1:9" s="334" customFormat="1" ht="11.25" x14ac:dyDescent="0.2">
      <c r="A65" s="865" t="s">
        <v>327</v>
      </c>
      <c r="B65" s="865"/>
      <c r="C65" s="865"/>
      <c r="D65" s="865"/>
      <c r="E65" s="865"/>
      <c r="F65" s="865"/>
      <c r="G65" s="865"/>
      <c r="H65" s="865"/>
      <c r="I65" s="865"/>
    </row>
    <row r="66" spans="1:9" s="334" customFormat="1" ht="11.25" x14ac:dyDescent="0.2">
      <c r="C66" s="369"/>
    </row>
    <row r="67" spans="1:9" s="373" customFormat="1" ht="31.5" x14ac:dyDescent="0.25">
      <c r="A67" s="866" t="s">
        <v>149</v>
      </c>
      <c r="B67" s="867"/>
      <c r="C67" s="372" t="s">
        <v>150</v>
      </c>
      <c r="D67" s="372" t="s">
        <v>151</v>
      </c>
      <c r="E67" s="372" t="s">
        <v>152</v>
      </c>
      <c r="F67" s="372" t="s">
        <v>153</v>
      </c>
      <c r="G67" s="372" t="s">
        <v>154</v>
      </c>
    </row>
    <row r="68" spans="1:9" s="334" customFormat="1" ht="11.25" customHeight="1" x14ac:dyDescent="0.2">
      <c r="A68" s="933" t="s">
        <v>686</v>
      </c>
      <c r="B68" s="905"/>
      <c r="C68" s="388" t="s">
        <v>687</v>
      </c>
      <c r="D68" s="389"/>
      <c r="E68" s="389">
        <v>14000</v>
      </c>
      <c r="F68" s="746" t="s">
        <v>679</v>
      </c>
      <c r="G68" s="746" t="s">
        <v>679</v>
      </c>
    </row>
    <row r="69" spans="1:9" s="334" customFormat="1" ht="11.25" customHeight="1" x14ac:dyDescent="0.2">
      <c r="A69" s="1054" t="s">
        <v>688</v>
      </c>
      <c r="B69" s="864"/>
      <c r="C69" s="755" t="s">
        <v>689</v>
      </c>
      <c r="D69" s="756"/>
      <c r="E69" s="749">
        <v>4000</v>
      </c>
      <c r="F69" s="746" t="s">
        <v>679</v>
      </c>
      <c r="G69" s="746" t="s">
        <v>679</v>
      </c>
    </row>
    <row r="70" spans="1:9" s="334" customFormat="1" ht="11.25" customHeight="1" x14ac:dyDescent="0.2">
      <c r="A70" s="1054" t="s">
        <v>690</v>
      </c>
      <c r="B70" s="864"/>
      <c r="C70" s="755" t="s">
        <v>691</v>
      </c>
      <c r="D70" s="749"/>
      <c r="E70" s="606">
        <v>50000</v>
      </c>
      <c r="F70" s="746" t="s">
        <v>679</v>
      </c>
      <c r="G70" s="746" t="s">
        <v>679</v>
      </c>
    </row>
    <row r="71" spans="1:9" s="334" customFormat="1" ht="24" customHeight="1" x14ac:dyDescent="0.2">
      <c r="A71" s="1054" t="s">
        <v>692</v>
      </c>
      <c r="B71" s="864"/>
      <c r="C71" s="757" t="s">
        <v>693</v>
      </c>
      <c r="D71" s="606"/>
      <c r="E71" s="758">
        <v>16000</v>
      </c>
      <c r="F71" s="746" t="s">
        <v>679</v>
      </c>
      <c r="G71" s="746" t="s">
        <v>679</v>
      </c>
    </row>
    <row r="72" spans="1:9" s="334" customFormat="1" ht="11.25" customHeight="1" x14ac:dyDescent="0.2">
      <c r="A72" s="759" t="s">
        <v>694</v>
      </c>
      <c r="B72" s="760"/>
      <c r="C72" s="605" t="s">
        <v>695</v>
      </c>
      <c r="D72" s="434"/>
      <c r="E72" s="606">
        <v>36000</v>
      </c>
      <c r="F72" s="746" t="s">
        <v>679</v>
      </c>
      <c r="G72" s="746" t="s">
        <v>679</v>
      </c>
    </row>
    <row r="73" spans="1:9" s="334" customFormat="1" ht="11.25" x14ac:dyDescent="0.2">
      <c r="A73" s="872" t="s">
        <v>169</v>
      </c>
      <c r="B73" s="873"/>
      <c r="C73" s="387"/>
      <c r="D73" s="354">
        <f>SUM(D68:D72)</f>
        <v>0</v>
      </c>
      <c r="E73" s="354">
        <f>SUM(E68:E72)</f>
        <v>120000</v>
      </c>
      <c r="F73" s="874"/>
      <c r="G73" s="875"/>
    </row>
    <row r="74" spans="1:9" s="334" customFormat="1" ht="11.25" x14ac:dyDescent="0.2">
      <c r="C74" s="369"/>
    </row>
    <row r="75" spans="1:9" s="340" customFormat="1" ht="11.25" x14ac:dyDescent="0.2">
      <c r="A75" s="860" t="s">
        <v>172</v>
      </c>
      <c r="B75" s="860"/>
      <c r="C75" s="860"/>
      <c r="D75" s="860"/>
      <c r="E75" s="860"/>
      <c r="F75" s="860"/>
      <c r="G75" s="860"/>
      <c r="H75" s="860"/>
      <c r="I75" s="860"/>
    </row>
    <row r="76" spans="1:9" s="334" customFormat="1" ht="11.25" x14ac:dyDescent="0.2"/>
    <row r="77" spans="1:9" s="334" customFormat="1" ht="11.25" x14ac:dyDescent="0.2">
      <c r="A77" s="862" t="s">
        <v>696</v>
      </c>
      <c r="B77" s="863"/>
      <c r="C77" s="863"/>
      <c r="D77" s="863"/>
      <c r="E77" s="863"/>
      <c r="F77" s="863"/>
      <c r="G77" s="863"/>
      <c r="H77" s="863"/>
      <c r="I77" s="864"/>
    </row>
    <row r="78" spans="1:9" s="334" customFormat="1" ht="11.25" x14ac:dyDescent="0.2">
      <c r="A78" s="862" t="s">
        <v>697</v>
      </c>
      <c r="B78" s="863"/>
      <c r="C78" s="863"/>
      <c r="D78" s="863"/>
      <c r="E78" s="863"/>
      <c r="F78" s="863"/>
      <c r="G78" s="863"/>
      <c r="H78" s="863"/>
      <c r="I78" s="864"/>
    </row>
    <row r="79" spans="1:9" s="334" customFormat="1" ht="11.25" x14ac:dyDescent="0.2">
      <c r="A79" s="862" t="s">
        <v>698</v>
      </c>
      <c r="B79" s="863"/>
      <c r="C79" s="863"/>
      <c r="D79" s="863"/>
      <c r="E79" s="863"/>
      <c r="F79" s="863"/>
      <c r="G79" s="863"/>
      <c r="H79" s="863"/>
      <c r="I79" s="864"/>
    </row>
    <row r="80" spans="1:9" s="334" customFormat="1" ht="13.5" customHeight="1" x14ac:dyDescent="0.2">
      <c r="A80" s="862" t="s">
        <v>699</v>
      </c>
      <c r="B80" s="863"/>
      <c r="C80" s="863"/>
      <c r="D80" s="863"/>
      <c r="E80" s="863"/>
      <c r="F80" s="863"/>
      <c r="G80" s="863"/>
      <c r="H80" s="863"/>
      <c r="I80" s="864"/>
    </row>
    <row r="81" spans="1:9" s="334" customFormat="1" ht="11.25" customHeight="1" x14ac:dyDescent="0.2">
      <c r="A81" s="862" t="s">
        <v>700</v>
      </c>
      <c r="B81" s="863"/>
      <c r="C81" s="863"/>
      <c r="D81" s="863"/>
      <c r="E81" s="863"/>
      <c r="F81" s="863"/>
      <c r="G81" s="863"/>
      <c r="H81" s="863"/>
      <c r="I81" s="864"/>
    </row>
    <row r="82" spans="1:9" s="334" customFormat="1" ht="11.25" customHeight="1" x14ac:dyDescent="0.2">
      <c r="A82" s="862" t="s">
        <v>701</v>
      </c>
      <c r="B82" s="863"/>
      <c r="C82" s="863"/>
      <c r="D82" s="863"/>
      <c r="E82" s="863"/>
      <c r="F82" s="863"/>
      <c r="G82" s="863"/>
      <c r="H82" s="863"/>
      <c r="I82" s="864"/>
    </row>
    <row r="83" spans="1:9" s="334" customFormat="1" ht="11.25" x14ac:dyDescent="0.2"/>
    <row r="84" spans="1:9" s="333" customFormat="1" ht="10.5" x14ac:dyDescent="0.15">
      <c r="A84" s="861" t="s">
        <v>175</v>
      </c>
      <c r="B84" s="861"/>
      <c r="C84" s="861"/>
      <c r="D84" s="861"/>
      <c r="E84" s="861"/>
      <c r="F84" s="861"/>
      <c r="G84" s="861"/>
      <c r="H84" s="861"/>
      <c r="I84" s="861"/>
    </row>
    <row r="85" spans="1:9" s="334" customFormat="1" ht="11.25" x14ac:dyDescent="0.2"/>
    <row r="86" spans="1:9" s="334" customFormat="1" ht="33.75" customHeight="1" x14ac:dyDescent="0.2">
      <c r="A86" s="862" t="s">
        <v>702</v>
      </c>
      <c r="B86" s="863"/>
      <c r="C86" s="863"/>
      <c r="D86" s="863"/>
      <c r="E86" s="863"/>
      <c r="F86" s="863"/>
      <c r="G86" s="863"/>
      <c r="H86" s="863"/>
      <c r="I86" s="864"/>
    </row>
    <row r="87" spans="1:9" s="334" customFormat="1" ht="11.25" x14ac:dyDescent="0.2">
      <c r="A87" s="862" t="s">
        <v>703</v>
      </c>
      <c r="B87" s="863"/>
      <c r="C87" s="863"/>
      <c r="D87" s="863"/>
      <c r="E87" s="863"/>
      <c r="F87" s="863"/>
      <c r="G87" s="863"/>
      <c r="H87" s="863"/>
      <c r="I87" s="864"/>
    </row>
    <row r="88" spans="1:9" s="334" customFormat="1" ht="11.25" x14ac:dyDescent="0.2">
      <c r="A88" s="862" t="s">
        <v>704</v>
      </c>
      <c r="B88" s="863"/>
      <c r="C88" s="863"/>
      <c r="D88" s="863"/>
      <c r="E88" s="863"/>
      <c r="F88" s="863"/>
      <c r="G88" s="863"/>
      <c r="H88" s="863"/>
      <c r="I88" s="864"/>
    </row>
    <row r="90" spans="1:9" ht="18.75" x14ac:dyDescent="0.3">
      <c r="A90" s="391"/>
    </row>
    <row r="91" spans="1:9" ht="18.75" x14ac:dyDescent="0.3">
      <c r="A91" s="391"/>
    </row>
  </sheetData>
  <mergeCells count="81">
    <mergeCell ref="A1:I1"/>
    <mergeCell ref="A3:I3"/>
    <mergeCell ref="A5:B5"/>
    <mergeCell ref="D5:I5"/>
    <mergeCell ref="A6:B6"/>
    <mergeCell ref="D6:I6"/>
    <mergeCell ref="A19:I19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D34:I34"/>
    <mergeCell ref="D21:I21"/>
    <mergeCell ref="A22:A24"/>
    <mergeCell ref="D22:I22"/>
    <mergeCell ref="D23:I23"/>
    <mergeCell ref="D24:I24"/>
    <mergeCell ref="A25:A27"/>
    <mergeCell ref="D25:I25"/>
    <mergeCell ref="D26:I26"/>
    <mergeCell ref="D27:I27"/>
    <mergeCell ref="A28:A29"/>
    <mergeCell ref="D28:I28"/>
    <mergeCell ref="D29:I29"/>
    <mergeCell ref="C30:I30"/>
    <mergeCell ref="A32:I32"/>
    <mergeCell ref="C47:I47"/>
    <mergeCell ref="A35:A37"/>
    <mergeCell ref="D35:I35"/>
    <mergeCell ref="D36:I36"/>
    <mergeCell ref="D37:I37"/>
    <mergeCell ref="A38:A40"/>
    <mergeCell ref="D38:I38"/>
    <mergeCell ref="D39:I39"/>
    <mergeCell ref="D40:I40"/>
    <mergeCell ref="A41:A42"/>
    <mergeCell ref="D41:I41"/>
    <mergeCell ref="D42:I42"/>
    <mergeCell ref="C43:I43"/>
    <mergeCell ref="A45:I45"/>
    <mergeCell ref="A61:B61"/>
    <mergeCell ref="C48:I48"/>
    <mergeCell ref="C49:I49"/>
    <mergeCell ref="C50:I50"/>
    <mergeCell ref="A52:I52"/>
    <mergeCell ref="A54:B54"/>
    <mergeCell ref="A55:B55"/>
    <mergeCell ref="A56:B56"/>
    <mergeCell ref="A57:B57"/>
    <mergeCell ref="A58:B58"/>
    <mergeCell ref="A59:B59"/>
    <mergeCell ref="A60:B60"/>
    <mergeCell ref="A75:I75"/>
    <mergeCell ref="A62:B62"/>
    <mergeCell ref="A63:B63"/>
    <mergeCell ref="F63:G63"/>
    <mergeCell ref="A65:I65"/>
    <mergeCell ref="A67:B67"/>
    <mergeCell ref="A68:B68"/>
    <mergeCell ref="A69:B69"/>
    <mergeCell ref="A70:B70"/>
    <mergeCell ref="A71:B71"/>
    <mergeCell ref="A73:B73"/>
    <mergeCell ref="F73:G73"/>
    <mergeCell ref="A84:I84"/>
    <mergeCell ref="A86:I86"/>
    <mergeCell ref="A87:I87"/>
    <mergeCell ref="A88:I88"/>
    <mergeCell ref="A77:I77"/>
    <mergeCell ref="A78:I78"/>
    <mergeCell ref="A79:I79"/>
    <mergeCell ref="A80:I80"/>
    <mergeCell ref="A81:I81"/>
    <mergeCell ref="A82:I82"/>
  </mergeCells>
  <pageMargins left="0.70866141732283472" right="0.70866141732283472" top="0.78740157480314965" bottom="0.78740157480314965" header="0.31496062992125984" footer="0.31496062992125984"/>
  <pageSetup paperSize="9" scale="61" firstPageNumber="68" fitToHeight="3" orientation="portrait" useFirstPageNumber="1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100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282">
        <f>SUM(E7:E9)</f>
        <v>32528990</v>
      </c>
      <c r="F6" s="282">
        <f>SUM(F7:F9)</f>
        <v>33537090</v>
      </c>
      <c r="G6" s="282">
        <f>SUM(G7:G9)</f>
        <v>17369438.310000002</v>
      </c>
      <c r="H6" s="283">
        <f t="shared" ref="H6:H29" si="0">G6/F6*100</f>
        <v>51.791727636476516</v>
      </c>
      <c r="I6" s="284">
        <f>SUM(I7:I9)</f>
        <v>15388711.699999999</v>
      </c>
      <c r="J6" s="284">
        <f>SUM(J7:J9)</f>
        <v>8359800</v>
      </c>
      <c r="K6" s="282">
        <f t="shared" ref="K6:X6" si="1">SUM(K7:K9)</f>
        <v>9346800</v>
      </c>
      <c r="L6" s="282">
        <f t="shared" si="1"/>
        <v>5660913</v>
      </c>
      <c r="M6" s="283">
        <f t="shared" ref="M6:M29" si="2">L6/K6*100</f>
        <v>60.5652522788548</v>
      </c>
      <c r="N6" s="284">
        <f t="shared" si="1"/>
        <v>4554592.7</v>
      </c>
      <c r="O6" s="284">
        <f t="shared" si="1"/>
        <v>24169190</v>
      </c>
      <c r="P6" s="284">
        <f t="shared" si="1"/>
        <v>24190290</v>
      </c>
      <c r="Q6" s="282">
        <f t="shared" si="1"/>
        <v>11708525.310000001</v>
      </c>
      <c r="R6" s="283">
        <f t="shared" ref="R6:R21" si="3">Q6/P6*100</f>
        <v>48.401756696591896</v>
      </c>
      <c r="S6" s="284">
        <f t="shared" si="1"/>
        <v>10834119</v>
      </c>
      <c r="T6" s="284">
        <f t="shared" si="1"/>
        <v>681600</v>
      </c>
      <c r="U6" s="282">
        <f t="shared" si="1"/>
        <v>729600</v>
      </c>
      <c r="V6" s="282">
        <f t="shared" si="1"/>
        <v>417950</v>
      </c>
      <c r="W6" s="283">
        <f t="shared" ref="W6:W33" si="4">V6/U6*100</f>
        <v>57.284813596491226</v>
      </c>
      <c r="X6" s="284">
        <f t="shared" si="1"/>
        <v>421695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285">
        <f t="shared" ref="E7:G10" si="5">SUM(J7,O7)</f>
        <v>4075000</v>
      </c>
      <c r="F7" s="285">
        <f t="shared" si="5"/>
        <v>4100400</v>
      </c>
      <c r="G7" s="285">
        <f t="shared" si="5"/>
        <v>2556713</v>
      </c>
      <c r="H7" s="286">
        <f t="shared" si="0"/>
        <v>62.352770461418395</v>
      </c>
      <c r="I7" s="287">
        <f>SUM(N7,S7)</f>
        <v>2453978.5</v>
      </c>
      <c r="J7" s="288">
        <v>4075000</v>
      </c>
      <c r="K7" s="289">
        <v>4100400</v>
      </c>
      <c r="L7" s="289">
        <v>2556713</v>
      </c>
      <c r="M7" s="286">
        <f t="shared" si="2"/>
        <v>62.352770461418395</v>
      </c>
      <c r="N7" s="290">
        <v>2453978.5</v>
      </c>
      <c r="O7" s="290">
        <v>0</v>
      </c>
      <c r="P7" s="290">
        <v>0</v>
      </c>
      <c r="Q7" s="289">
        <v>0</v>
      </c>
      <c r="R7" s="286">
        <v>0</v>
      </c>
      <c r="S7" s="290"/>
      <c r="T7" s="290">
        <v>681600</v>
      </c>
      <c r="U7" s="289">
        <v>729600</v>
      </c>
      <c r="V7" s="289">
        <v>417950</v>
      </c>
      <c r="W7" s="286">
        <f t="shared" si="4"/>
        <v>57.284813596491226</v>
      </c>
      <c r="X7" s="291">
        <v>421695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285">
        <f t="shared" si="5"/>
        <v>400</v>
      </c>
      <c r="F8" s="285">
        <f t="shared" si="5"/>
        <v>0</v>
      </c>
      <c r="G8" s="285">
        <f t="shared" si="5"/>
        <v>0</v>
      </c>
      <c r="H8" s="286">
        <v>0</v>
      </c>
      <c r="I8" s="287">
        <f>SUM(N8,S8)</f>
        <v>905.2</v>
      </c>
      <c r="J8" s="292">
        <v>400</v>
      </c>
      <c r="K8" s="285">
        <v>0</v>
      </c>
      <c r="L8" s="285">
        <v>0</v>
      </c>
      <c r="M8" s="286">
        <v>0</v>
      </c>
      <c r="N8" s="293">
        <v>905.2</v>
      </c>
      <c r="O8" s="287">
        <v>0</v>
      </c>
      <c r="P8" s="287">
        <v>0</v>
      </c>
      <c r="Q8" s="285">
        <v>0</v>
      </c>
      <c r="R8" s="286">
        <v>0</v>
      </c>
      <c r="S8" s="287"/>
      <c r="T8" s="287">
        <v>0</v>
      </c>
      <c r="U8" s="285">
        <v>0</v>
      </c>
      <c r="V8" s="285">
        <v>0</v>
      </c>
      <c r="W8" s="286">
        <v>0</v>
      </c>
      <c r="X8" s="287">
        <v>0</v>
      </c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285">
        <f t="shared" si="5"/>
        <v>28453590</v>
      </c>
      <c r="F9" s="285">
        <f t="shared" si="5"/>
        <v>29436690</v>
      </c>
      <c r="G9" s="285">
        <f t="shared" si="5"/>
        <v>14812725.310000001</v>
      </c>
      <c r="H9" s="286">
        <f t="shared" si="0"/>
        <v>50.320621340239001</v>
      </c>
      <c r="I9" s="287">
        <f>SUM(N9,S9)</f>
        <v>12933828</v>
      </c>
      <c r="J9" s="292">
        <v>4284400</v>
      </c>
      <c r="K9" s="285">
        <v>5246400</v>
      </c>
      <c r="L9" s="285">
        <v>3104200</v>
      </c>
      <c r="M9" s="286">
        <f t="shared" si="2"/>
        <v>59.168191521805426</v>
      </c>
      <c r="N9" s="287">
        <v>2099709</v>
      </c>
      <c r="O9" s="287">
        <v>24169190</v>
      </c>
      <c r="P9" s="287">
        <v>24190290</v>
      </c>
      <c r="Q9" s="285">
        <v>11708525.310000001</v>
      </c>
      <c r="R9" s="286">
        <f t="shared" si="3"/>
        <v>48.401756696591896</v>
      </c>
      <c r="S9" s="294">
        <v>10834119</v>
      </c>
      <c r="T9" s="287">
        <v>0</v>
      </c>
      <c r="U9" s="285">
        <v>0</v>
      </c>
      <c r="V9" s="285">
        <v>0</v>
      </c>
      <c r="W9" s="286">
        <v>0</v>
      </c>
      <c r="X9" s="287">
        <v>0</v>
      </c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295">
        <f t="shared" si="5"/>
        <v>0</v>
      </c>
      <c r="F10" s="295">
        <f t="shared" si="5"/>
        <v>0</v>
      </c>
      <c r="G10" s="295">
        <f t="shared" si="5"/>
        <v>0</v>
      </c>
      <c r="H10" s="283">
        <v>0</v>
      </c>
      <c r="I10" s="296">
        <f>SUM(N10,S10)</f>
        <v>0</v>
      </c>
      <c r="J10" s="297"/>
      <c r="K10" s="295"/>
      <c r="L10" s="295"/>
      <c r="M10" s="283">
        <v>0</v>
      </c>
      <c r="N10" s="296"/>
      <c r="O10" s="296"/>
      <c r="P10" s="296"/>
      <c r="Q10" s="295"/>
      <c r="R10" s="283">
        <v>0</v>
      </c>
      <c r="S10" s="296"/>
      <c r="T10" s="296"/>
      <c r="U10" s="295"/>
      <c r="V10" s="295"/>
      <c r="W10" s="283">
        <v>0</v>
      </c>
      <c r="X10" s="296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282">
        <f>SUM(E12:E31)</f>
        <v>32528990</v>
      </c>
      <c r="F11" s="282">
        <f>SUM(F12:F31)</f>
        <v>33537090</v>
      </c>
      <c r="G11" s="282">
        <f>SUM(G12:G31)</f>
        <v>16659045.129999999</v>
      </c>
      <c r="H11" s="283">
        <f t="shared" si="0"/>
        <v>49.673496209718849</v>
      </c>
      <c r="I11" s="284">
        <f>SUM(I12:I31)</f>
        <v>15242927.710000001</v>
      </c>
      <c r="J11" s="284">
        <f>SUM(J12:J31)</f>
        <v>8359800</v>
      </c>
      <c r="K11" s="282">
        <f>SUM(K12:K31)</f>
        <v>9346800</v>
      </c>
      <c r="L11" s="282">
        <f>SUM(L12:L31)</f>
        <v>4950519.82</v>
      </c>
      <c r="M11" s="283">
        <f t="shared" si="2"/>
        <v>52.964863054735311</v>
      </c>
      <c r="N11" s="284">
        <f>SUM(N12:N31)</f>
        <v>4408808.71</v>
      </c>
      <c r="O11" s="284">
        <f>SUM(O12:O31)</f>
        <v>24169190</v>
      </c>
      <c r="P11" s="284">
        <f>SUM(P12:P31)</f>
        <v>24190290</v>
      </c>
      <c r="Q11" s="282">
        <f>SUM(Q12:Q31)</f>
        <v>11708525.310000001</v>
      </c>
      <c r="R11" s="283">
        <f t="shared" si="3"/>
        <v>48.401756696591896</v>
      </c>
      <c r="S11" s="284">
        <f>SUM(S12:S31)</f>
        <v>10834119</v>
      </c>
      <c r="T11" s="284">
        <f>SUM(T12:T31)</f>
        <v>628634</v>
      </c>
      <c r="U11" s="282">
        <f>SUM(U12:U31)</f>
        <v>676634</v>
      </c>
      <c r="V11" s="282">
        <f>SUM(V12:V31)</f>
        <v>352638.61</v>
      </c>
      <c r="W11" s="283">
        <f t="shared" si="4"/>
        <v>52.116596269179496</v>
      </c>
      <c r="X11" s="284">
        <f>SUM(X12:X31)</f>
        <v>343131.33999999997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285">
        <f t="shared" ref="E12:I29" si="6">SUM(J12,O12)</f>
        <v>4535922</v>
      </c>
      <c r="F12" s="285">
        <f t="shared" si="6"/>
        <v>4594922</v>
      </c>
      <c r="G12" s="285">
        <f t="shared" si="6"/>
        <v>2750773.97</v>
      </c>
      <c r="H12" s="286">
        <f t="shared" si="0"/>
        <v>59.865520459324451</v>
      </c>
      <c r="I12" s="287">
        <f t="shared" si="6"/>
        <v>2570654.73</v>
      </c>
      <c r="J12" s="298">
        <v>4235922</v>
      </c>
      <c r="K12" s="299">
        <v>4343922</v>
      </c>
      <c r="L12" s="299">
        <v>2635621.9700000002</v>
      </c>
      <c r="M12" s="286">
        <f t="shared" si="2"/>
        <v>60.673786730056392</v>
      </c>
      <c r="N12" s="300">
        <v>2485243.73</v>
      </c>
      <c r="O12" s="301">
        <v>300000</v>
      </c>
      <c r="P12" s="301">
        <v>251000</v>
      </c>
      <c r="Q12" s="299">
        <v>115152</v>
      </c>
      <c r="R12" s="286">
        <f t="shared" si="3"/>
        <v>45.877290836653387</v>
      </c>
      <c r="S12" s="301">
        <v>85411</v>
      </c>
      <c r="T12" s="301">
        <v>255000</v>
      </c>
      <c r="U12" s="299">
        <v>285000</v>
      </c>
      <c r="V12" s="299">
        <v>148501.60999999999</v>
      </c>
      <c r="W12" s="286">
        <f t="shared" si="4"/>
        <v>52.105828070175434</v>
      </c>
      <c r="X12" s="301">
        <v>159778.9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285">
        <f t="shared" si="6"/>
        <v>2018000</v>
      </c>
      <c r="F13" s="285">
        <f t="shared" si="6"/>
        <v>2018000</v>
      </c>
      <c r="G13" s="285">
        <f t="shared" si="6"/>
        <v>1029936</v>
      </c>
      <c r="H13" s="286">
        <f t="shared" si="0"/>
        <v>51.037462834489588</v>
      </c>
      <c r="I13" s="287">
        <f t="shared" si="6"/>
        <v>1120040.8700000001</v>
      </c>
      <c r="J13" s="298">
        <v>2018000</v>
      </c>
      <c r="K13" s="285">
        <v>2018000</v>
      </c>
      <c r="L13" s="285">
        <v>1029936</v>
      </c>
      <c r="M13" s="286">
        <f t="shared" si="2"/>
        <v>51.037462834489588</v>
      </c>
      <c r="N13" s="302">
        <v>1120040.8700000001</v>
      </c>
      <c r="O13" s="287">
        <v>0</v>
      </c>
      <c r="P13" s="287">
        <v>0</v>
      </c>
      <c r="Q13" s="285">
        <v>0</v>
      </c>
      <c r="R13" s="286">
        <v>0</v>
      </c>
      <c r="S13" s="303">
        <v>0</v>
      </c>
      <c r="T13" s="287">
        <v>112476</v>
      </c>
      <c r="U13" s="285">
        <v>112476</v>
      </c>
      <c r="V13" s="285">
        <v>62648</v>
      </c>
      <c r="W13" s="286">
        <f t="shared" si="4"/>
        <v>55.698993563071234</v>
      </c>
      <c r="X13" s="304">
        <v>54700.4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285">
        <f t="shared" si="6"/>
        <v>0</v>
      </c>
      <c r="F14" s="285">
        <f t="shared" si="6"/>
        <v>0</v>
      </c>
      <c r="G14" s="285">
        <f t="shared" si="6"/>
        <v>0</v>
      </c>
      <c r="H14" s="286">
        <v>0</v>
      </c>
      <c r="I14" s="287">
        <f t="shared" si="6"/>
        <v>0</v>
      </c>
      <c r="J14" s="298">
        <v>0</v>
      </c>
      <c r="K14" s="285">
        <v>0</v>
      </c>
      <c r="L14" s="285">
        <v>0</v>
      </c>
      <c r="M14" s="286">
        <v>0</v>
      </c>
      <c r="N14" s="302">
        <v>0</v>
      </c>
      <c r="O14" s="287">
        <v>0</v>
      </c>
      <c r="P14" s="287">
        <v>0</v>
      </c>
      <c r="Q14" s="285">
        <v>0</v>
      </c>
      <c r="R14" s="286">
        <v>0</v>
      </c>
      <c r="S14" s="287">
        <v>0</v>
      </c>
      <c r="T14" s="287">
        <v>0</v>
      </c>
      <c r="U14" s="285">
        <v>0</v>
      </c>
      <c r="V14" s="285">
        <v>0</v>
      </c>
      <c r="W14" s="286">
        <v>0</v>
      </c>
      <c r="X14" s="287">
        <v>0</v>
      </c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285">
        <f t="shared" si="6"/>
        <v>550000</v>
      </c>
      <c r="F15" s="285">
        <f t="shared" si="6"/>
        <v>1429000</v>
      </c>
      <c r="G15" s="285">
        <f t="shared" si="6"/>
        <v>464701</v>
      </c>
      <c r="H15" s="286">
        <f t="shared" si="0"/>
        <v>32.519314205738283</v>
      </c>
      <c r="I15" s="287">
        <f t="shared" si="6"/>
        <v>52400.800000000003</v>
      </c>
      <c r="J15" s="298">
        <v>550000</v>
      </c>
      <c r="K15" s="285">
        <v>1429000</v>
      </c>
      <c r="L15" s="285">
        <v>464701</v>
      </c>
      <c r="M15" s="286">
        <f t="shared" si="2"/>
        <v>32.519314205738283</v>
      </c>
      <c r="N15" s="302">
        <v>52400.800000000003</v>
      </c>
      <c r="O15" s="287">
        <v>0</v>
      </c>
      <c r="P15" s="287">
        <v>0</v>
      </c>
      <c r="Q15" s="285">
        <v>0</v>
      </c>
      <c r="R15" s="286">
        <v>0</v>
      </c>
      <c r="S15" s="287">
        <v>0</v>
      </c>
      <c r="T15" s="287">
        <v>24000</v>
      </c>
      <c r="U15" s="285">
        <v>24000</v>
      </c>
      <c r="V15" s="285">
        <v>6728</v>
      </c>
      <c r="W15" s="286">
        <f t="shared" si="4"/>
        <v>28.033333333333331</v>
      </c>
      <c r="X15" s="287">
        <v>7707.2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285">
        <f t="shared" si="6"/>
        <v>54000</v>
      </c>
      <c r="F16" s="285">
        <f t="shared" si="6"/>
        <v>54000</v>
      </c>
      <c r="G16" s="285">
        <f t="shared" si="6"/>
        <v>20359.310000000001</v>
      </c>
      <c r="H16" s="286">
        <f t="shared" si="0"/>
        <v>37.70242592592593</v>
      </c>
      <c r="I16" s="287">
        <f t="shared" si="6"/>
        <v>34126</v>
      </c>
      <c r="J16" s="298">
        <v>4000</v>
      </c>
      <c r="K16" s="285">
        <v>4000</v>
      </c>
      <c r="L16" s="285">
        <v>304</v>
      </c>
      <c r="M16" s="286">
        <f t="shared" si="2"/>
        <v>7.6</v>
      </c>
      <c r="N16" s="287">
        <v>0</v>
      </c>
      <c r="O16" s="287">
        <v>50000</v>
      </c>
      <c r="P16" s="287">
        <v>50000</v>
      </c>
      <c r="Q16" s="285">
        <v>20055.310000000001</v>
      </c>
      <c r="R16" s="286">
        <f t="shared" si="3"/>
        <v>40.110620000000004</v>
      </c>
      <c r="S16" s="287">
        <v>34126</v>
      </c>
      <c r="T16" s="287">
        <v>0</v>
      </c>
      <c r="U16" s="285">
        <v>0</v>
      </c>
      <c r="V16" s="285">
        <v>0</v>
      </c>
      <c r="W16" s="286">
        <v>0</v>
      </c>
      <c r="X16" s="304">
        <v>0</v>
      </c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285">
        <f t="shared" si="6"/>
        <v>3000</v>
      </c>
      <c r="F17" s="285">
        <f t="shared" si="6"/>
        <v>3000</v>
      </c>
      <c r="G17" s="285">
        <f t="shared" si="6"/>
        <v>843</v>
      </c>
      <c r="H17" s="286">
        <f t="shared" si="0"/>
        <v>28.1</v>
      </c>
      <c r="I17" s="287">
        <f t="shared" si="6"/>
        <v>496</v>
      </c>
      <c r="J17" s="298">
        <v>3000</v>
      </c>
      <c r="K17" s="285">
        <v>3000</v>
      </c>
      <c r="L17" s="285">
        <v>843</v>
      </c>
      <c r="M17" s="286">
        <f t="shared" si="2"/>
        <v>28.1</v>
      </c>
      <c r="N17" s="293">
        <v>496</v>
      </c>
      <c r="O17" s="287">
        <v>0</v>
      </c>
      <c r="P17" s="287">
        <v>0</v>
      </c>
      <c r="Q17" s="285">
        <v>0</v>
      </c>
      <c r="R17" s="286">
        <v>0</v>
      </c>
      <c r="S17" s="303">
        <v>0</v>
      </c>
      <c r="T17" s="287">
        <v>0</v>
      </c>
      <c r="U17" s="285">
        <v>0</v>
      </c>
      <c r="V17" s="285">
        <v>0</v>
      </c>
      <c r="W17" s="286">
        <v>0</v>
      </c>
      <c r="X17" s="302">
        <v>0</v>
      </c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285">
        <f t="shared" si="6"/>
        <v>512340</v>
      </c>
      <c r="F18" s="285">
        <f t="shared" si="6"/>
        <v>512340</v>
      </c>
      <c r="G18" s="285">
        <f t="shared" si="6"/>
        <v>336155.65</v>
      </c>
      <c r="H18" s="286">
        <f t="shared" si="0"/>
        <v>65.611830034742553</v>
      </c>
      <c r="I18" s="287">
        <f t="shared" si="6"/>
        <v>261246.41</v>
      </c>
      <c r="J18" s="298">
        <v>332000</v>
      </c>
      <c r="K18" s="285">
        <v>332000</v>
      </c>
      <c r="L18" s="285">
        <v>198805.65</v>
      </c>
      <c r="M18" s="286">
        <f t="shared" si="2"/>
        <v>59.881219879518063</v>
      </c>
      <c r="N18" s="287">
        <v>174923.41</v>
      </c>
      <c r="O18" s="287">
        <v>180340</v>
      </c>
      <c r="P18" s="287">
        <v>180340</v>
      </c>
      <c r="Q18" s="285">
        <v>137350</v>
      </c>
      <c r="R18" s="286">
        <f t="shared" si="3"/>
        <v>76.161694576910278</v>
      </c>
      <c r="S18" s="287">
        <v>86323</v>
      </c>
      <c r="T18" s="287">
        <v>16000</v>
      </c>
      <c r="U18" s="285">
        <v>22000</v>
      </c>
      <c r="V18" s="285">
        <v>13722</v>
      </c>
      <c r="W18" s="286">
        <f t="shared" si="4"/>
        <v>62.372727272727268</v>
      </c>
      <c r="X18" s="302">
        <v>11091.74</v>
      </c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285">
        <f t="shared" si="6"/>
        <v>17483300</v>
      </c>
      <c r="F19" s="285">
        <f t="shared" si="6"/>
        <v>17497300</v>
      </c>
      <c r="G19" s="285">
        <f t="shared" si="6"/>
        <v>8444386</v>
      </c>
      <c r="H19" s="286">
        <f t="shared" si="0"/>
        <v>48.261080280957636</v>
      </c>
      <c r="I19" s="287">
        <f t="shared" si="6"/>
        <v>7895103</v>
      </c>
      <c r="J19" s="305">
        <v>178200</v>
      </c>
      <c r="K19" s="285">
        <v>178200</v>
      </c>
      <c r="L19" s="285">
        <v>84690</v>
      </c>
      <c r="M19" s="286">
        <f t="shared" si="2"/>
        <v>47.525252525252526</v>
      </c>
      <c r="N19" s="293">
        <v>79510</v>
      </c>
      <c r="O19" s="287">
        <v>17305100</v>
      </c>
      <c r="P19" s="287">
        <v>17319100</v>
      </c>
      <c r="Q19" s="285">
        <v>8359696</v>
      </c>
      <c r="R19" s="286">
        <f t="shared" si="3"/>
        <v>48.26865137333926</v>
      </c>
      <c r="S19" s="287">
        <v>7815593</v>
      </c>
      <c r="T19" s="306">
        <v>143788</v>
      </c>
      <c r="U19" s="307">
        <v>143788</v>
      </c>
      <c r="V19" s="307">
        <v>66063</v>
      </c>
      <c r="W19" s="286">
        <f t="shared" si="4"/>
        <v>45.944724177260966</v>
      </c>
      <c r="X19" s="308">
        <v>62645</v>
      </c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285">
        <f t="shared" si="6"/>
        <v>5926501</v>
      </c>
      <c r="F20" s="285">
        <f t="shared" si="6"/>
        <v>5931601</v>
      </c>
      <c r="G20" s="285">
        <f t="shared" si="6"/>
        <v>2878342</v>
      </c>
      <c r="H20" s="286">
        <f t="shared" si="0"/>
        <v>48.525549847334645</v>
      </c>
      <c r="I20" s="287">
        <f t="shared" si="6"/>
        <v>2718665</v>
      </c>
      <c r="J20" s="298">
        <v>42751</v>
      </c>
      <c r="K20" s="285">
        <v>42751</v>
      </c>
      <c r="L20" s="285">
        <v>18042</v>
      </c>
      <c r="M20" s="286">
        <f t="shared" si="2"/>
        <v>42.202521578442607</v>
      </c>
      <c r="N20" s="287">
        <v>35457</v>
      </c>
      <c r="O20" s="287">
        <v>5883750</v>
      </c>
      <c r="P20" s="287">
        <v>5888850</v>
      </c>
      <c r="Q20" s="285">
        <v>2860300</v>
      </c>
      <c r="R20" s="286">
        <f t="shared" si="3"/>
        <v>48.571452830348882</v>
      </c>
      <c r="S20" s="303">
        <v>2683208</v>
      </c>
      <c r="T20" s="287">
        <v>49492</v>
      </c>
      <c r="U20" s="285">
        <v>49492</v>
      </c>
      <c r="V20" s="285">
        <v>22726</v>
      </c>
      <c r="W20" s="286">
        <f t="shared" si="4"/>
        <v>45.918532288046556</v>
      </c>
      <c r="X20" s="302">
        <v>21555</v>
      </c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285">
        <f t="shared" si="6"/>
        <v>450500</v>
      </c>
      <c r="F21" s="285">
        <f t="shared" si="6"/>
        <v>451500</v>
      </c>
      <c r="G21" s="285">
        <f t="shared" si="6"/>
        <v>182632</v>
      </c>
      <c r="H21" s="286">
        <f t="shared" si="0"/>
        <v>40.450055370985602</v>
      </c>
      <c r="I21" s="287">
        <f t="shared" si="6"/>
        <v>130306</v>
      </c>
      <c r="J21" s="298">
        <v>500</v>
      </c>
      <c r="K21" s="285">
        <v>500</v>
      </c>
      <c r="L21" s="285">
        <v>0</v>
      </c>
      <c r="M21" s="286">
        <f t="shared" si="2"/>
        <v>0</v>
      </c>
      <c r="N21" s="287">
        <v>848</v>
      </c>
      <c r="O21" s="287">
        <v>450000</v>
      </c>
      <c r="P21" s="287">
        <v>451000</v>
      </c>
      <c r="Q21" s="285">
        <v>182632</v>
      </c>
      <c r="R21" s="286">
        <f t="shared" si="3"/>
        <v>40.494900221729488</v>
      </c>
      <c r="S21" s="287">
        <v>129458</v>
      </c>
      <c r="T21" s="287">
        <v>2157</v>
      </c>
      <c r="U21" s="285">
        <v>2157</v>
      </c>
      <c r="V21" s="285">
        <v>1350</v>
      </c>
      <c r="W21" s="286">
        <f t="shared" si="4"/>
        <v>62.586926286509041</v>
      </c>
      <c r="X21" s="302">
        <v>943</v>
      </c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285">
        <f t="shared" si="6"/>
        <v>0</v>
      </c>
      <c r="F22" s="285">
        <f t="shared" si="6"/>
        <v>0</v>
      </c>
      <c r="G22" s="285">
        <f t="shared" si="6"/>
        <v>0</v>
      </c>
      <c r="H22" s="286">
        <v>0</v>
      </c>
      <c r="I22" s="287">
        <f t="shared" si="6"/>
        <v>0</v>
      </c>
      <c r="J22" s="298">
        <v>0</v>
      </c>
      <c r="K22" s="285">
        <v>0</v>
      </c>
      <c r="L22" s="285">
        <v>0</v>
      </c>
      <c r="M22" s="286">
        <v>0</v>
      </c>
      <c r="N22" s="287">
        <v>0</v>
      </c>
      <c r="O22" s="287">
        <v>0</v>
      </c>
      <c r="P22" s="287">
        <v>0</v>
      </c>
      <c r="Q22" s="285">
        <v>0</v>
      </c>
      <c r="R22" s="286">
        <v>0</v>
      </c>
      <c r="S22" s="287">
        <v>0</v>
      </c>
      <c r="T22" s="287">
        <v>0</v>
      </c>
      <c r="U22" s="285">
        <v>0</v>
      </c>
      <c r="V22" s="285">
        <v>0</v>
      </c>
      <c r="W22" s="286">
        <v>0</v>
      </c>
      <c r="X22" s="287">
        <v>0</v>
      </c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285">
        <f t="shared" si="6"/>
        <v>0</v>
      </c>
      <c r="F23" s="285">
        <f t="shared" si="6"/>
        <v>0</v>
      </c>
      <c r="G23" s="285">
        <f t="shared" si="6"/>
        <v>0</v>
      </c>
      <c r="H23" s="286">
        <v>0</v>
      </c>
      <c r="I23" s="287">
        <f t="shared" si="6"/>
        <v>18209</v>
      </c>
      <c r="J23" s="298">
        <v>0</v>
      </c>
      <c r="K23" s="285">
        <v>0</v>
      </c>
      <c r="L23" s="285">
        <v>0</v>
      </c>
      <c r="M23" s="286">
        <v>0</v>
      </c>
      <c r="N23" s="287">
        <v>18209</v>
      </c>
      <c r="O23" s="287">
        <v>0</v>
      </c>
      <c r="P23" s="287">
        <v>0</v>
      </c>
      <c r="Q23" s="285">
        <v>0</v>
      </c>
      <c r="R23" s="286">
        <v>0</v>
      </c>
      <c r="S23" s="303">
        <v>0</v>
      </c>
      <c r="T23" s="287">
        <v>0</v>
      </c>
      <c r="U23" s="285">
        <v>0</v>
      </c>
      <c r="V23" s="285">
        <v>0</v>
      </c>
      <c r="W23" s="286">
        <v>0</v>
      </c>
      <c r="X23" s="304">
        <v>0</v>
      </c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285">
        <f t="shared" si="6"/>
        <v>0</v>
      </c>
      <c r="F24" s="285">
        <f t="shared" si="6"/>
        <v>0</v>
      </c>
      <c r="G24" s="285">
        <f t="shared" si="6"/>
        <v>0</v>
      </c>
      <c r="H24" s="286">
        <v>0</v>
      </c>
      <c r="I24" s="287">
        <f t="shared" si="6"/>
        <v>0</v>
      </c>
      <c r="J24" s="298">
        <v>0</v>
      </c>
      <c r="K24" s="285">
        <v>0</v>
      </c>
      <c r="L24" s="285">
        <v>0</v>
      </c>
      <c r="M24" s="286">
        <v>0</v>
      </c>
      <c r="N24" s="287">
        <v>0</v>
      </c>
      <c r="O24" s="287">
        <v>0</v>
      </c>
      <c r="P24" s="287">
        <v>0</v>
      </c>
      <c r="Q24" s="285">
        <v>0</v>
      </c>
      <c r="R24" s="286">
        <v>0</v>
      </c>
      <c r="S24" s="287">
        <v>0</v>
      </c>
      <c r="T24" s="287">
        <v>0</v>
      </c>
      <c r="U24" s="285">
        <v>0</v>
      </c>
      <c r="V24" s="285">
        <v>0</v>
      </c>
      <c r="W24" s="286">
        <v>0</v>
      </c>
      <c r="X24" s="287">
        <v>0</v>
      </c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285">
        <f t="shared" si="6"/>
        <v>20000</v>
      </c>
      <c r="F25" s="285">
        <f t="shared" si="6"/>
        <v>20000</v>
      </c>
      <c r="G25" s="285">
        <f t="shared" si="6"/>
        <v>11405</v>
      </c>
      <c r="H25" s="286">
        <f t="shared" ref="H25" si="7">G25/F25*100</f>
        <v>57.025000000000006</v>
      </c>
      <c r="I25" s="287">
        <f t="shared" si="6"/>
        <v>6885</v>
      </c>
      <c r="J25" s="298">
        <v>20000</v>
      </c>
      <c r="K25" s="299">
        <v>20000</v>
      </c>
      <c r="L25" s="299">
        <v>11405</v>
      </c>
      <c r="M25" s="286">
        <f t="shared" ref="M25" si="8">L25/K25*100</f>
        <v>57.025000000000006</v>
      </c>
      <c r="N25" s="301">
        <v>6885</v>
      </c>
      <c r="O25" s="301">
        <v>0</v>
      </c>
      <c r="P25" s="301">
        <v>0</v>
      </c>
      <c r="Q25" s="299">
        <v>0</v>
      </c>
      <c r="R25" s="286">
        <v>0</v>
      </c>
      <c r="S25" s="301">
        <v>0</v>
      </c>
      <c r="T25" s="301">
        <v>0</v>
      </c>
      <c r="U25" s="299">
        <v>0</v>
      </c>
      <c r="V25" s="299">
        <v>0</v>
      </c>
      <c r="W25" s="286">
        <v>0</v>
      </c>
      <c r="X25" s="309">
        <v>0</v>
      </c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285">
        <f t="shared" si="6"/>
        <v>972910</v>
      </c>
      <c r="F26" s="285">
        <f t="shared" si="6"/>
        <v>972910</v>
      </c>
      <c r="G26" s="285">
        <f t="shared" si="6"/>
        <v>474893</v>
      </c>
      <c r="H26" s="286">
        <f>G26/F26*100</f>
        <v>48.811606417859821</v>
      </c>
      <c r="I26" s="287">
        <f>SUM(N26,S26)</f>
        <v>429826.9</v>
      </c>
      <c r="J26" s="298">
        <v>972910</v>
      </c>
      <c r="K26" s="310">
        <v>972910</v>
      </c>
      <c r="L26" s="310">
        <v>474893</v>
      </c>
      <c r="M26" s="286">
        <f>L26/K26*100</f>
        <v>48.811606417859821</v>
      </c>
      <c r="N26" s="311">
        <v>429826.9</v>
      </c>
      <c r="O26" s="312">
        <v>0</v>
      </c>
      <c r="P26" s="312">
        <v>0</v>
      </c>
      <c r="Q26" s="310">
        <v>0</v>
      </c>
      <c r="R26" s="286">
        <v>0</v>
      </c>
      <c r="S26" s="313">
        <v>0</v>
      </c>
      <c r="T26" s="312">
        <v>25721</v>
      </c>
      <c r="U26" s="310">
        <v>25721</v>
      </c>
      <c r="V26" s="310">
        <v>18933</v>
      </c>
      <c r="W26" s="286">
        <f>V26/U26*100</f>
        <v>73.609113176004044</v>
      </c>
      <c r="X26" s="312">
        <v>24710.1</v>
      </c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285">
        <f t="shared" si="6"/>
        <v>0</v>
      </c>
      <c r="F27" s="285">
        <f t="shared" si="6"/>
        <v>0</v>
      </c>
      <c r="G27" s="285">
        <f t="shared" si="6"/>
        <v>315</v>
      </c>
      <c r="H27" s="286">
        <v>0</v>
      </c>
      <c r="I27" s="287">
        <f t="shared" si="6"/>
        <v>0</v>
      </c>
      <c r="J27" s="298">
        <v>0</v>
      </c>
      <c r="K27" s="310">
        <v>0</v>
      </c>
      <c r="L27" s="310">
        <v>315</v>
      </c>
      <c r="M27" s="286">
        <v>0</v>
      </c>
      <c r="N27" s="314">
        <v>0</v>
      </c>
      <c r="O27" s="312">
        <v>0</v>
      </c>
      <c r="P27" s="312">
        <v>0</v>
      </c>
      <c r="Q27" s="310">
        <v>0</v>
      </c>
      <c r="R27" s="286">
        <v>0</v>
      </c>
      <c r="S27" s="312">
        <v>0</v>
      </c>
      <c r="T27" s="312">
        <v>0</v>
      </c>
      <c r="U27" s="310">
        <v>0</v>
      </c>
      <c r="V27" s="310">
        <v>0</v>
      </c>
      <c r="W27" s="286">
        <v>0</v>
      </c>
      <c r="X27" s="315">
        <v>0</v>
      </c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285">
        <f>SUM(J28,O28)</f>
        <v>0</v>
      </c>
      <c r="F28" s="285">
        <f>SUM(K28,P28)</f>
        <v>50000</v>
      </c>
      <c r="G28" s="285">
        <f>SUM(L28,Q28)</f>
        <v>63486.2</v>
      </c>
      <c r="H28" s="286">
        <f>G28/F28*100</f>
        <v>126.97239999999998</v>
      </c>
      <c r="I28" s="287">
        <f>SUM(N28,S28)</f>
        <v>4151</v>
      </c>
      <c r="J28" s="298">
        <v>0</v>
      </c>
      <c r="K28" s="310">
        <v>0</v>
      </c>
      <c r="L28" s="310">
        <v>30146.2</v>
      </c>
      <c r="M28" s="286">
        <v>0</v>
      </c>
      <c r="N28" s="312">
        <v>4151</v>
      </c>
      <c r="O28" s="312">
        <v>0</v>
      </c>
      <c r="P28" s="312">
        <v>50000</v>
      </c>
      <c r="Q28" s="310">
        <v>33340</v>
      </c>
      <c r="R28" s="286">
        <f>Q28/P28*100</f>
        <v>66.679999999999993</v>
      </c>
      <c r="S28" s="312">
        <v>0</v>
      </c>
      <c r="T28" s="312">
        <v>0</v>
      </c>
      <c r="U28" s="310">
        <v>12000</v>
      </c>
      <c r="V28" s="310">
        <v>11967</v>
      </c>
      <c r="W28" s="286">
        <f>V28/U28*100</f>
        <v>99.724999999999994</v>
      </c>
      <c r="X28" s="314">
        <v>0</v>
      </c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285">
        <f t="shared" si="6"/>
        <v>2517</v>
      </c>
      <c r="F29" s="285">
        <f t="shared" si="6"/>
        <v>2517</v>
      </c>
      <c r="G29" s="285">
        <f t="shared" si="6"/>
        <v>817</v>
      </c>
      <c r="H29" s="286">
        <f t="shared" si="0"/>
        <v>32.45927691696464</v>
      </c>
      <c r="I29" s="287">
        <f t="shared" si="6"/>
        <v>817</v>
      </c>
      <c r="J29" s="298">
        <v>2517</v>
      </c>
      <c r="K29" s="310">
        <v>2517</v>
      </c>
      <c r="L29" s="310">
        <v>817</v>
      </c>
      <c r="M29" s="286">
        <f t="shared" si="2"/>
        <v>32.45927691696464</v>
      </c>
      <c r="N29" s="312">
        <v>817</v>
      </c>
      <c r="O29" s="312">
        <v>0</v>
      </c>
      <c r="P29" s="312">
        <v>0</v>
      </c>
      <c r="Q29" s="310">
        <v>0</v>
      </c>
      <c r="R29" s="286">
        <v>0</v>
      </c>
      <c r="S29" s="312">
        <v>0</v>
      </c>
      <c r="T29" s="312">
        <v>0</v>
      </c>
      <c r="U29" s="310">
        <v>0</v>
      </c>
      <c r="V29" s="310">
        <v>0</v>
      </c>
      <c r="W29" s="286">
        <v>0</v>
      </c>
      <c r="X29" s="312">
        <v>0</v>
      </c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285">
        <f t="shared" ref="E30:G31" si="9">SUM(J30,O30)</f>
        <v>0</v>
      </c>
      <c r="F30" s="285">
        <f t="shared" si="9"/>
        <v>0</v>
      </c>
      <c r="G30" s="285">
        <f t="shared" si="9"/>
        <v>0</v>
      </c>
      <c r="H30" s="286">
        <v>0</v>
      </c>
      <c r="I30" s="287">
        <f>SUM(N30,S30)</f>
        <v>0</v>
      </c>
      <c r="J30" s="298">
        <v>0</v>
      </c>
      <c r="K30" s="310">
        <v>0</v>
      </c>
      <c r="L30" s="310">
        <v>0</v>
      </c>
      <c r="M30" s="286">
        <v>0</v>
      </c>
      <c r="N30" s="311">
        <v>0</v>
      </c>
      <c r="O30" s="312">
        <v>0</v>
      </c>
      <c r="P30" s="312">
        <v>0</v>
      </c>
      <c r="Q30" s="310">
        <v>0</v>
      </c>
      <c r="R30" s="286">
        <v>0</v>
      </c>
      <c r="S30" s="312">
        <v>0</v>
      </c>
      <c r="T30" s="312">
        <v>0</v>
      </c>
      <c r="U30" s="310">
        <v>0</v>
      </c>
      <c r="V30" s="310">
        <v>0</v>
      </c>
      <c r="W30" s="286">
        <v>0</v>
      </c>
      <c r="X30" s="312">
        <v>0</v>
      </c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285">
        <f t="shared" si="9"/>
        <v>0</v>
      </c>
      <c r="F31" s="285">
        <f t="shared" si="9"/>
        <v>0</v>
      </c>
      <c r="G31" s="285">
        <f t="shared" si="9"/>
        <v>0</v>
      </c>
      <c r="H31" s="286">
        <v>0</v>
      </c>
      <c r="I31" s="287">
        <f>SUM(N31,S31)</f>
        <v>0</v>
      </c>
      <c r="J31" s="298">
        <v>0</v>
      </c>
      <c r="K31" s="316">
        <v>0</v>
      </c>
      <c r="L31" s="316">
        <v>0</v>
      </c>
      <c r="M31" s="286">
        <v>0</v>
      </c>
      <c r="N31" s="317">
        <v>0</v>
      </c>
      <c r="O31" s="317">
        <v>0</v>
      </c>
      <c r="P31" s="317">
        <v>0</v>
      </c>
      <c r="Q31" s="316">
        <v>0</v>
      </c>
      <c r="R31" s="286">
        <v>0</v>
      </c>
      <c r="S31" s="317">
        <v>0</v>
      </c>
      <c r="T31" s="318">
        <v>0</v>
      </c>
      <c r="U31" s="316">
        <v>0</v>
      </c>
      <c r="V31" s="316">
        <v>0</v>
      </c>
      <c r="W31" s="286">
        <v>0</v>
      </c>
      <c r="X31" s="318">
        <v>0</v>
      </c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285">
        <f>SUM(J32,O32)</f>
        <v>0</v>
      </c>
      <c r="F32" s="285">
        <f>SUM(K32,P32)</f>
        <v>0</v>
      </c>
      <c r="G32" s="285">
        <f>SUM(L32,Q32)</f>
        <v>0</v>
      </c>
      <c r="H32" s="286">
        <v>0</v>
      </c>
      <c r="I32" s="287">
        <f>SUM(N32,S32)</f>
        <v>0</v>
      </c>
      <c r="J32" s="319">
        <v>0</v>
      </c>
      <c r="K32" s="320">
        <v>0</v>
      </c>
      <c r="L32" s="320">
        <v>0</v>
      </c>
      <c r="M32" s="286">
        <v>0</v>
      </c>
      <c r="N32" s="321">
        <v>0</v>
      </c>
      <c r="O32" s="318">
        <v>0</v>
      </c>
      <c r="P32" s="318">
        <v>0</v>
      </c>
      <c r="Q32" s="320">
        <v>0</v>
      </c>
      <c r="R32" s="286">
        <v>0</v>
      </c>
      <c r="S32" s="321">
        <v>0</v>
      </c>
      <c r="T32" s="318">
        <v>0</v>
      </c>
      <c r="U32" s="316">
        <v>0</v>
      </c>
      <c r="V32" s="316">
        <v>0</v>
      </c>
      <c r="W32" s="286">
        <v>0</v>
      </c>
      <c r="X32" s="322">
        <v>0</v>
      </c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710393.18000000343</v>
      </c>
      <c r="H33" s="34">
        <v>0</v>
      </c>
      <c r="I33" s="284">
        <f>I6-I11</f>
        <v>145783.98999999836</v>
      </c>
      <c r="J33" s="8">
        <f>J6-J11</f>
        <v>0</v>
      </c>
      <c r="K33" s="8">
        <f>K6-K11</f>
        <v>0</v>
      </c>
      <c r="L33" s="8">
        <f>L6-L11</f>
        <v>710393.1799999997</v>
      </c>
      <c r="M33" s="9">
        <v>0</v>
      </c>
      <c r="N33" s="284">
        <f>N6-N11</f>
        <v>145783.99000000022</v>
      </c>
      <c r="O33" s="8">
        <f>O6-O11</f>
        <v>0</v>
      </c>
      <c r="P33" s="284">
        <f>P6-P11</f>
        <v>0</v>
      </c>
      <c r="Q33" s="8">
        <f>Q6-Q11</f>
        <v>0</v>
      </c>
      <c r="R33" s="9">
        <v>0</v>
      </c>
      <c r="S33" s="8">
        <f>S6-S11</f>
        <v>0</v>
      </c>
      <c r="T33" s="8">
        <f>T6-T11</f>
        <v>52966</v>
      </c>
      <c r="U33" s="8">
        <f>U6-U11</f>
        <v>52966</v>
      </c>
      <c r="V33" s="8">
        <f>V6-V11</f>
        <v>65311.390000000014</v>
      </c>
      <c r="W33" s="9">
        <f t="shared" si="4"/>
        <v>123.30814107163089</v>
      </c>
      <c r="X33" s="8">
        <f>X6-X11</f>
        <v>78563.660000000033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24625.7</v>
      </c>
      <c r="F34" s="37">
        <v>24642.799999999999</v>
      </c>
      <c r="G34" s="37">
        <v>25305</v>
      </c>
      <c r="H34" s="323">
        <f t="shared" ref="H34:H36" si="10">G34/F34*100</f>
        <v>102.68719463697306</v>
      </c>
      <c r="I34" s="324">
        <v>23784</v>
      </c>
      <c r="J34" s="38"/>
      <c r="K34" s="38"/>
      <c r="L34" s="38"/>
      <c r="M34" s="9">
        <v>0</v>
      </c>
      <c r="N34" s="38"/>
      <c r="O34" s="38">
        <v>24175</v>
      </c>
      <c r="P34" s="38">
        <v>24183</v>
      </c>
      <c r="Q34" s="38">
        <v>25010.9</v>
      </c>
      <c r="R34" s="9">
        <v>0</v>
      </c>
      <c r="S34" s="38">
        <v>23784</v>
      </c>
      <c r="T34" s="48"/>
      <c r="U34" s="48"/>
      <c r="V34" s="48"/>
      <c r="W34" s="325">
        <v>0</v>
      </c>
      <c r="X34" s="4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59.65</v>
      </c>
      <c r="F35" s="37">
        <v>59.68</v>
      </c>
      <c r="G35" s="37">
        <v>55.707000000000001</v>
      </c>
      <c r="H35" s="323">
        <f t="shared" si="10"/>
        <v>93.342828418230567</v>
      </c>
      <c r="I35" s="324">
        <v>55.325000000000003</v>
      </c>
      <c r="J35" s="38"/>
      <c r="K35" s="49"/>
      <c r="L35" s="38"/>
      <c r="M35" s="9">
        <v>0</v>
      </c>
      <c r="N35" s="38"/>
      <c r="O35" s="38">
        <v>59.65</v>
      </c>
      <c r="P35" s="38">
        <v>59.68</v>
      </c>
      <c r="Q35" s="38">
        <v>55.707000000000001</v>
      </c>
      <c r="R35" s="9">
        <v>0</v>
      </c>
      <c r="S35" s="38">
        <v>55</v>
      </c>
      <c r="T35" s="38"/>
      <c r="U35" s="38"/>
      <c r="V35" s="38"/>
      <c r="W35" s="9">
        <v>0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60</v>
      </c>
      <c r="F36" s="37">
        <v>61</v>
      </c>
      <c r="G36" s="37">
        <v>63.746000000000002</v>
      </c>
      <c r="H36" s="323">
        <f t="shared" si="10"/>
        <v>104.50163934426232</v>
      </c>
      <c r="I36" s="326">
        <v>61.795000000000002</v>
      </c>
      <c r="J36" s="38"/>
      <c r="K36" s="38"/>
      <c r="L36" s="38"/>
      <c r="M36" s="9">
        <v>0</v>
      </c>
      <c r="N36" s="38"/>
      <c r="O36" s="38">
        <v>60</v>
      </c>
      <c r="P36" s="38">
        <v>61</v>
      </c>
      <c r="Q36" s="38">
        <v>63.746000000000002</v>
      </c>
      <c r="R36" s="9">
        <v>0</v>
      </c>
      <c r="S36" s="38">
        <v>62</v>
      </c>
      <c r="T36" s="38"/>
      <c r="U36" s="38"/>
      <c r="V36" s="38"/>
      <c r="W36" s="9">
        <v>0</v>
      </c>
      <c r="X36" s="38"/>
    </row>
    <row r="38" spans="1:24" x14ac:dyDescent="0.25">
      <c r="J38" s="1066" t="s">
        <v>101</v>
      </c>
      <c r="K38" s="1066"/>
      <c r="L38" s="1066"/>
      <c r="T38" s="1067" t="s">
        <v>102</v>
      </c>
      <c r="U38" s="1067"/>
      <c r="V38" s="1067"/>
      <c r="W38" s="1067"/>
    </row>
  </sheetData>
  <mergeCells count="40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T38:W38"/>
    <mergeCell ref="B16:C16"/>
    <mergeCell ref="B18:C18"/>
    <mergeCell ref="B19:C19"/>
    <mergeCell ref="B20:C20"/>
    <mergeCell ref="B21:C21"/>
    <mergeCell ref="B22:C22"/>
    <mergeCell ref="B26:C26"/>
    <mergeCell ref="B34:C34"/>
    <mergeCell ref="B35:C35"/>
    <mergeCell ref="B36:C36"/>
    <mergeCell ref="J38:L38"/>
  </mergeCells>
  <pageMargins left="0.70866141732283472" right="0.70866141732283472" top="0.78740157480314965" bottom="0.78740157480314965" header="0.31496062992125984" footer="0.31496062992125984"/>
  <pageSetup paperSize="9" scale="85" firstPageNumber="70" orientation="landscape" useFirstPageNumber="1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8" width="9.140625" style="392"/>
    <col min="9" max="9" width="11.28515625" style="392" customWidth="1"/>
    <col min="10" max="16384" width="9.140625" style="392"/>
  </cols>
  <sheetData>
    <row r="1" spans="1:14" s="332" customFormat="1" ht="18.75" x14ac:dyDescent="0.3">
      <c r="A1" s="919" t="s">
        <v>100</v>
      </c>
      <c r="B1" s="936"/>
      <c r="C1" s="936"/>
      <c r="D1" s="936"/>
      <c r="E1" s="936"/>
      <c r="F1" s="936"/>
      <c r="G1" s="936"/>
      <c r="H1" s="936"/>
      <c r="I1" s="936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23.1" customHeight="1" x14ac:dyDescent="0.2">
      <c r="A6" s="911" t="s">
        <v>107</v>
      </c>
      <c r="B6" s="912"/>
      <c r="C6" s="337">
        <v>710393.18</v>
      </c>
      <c r="D6" s="913" t="s">
        <v>745</v>
      </c>
      <c r="E6" s="913"/>
      <c r="F6" s="913"/>
      <c r="G6" s="913"/>
      <c r="H6" s="913"/>
      <c r="I6" s="913"/>
    </row>
    <row r="7" spans="1:14" s="338" customFormat="1" ht="11.45" customHeight="1" x14ac:dyDescent="0.15">
      <c r="A7" s="911" t="s">
        <v>92</v>
      </c>
      <c r="B7" s="912"/>
      <c r="C7" s="337">
        <v>65311.39</v>
      </c>
      <c r="D7" s="913" t="s">
        <v>746</v>
      </c>
      <c r="E7" s="913"/>
      <c r="F7" s="913"/>
      <c r="G7" s="913"/>
      <c r="H7" s="913"/>
      <c r="I7" s="913"/>
    </row>
    <row r="8" spans="1:14" s="338" customFormat="1" ht="10.5" x14ac:dyDescent="0.15">
      <c r="A8" s="911" t="s">
        <v>110</v>
      </c>
      <c r="B8" s="912"/>
      <c r="C8" s="337">
        <v>0</v>
      </c>
      <c r="D8" s="915"/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14" s="334" customFormat="1" ht="69" customHeight="1" x14ac:dyDescent="0.2">
      <c r="A13" s="437" t="s">
        <v>187</v>
      </c>
      <c r="B13" s="438">
        <v>82152.28</v>
      </c>
      <c r="C13" s="438">
        <v>183062.9</v>
      </c>
      <c r="D13" s="438">
        <v>102061</v>
      </c>
      <c r="E13" s="441">
        <f t="shared" ref="E13:E14" si="0">B13+C13-D13</f>
        <v>163154.18</v>
      </c>
      <c r="F13" s="731">
        <v>163154.18</v>
      </c>
      <c r="G13" s="1085" t="s">
        <v>747</v>
      </c>
      <c r="H13" s="1086"/>
      <c r="I13" s="1087"/>
    </row>
    <row r="14" spans="1:14" s="334" customFormat="1" ht="79.5" customHeight="1" x14ac:dyDescent="0.2">
      <c r="A14" s="440" t="s">
        <v>189</v>
      </c>
      <c r="B14" s="441">
        <v>103615</v>
      </c>
      <c r="C14" s="441">
        <v>543787</v>
      </c>
      <c r="D14" s="441">
        <v>445636</v>
      </c>
      <c r="E14" s="441">
        <f t="shared" si="0"/>
        <v>201766</v>
      </c>
      <c r="F14" s="731">
        <v>201766</v>
      </c>
      <c r="G14" s="862" t="s">
        <v>748</v>
      </c>
      <c r="H14" s="863"/>
      <c r="I14" s="864"/>
      <c r="N14" s="349"/>
    </row>
    <row r="15" spans="1:14" s="334" customFormat="1" ht="24.75" customHeight="1" x14ac:dyDescent="0.2">
      <c r="A15" s="440" t="s">
        <v>191</v>
      </c>
      <c r="B15" s="441">
        <v>41000.78</v>
      </c>
      <c r="C15" s="441">
        <v>20000</v>
      </c>
      <c r="D15" s="441">
        <v>0</v>
      </c>
      <c r="E15" s="441">
        <f>B15+C15-D15</f>
        <v>61000.78</v>
      </c>
      <c r="F15" s="577">
        <v>61000.78</v>
      </c>
      <c r="G15" s="862" t="s">
        <v>749</v>
      </c>
      <c r="H15" s="863"/>
      <c r="I15" s="864"/>
    </row>
    <row r="16" spans="1:14" s="334" customFormat="1" ht="57" customHeight="1" x14ac:dyDescent="0.2">
      <c r="A16" s="443" t="s">
        <v>193</v>
      </c>
      <c r="B16" s="444">
        <v>226357</v>
      </c>
      <c r="C16" s="444">
        <v>168400</v>
      </c>
      <c r="D16" s="444">
        <v>186877</v>
      </c>
      <c r="E16" s="441">
        <f>B16+C16-D16</f>
        <v>207880</v>
      </c>
      <c r="F16" s="758">
        <v>142041</v>
      </c>
      <c r="G16" s="907" t="s">
        <v>750</v>
      </c>
      <c r="H16" s="908"/>
      <c r="I16" s="909"/>
    </row>
    <row r="17" spans="1:9" s="334" customFormat="1" ht="11.25" x14ac:dyDescent="0.2">
      <c r="A17" s="353" t="s">
        <v>90</v>
      </c>
      <c r="B17" s="354">
        <f>SUM(B13:B16)</f>
        <v>453125.06</v>
      </c>
      <c r="C17" s="354">
        <f t="shared" ref="C17:F17" si="1">SUM(C13:C16)</f>
        <v>915249.9</v>
      </c>
      <c r="D17" s="354">
        <f t="shared" si="1"/>
        <v>734574</v>
      </c>
      <c r="E17" s="354">
        <f t="shared" si="1"/>
        <v>633800.95999999996</v>
      </c>
      <c r="F17" s="354">
        <f t="shared" si="1"/>
        <v>567961.96</v>
      </c>
      <c r="G17" s="910"/>
      <c r="H17" s="910"/>
      <c r="I17" s="91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421"/>
      <c r="B22" s="358">
        <v>0</v>
      </c>
      <c r="C22" s="368"/>
      <c r="D22" s="1082" t="s">
        <v>751</v>
      </c>
      <c r="E22" s="1083"/>
      <c r="F22" s="1083"/>
      <c r="G22" s="1083"/>
      <c r="H22" s="1083"/>
      <c r="I22" s="1084"/>
    </row>
    <row r="23" spans="1:9" s="338" customFormat="1" ht="11.25" x14ac:dyDescent="0.2">
      <c r="A23" s="365" t="s">
        <v>90</v>
      </c>
      <c r="B23" s="366">
        <f>SUM(B22:B22)</f>
        <v>0</v>
      </c>
      <c r="C23" s="900"/>
      <c r="D23" s="900"/>
      <c r="E23" s="900"/>
      <c r="F23" s="900"/>
      <c r="G23" s="900"/>
      <c r="H23" s="900"/>
      <c r="I23" s="901"/>
    </row>
    <row r="24" spans="1:9" s="338" customFormat="1" ht="26.25" customHeight="1" x14ac:dyDescent="0.2">
      <c r="A24" s="796"/>
      <c r="B24" s="797"/>
      <c r="C24" s="798"/>
      <c r="D24" s="798"/>
      <c r="E24" s="798"/>
      <c r="F24" s="798"/>
      <c r="G24" s="798"/>
      <c r="H24" s="798"/>
      <c r="I24" s="798"/>
    </row>
    <row r="25" spans="1:9" s="340" customFormat="1" ht="11.25" x14ac:dyDescent="0.2">
      <c r="A25" s="861" t="s">
        <v>140</v>
      </c>
      <c r="B25" s="861"/>
      <c r="C25" s="861"/>
      <c r="D25" s="861"/>
      <c r="E25" s="861"/>
      <c r="F25" s="861"/>
      <c r="G25" s="861"/>
      <c r="H25" s="861"/>
      <c r="I25" s="861"/>
    </row>
    <row r="26" spans="1:9" s="334" customFormat="1" ht="11.25" x14ac:dyDescent="0.2">
      <c r="C26" s="339"/>
    </row>
    <row r="27" spans="1:9" s="334" customFormat="1" ht="11.25" x14ac:dyDescent="0.2">
      <c r="A27" s="335" t="s">
        <v>130</v>
      </c>
      <c r="B27" s="335" t="s">
        <v>16</v>
      </c>
      <c r="C27" s="357" t="s">
        <v>131</v>
      </c>
      <c r="D27" s="902" t="s">
        <v>141</v>
      </c>
      <c r="E27" s="902"/>
      <c r="F27" s="902"/>
      <c r="G27" s="902"/>
      <c r="H27" s="902"/>
      <c r="I27" s="903"/>
    </row>
    <row r="28" spans="1:9" s="334" customFormat="1" ht="11.25" customHeight="1" x14ac:dyDescent="0.2">
      <c r="A28" s="421"/>
      <c r="B28" s="358">
        <v>0</v>
      </c>
      <c r="C28" s="368"/>
      <c r="D28" s="1082" t="s">
        <v>142</v>
      </c>
      <c r="E28" s="1083"/>
      <c r="F28" s="1083"/>
      <c r="G28" s="1083"/>
      <c r="H28" s="1083"/>
      <c r="I28" s="1084"/>
    </row>
    <row r="29" spans="1:9" s="338" customFormat="1" ht="10.5" x14ac:dyDescent="0.15">
      <c r="A29" s="365" t="s">
        <v>90</v>
      </c>
      <c r="B29" s="366">
        <f>SUM(B28:B28)</f>
        <v>0</v>
      </c>
      <c r="C29" s="891"/>
      <c r="D29" s="891"/>
      <c r="E29" s="891"/>
      <c r="F29" s="891"/>
      <c r="G29" s="891"/>
      <c r="H29" s="891"/>
      <c r="I29" s="891"/>
    </row>
    <row r="30" spans="1:9" s="334" customFormat="1" ht="11.25" x14ac:dyDescent="0.2">
      <c r="C30" s="339"/>
    </row>
    <row r="31" spans="1:9" s="340" customFormat="1" ht="11.25" x14ac:dyDescent="0.2">
      <c r="A31" s="861" t="s">
        <v>143</v>
      </c>
      <c r="B31" s="861"/>
      <c r="C31" s="861"/>
      <c r="D31" s="861"/>
      <c r="E31" s="861"/>
      <c r="F31" s="861"/>
      <c r="G31" s="861"/>
      <c r="H31" s="861"/>
      <c r="I31" s="861"/>
    </row>
    <row r="32" spans="1:9" s="334" customFormat="1" ht="11.25" x14ac:dyDescent="0.2">
      <c r="C32" s="369"/>
    </row>
    <row r="33" spans="1:9" s="334" customFormat="1" ht="11.25" x14ac:dyDescent="0.2">
      <c r="A33" s="335" t="s">
        <v>144</v>
      </c>
      <c r="B33" s="357" t="s">
        <v>145</v>
      </c>
      <c r="C33" s="892" t="s">
        <v>146</v>
      </c>
      <c r="D33" s="892"/>
      <c r="E33" s="892"/>
      <c r="F33" s="892"/>
      <c r="G33" s="892"/>
      <c r="H33" s="892"/>
      <c r="I33" s="893"/>
    </row>
    <row r="34" spans="1:9" s="334" customFormat="1" ht="11.45" customHeight="1" x14ac:dyDescent="0.2">
      <c r="A34" s="370">
        <v>10000</v>
      </c>
      <c r="B34" s="370">
        <v>10000</v>
      </c>
      <c r="C34" s="934" t="s">
        <v>752</v>
      </c>
      <c r="D34" s="934"/>
      <c r="E34" s="934"/>
      <c r="F34" s="934"/>
      <c r="G34" s="934"/>
      <c r="H34" s="934"/>
      <c r="I34" s="934"/>
    </row>
    <row r="35" spans="1:9" s="334" customFormat="1" ht="11.45" customHeight="1" x14ac:dyDescent="0.2">
      <c r="A35" s="462">
        <v>15000</v>
      </c>
      <c r="B35" s="462">
        <v>15000</v>
      </c>
      <c r="C35" s="1081" t="s">
        <v>753</v>
      </c>
      <c r="D35" s="1081"/>
      <c r="E35" s="1081"/>
      <c r="F35" s="1081"/>
      <c r="G35" s="1081"/>
      <c r="H35" s="1081"/>
      <c r="I35" s="1081"/>
    </row>
    <row r="36" spans="1:9" s="338" customFormat="1" ht="10.5" x14ac:dyDescent="0.15">
      <c r="A36" s="371">
        <f>SUM(A34:A35)</f>
        <v>25000</v>
      </c>
      <c r="B36" s="371">
        <f>SUM(B34:B35)</f>
        <v>25000</v>
      </c>
      <c r="C36" s="878" t="s">
        <v>90</v>
      </c>
      <c r="D36" s="879"/>
      <c r="E36" s="879"/>
      <c r="F36" s="879"/>
      <c r="G36" s="879"/>
      <c r="H36" s="879"/>
      <c r="I36" s="880"/>
    </row>
    <row r="37" spans="1:9" s="334" customFormat="1" ht="11.25" x14ac:dyDescent="0.2">
      <c r="C37" s="369"/>
    </row>
    <row r="38" spans="1:9" s="334" customFormat="1" ht="11.25" x14ac:dyDescent="0.2">
      <c r="A38" s="861" t="s">
        <v>148</v>
      </c>
      <c r="B38" s="865"/>
      <c r="C38" s="865"/>
      <c r="D38" s="865"/>
      <c r="E38" s="865"/>
      <c r="F38" s="865"/>
      <c r="G38" s="865"/>
      <c r="H38" s="865"/>
      <c r="I38" s="865"/>
    </row>
    <row r="39" spans="1:9" s="334" customFormat="1" ht="8.25" customHeight="1" x14ac:dyDescent="0.2">
      <c r="C39" s="369"/>
    </row>
    <row r="40" spans="1:9" s="373" customFormat="1" ht="31.5" x14ac:dyDescent="0.25">
      <c r="A40" s="866" t="s">
        <v>149</v>
      </c>
      <c r="B40" s="867"/>
      <c r="C40" s="372" t="s">
        <v>150</v>
      </c>
      <c r="D40" s="372" t="s">
        <v>151</v>
      </c>
      <c r="E40" s="372" t="s">
        <v>152</v>
      </c>
      <c r="F40" s="372" t="s">
        <v>153</v>
      </c>
      <c r="G40" s="372" t="s">
        <v>154</v>
      </c>
    </row>
    <row r="41" spans="1:9" s="334" customFormat="1" ht="12" x14ac:dyDescent="0.2">
      <c r="A41" s="1072" t="s">
        <v>754</v>
      </c>
      <c r="B41" s="1073"/>
      <c r="C41" s="799" t="s">
        <v>755</v>
      </c>
      <c r="D41" s="800">
        <v>10000</v>
      </c>
      <c r="E41" s="800">
        <v>0</v>
      </c>
      <c r="F41" s="801">
        <v>42759</v>
      </c>
      <c r="G41" s="802">
        <v>42759</v>
      </c>
    </row>
    <row r="42" spans="1:9" s="334" customFormat="1" ht="12" x14ac:dyDescent="0.2">
      <c r="A42" s="1072" t="s">
        <v>756</v>
      </c>
      <c r="B42" s="1073"/>
      <c r="C42" s="799" t="s">
        <v>757</v>
      </c>
      <c r="D42" s="800">
        <v>0</v>
      </c>
      <c r="E42" s="800">
        <v>1436</v>
      </c>
      <c r="F42" s="801">
        <v>42759</v>
      </c>
      <c r="G42" s="802">
        <v>42759</v>
      </c>
    </row>
    <row r="43" spans="1:9" s="334" customFormat="1" ht="12" x14ac:dyDescent="0.2">
      <c r="A43" s="1072" t="s">
        <v>758</v>
      </c>
      <c r="B43" s="1073"/>
      <c r="C43" s="799" t="s">
        <v>759</v>
      </c>
      <c r="D43" s="800">
        <v>0</v>
      </c>
      <c r="E43" s="800">
        <v>1317</v>
      </c>
      <c r="F43" s="801">
        <v>42759</v>
      </c>
      <c r="G43" s="802">
        <v>42759</v>
      </c>
    </row>
    <row r="44" spans="1:9" s="334" customFormat="1" ht="12" x14ac:dyDescent="0.2">
      <c r="A44" s="1072" t="s">
        <v>760</v>
      </c>
      <c r="B44" s="1073"/>
      <c r="C44" s="799" t="s">
        <v>761</v>
      </c>
      <c r="D44" s="800">
        <v>0</v>
      </c>
      <c r="E44" s="800">
        <v>7247</v>
      </c>
      <c r="F44" s="801">
        <v>42759</v>
      </c>
      <c r="G44" s="802">
        <v>42759</v>
      </c>
    </row>
    <row r="45" spans="1:9" s="334" customFormat="1" ht="12" x14ac:dyDescent="0.2">
      <c r="A45" s="1072" t="s">
        <v>762</v>
      </c>
      <c r="B45" s="1073"/>
      <c r="C45" s="799" t="s">
        <v>755</v>
      </c>
      <c r="D45" s="800">
        <v>15000</v>
      </c>
      <c r="E45" s="800">
        <v>0</v>
      </c>
      <c r="F45" s="801">
        <v>42773</v>
      </c>
      <c r="G45" s="802">
        <v>42773</v>
      </c>
    </row>
    <row r="46" spans="1:9" s="334" customFormat="1" ht="12" x14ac:dyDescent="0.2">
      <c r="A46" s="1072" t="s">
        <v>763</v>
      </c>
      <c r="B46" s="1073"/>
      <c r="C46" s="799" t="s">
        <v>759</v>
      </c>
      <c r="D46" s="800">
        <v>0</v>
      </c>
      <c r="E46" s="800">
        <v>11370</v>
      </c>
      <c r="F46" s="801">
        <v>42773</v>
      </c>
      <c r="G46" s="802">
        <v>42773</v>
      </c>
    </row>
    <row r="47" spans="1:9" s="334" customFormat="1" ht="12" x14ac:dyDescent="0.2">
      <c r="A47" s="1072" t="s">
        <v>764</v>
      </c>
      <c r="B47" s="1073"/>
      <c r="C47" s="799" t="s">
        <v>765</v>
      </c>
      <c r="D47" s="800">
        <v>0</v>
      </c>
      <c r="E47" s="800">
        <v>3630</v>
      </c>
      <c r="F47" s="801">
        <v>42773</v>
      </c>
      <c r="G47" s="802">
        <v>42773</v>
      </c>
    </row>
    <row r="48" spans="1:9" s="334" customFormat="1" ht="12" x14ac:dyDescent="0.2">
      <c r="A48" s="1072" t="s">
        <v>766</v>
      </c>
      <c r="B48" s="1073"/>
      <c r="C48" s="799" t="s">
        <v>767</v>
      </c>
      <c r="D48" s="800">
        <v>399000</v>
      </c>
      <c r="E48" s="800">
        <v>0</v>
      </c>
      <c r="F48" s="801">
        <v>42779</v>
      </c>
      <c r="G48" s="802">
        <v>42779</v>
      </c>
    </row>
    <row r="49" spans="1:7" s="334" customFormat="1" ht="12" x14ac:dyDescent="0.2">
      <c r="A49" s="1072" t="s">
        <v>768</v>
      </c>
      <c r="B49" s="1073"/>
      <c r="C49" s="799" t="s">
        <v>769</v>
      </c>
      <c r="D49" s="800">
        <v>0</v>
      </c>
      <c r="E49" s="800">
        <v>399000</v>
      </c>
      <c r="F49" s="801">
        <v>42779</v>
      </c>
      <c r="G49" s="802">
        <v>42779</v>
      </c>
    </row>
    <row r="50" spans="1:7" s="334" customFormat="1" ht="12" x14ac:dyDescent="0.2">
      <c r="A50" s="1072" t="s">
        <v>770</v>
      </c>
      <c r="B50" s="1073"/>
      <c r="C50" s="799" t="s">
        <v>755</v>
      </c>
      <c r="D50" s="800">
        <v>27100</v>
      </c>
      <c r="E50" s="800">
        <v>0</v>
      </c>
      <c r="F50" s="801">
        <v>42850</v>
      </c>
      <c r="G50" s="802">
        <v>42850</v>
      </c>
    </row>
    <row r="51" spans="1:7" s="334" customFormat="1" ht="12" x14ac:dyDescent="0.2">
      <c r="A51" s="1072" t="s">
        <v>771</v>
      </c>
      <c r="B51" s="1073"/>
      <c r="C51" s="799" t="s">
        <v>363</v>
      </c>
      <c r="D51" s="800">
        <v>0</v>
      </c>
      <c r="E51" s="800">
        <v>27100</v>
      </c>
      <c r="F51" s="801">
        <v>42850</v>
      </c>
      <c r="G51" s="802">
        <v>42850</v>
      </c>
    </row>
    <row r="52" spans="1:7" s="334" customFormat="1" ht="12" x14ac:dyDescent="0.2">
      <c r="A52" s="1072" t="s">
        <v>772</v>
      </c>
      <c r="B52" s="1073"/>
      <c r="C52" s="799" t="s">
        <v>767</v>
      </c>
      <c r="D52" s="800">
        <v>83000</v>
      </c>
      <c r="E52" s="800">
        <v>0</v>
      </c>
      <c r="F52" s="801">
        <v>42878</v>
      </c>
      <c r="G52" s="802">
        <v>42878</v>
      </c>
    </row>
    <row r="53" spans="1:7" s="334" customFormat="1" ht="12" x14ac:dyDescent="0.2">
      <c r="A53" s="1070" t="s">
        <v>773</v>
      </c>
      <c r="B53" s="1071"/>
      <c r="C53" s="799" t="s">
        <v>774</v>
      </c>
      <c r="D53" s="800">
        <v>0</v>
      </c>
      <c r="E53" s="800">
        <v>83000</v>
      </c>
      <c r="F53" s="801">
        <v>42878</v>
      </c>
      <c r="G53" s="802">
        <v>42878</v>
      </c>
    </row>
    <row r="54" spans="1:7" s="334" customFormat="1" ht="12" x14ac:dyDescent="0.2">
      <c r="A54" s="1070" t="s">
        <v>775</v>
      </c>
      <c r="B54" s="1071"/>
      <c r="C54" s="803" t="s">
        <v>767</v>
      </c>
      <c r="D54" s="804">
        <v>480000</v>
      </c>
      <c r="E54" s="804">
        <v>0</v>
      </c>
      <c r="F54" s="805">
        <v>42892</v>
      </c>
      <c r="G54" s="806">
        <v>42892</v>
      </c>
    </row>
    <row r="55" spans="1:7" s="334" customFormat="1" ht="12" x14ac:dyDescent="0.2">
      <c r="A55" s="1070" t="s">
        <v>775</v>
      </c>
      <c r="B55" s="1071"/>
      <c r="C55" s="803" t="s">
        <v>359</v>
      </c>
      <c r="D55" s="804">
        <v>0</v>
      </c>
      <c r="E55" s="804">
        <v>480000</v>
      </c>
      <c r="F55" s="805">
        <v>42892</v>
      </c>
      <c r="G55" s="806">
        <v>42892</v>
      </c>
    </row>
    <row r="56" spans="1:7" s="334" customFormat="1" ht="12" x14ac:dyDescent="0.2">
      <c r="A56" s="1072" t="s">
        <v>776</v>
      </c>
      <c r="B56" s="1073"/>
      <c r="C56" s="807" t="s">
        <v>777</v>
      </c>
      <c r="D56" s="800">
        <v>100</v>
      </c>
      <c r="E56" s="800">
        <v>0</v>
      </c>
      <c r="F56" s="801">
        <v>42916</v>
      </c>
      <c r="G56" s="802">
        <v>42916</v>
      </c>
    </row>
    <row r="57" spans="1:7" s="334" customFormat="1" ht="12" x14ac:dyDescent="0.2">
      <c r="A57" s="1072" t="s">
        <v>778</v>
      </c>
      <c r="B57" s="1073"/>
      <c r="C57" s="808" t="s">
        <v>779</v>
      </c>
      <c r="D57" s="804">
        <v>300</v>
      </c>
      <c r="E57" s="804">
        <v>0</v>
      </c>
      <c r="F57" s="801">
        <v>42916</v>
      </c>
      <c r="G57" s="802">
        <v>42916</v>
      </c>
    </row>
    <row r="58" spans="1:7" s="334" customFormat="1" ht="12" x14ac:dyDescent="0.2">
      <c r="A58" s="1070" t="s">
        <v>780</v>
      </c>
      <c r="B58" s="1071"/>
      <c r="C58" s="808" t="s">
        <v>781</v>
      </c>
      <c r="D58" s="804">
        <v>-400</v>
      </c>
      <c r="E58" s="804">
        <v>0</v>
      </c>
      <c r="F58" s="801">
        <v>42916</v>
      </c>
      <c r="G58" s="802">
        <v>42916</v>
      </c>
    </row>
    <row r="59" spans="1:7" s="334" customFormat="1" ht="12" x14ac:dyDescent="0.2">
      <c r="A59" s="1079" t="s">
        <v>782</v>
      </c>
      <c r="B59" s="1080"/>
      <c r="C59" s="807" t="s">
        <v>363</v>
      </c>
      <c r="D59" s="809">
        <v>0</v>
      </c>
      <c r="E59" s="810">
        <v>3100</v>
      </c>
      <c r="F59" s="801">
        <v>42916</v>
      </c>
      <c r="G59" s="802">
        <v>42916</v>
      </c>
    </row>
    <row r="60" spans="1:7" s="334" customFormat="1" ht="12" x14ac:dyDescent="0.2">
      <c r="A60" s="1072" t="s">
        <v>783</v>
      </c>
      <c r="B60" s="1073"/>
      <c r="C60" s="811" t="s">
        <v>761</v>
      </c>
      <c r="D60" s="800">
        <v>0</v>
      </c>
      <c r="E60" s="800">
        <v>-3100</v>
      </c>
      <c r="F60" s="801">
        <v>42916</v>
      </c>
      <c r="G60" s="802">
        <v>42916</v>
      </c>
    </row>
    <row r="61" spans="1:7" s="334" customFormat="1" ht="12" x14ac:dyDescent="0.2">
      <c r="A61" s="1072" t="s">
        <v>776</v>
      </c>
      <c r="B61" s="1073"/>
      <c r="C61" s="812" t="s">
        <v>777</v>
      </c>
      <c r="D61" s="813">
        <v>315</v>
      </c>
      <c r="E61" s="814">
        <v>0</v>
      </c>
      <c r="F61" s="801">
        <v>42916</v>
      </c>
      <c r="G61" s="802">
        <v>42916</v>
      </c>
    </row>
    <row r="62" spans="1:7" s="334" customFormat="1" ht="12" x14ac:dyDescent="0.2">
      <c r="A62" s="1072" t="s">
        <v>784</v>
      </c>
      <c r="B62" s="1073"/>
      <c r="C62" s="807" t="s">
        <v>785</v>
      </c>
      <c r="D62" s="813">
        <v>0</v>
      </c>
      <c r="E62" s="814">
        <v>315</v>
      </c>
      <c r="F62" s="801">
        <v>42916</v>
      </c>
      <c r="G62" s="802">
        <v>42916</v>
      </c>
    </row>
    <row r="63" spans="1:7" s="334" customFormat="1" ht="12" x14ac:dyDescent="0.2">
      <c r="A63" s="1072" t="s">
        <v>786</v>
      </c>
      <c r="B63" s="1076"/>
      <c r="C63" s="807" t="s">
        <v>787</v>
      </c>
      <c r="D63" s="815">
        <v>2000</v>
      </c>
      <c r="E63" s="800">
        <v>0</v>
      </c>
      <c r="F63" s="801">
        <v>42916</v>
      </c>
      <c r="G63" s="802">
        <v>42916</v>
      </c>
    </row>
    <row r="64" spans="1:7" s="334" customFormat="1" ht="12" x14ac:dyDescent="0.2">
      <c r="A64" s="1077" t="s">
        <v>788</v>
      </c>
      <c r="B64" s="1078"/>
      <c r="C64" s="816" t="s">
        <v>789</v>
      </c>
      <c r="D64" s="817">
        <v>0</v>
      </c>
      <c r="E64" s="818">
        <v>2000</v>
      </c>
      <c r="F64" s="819">
        <v>42916</v>
      </c>
      <c r="G64" s="820">
        <v>42916</v>
      </c>
    </row>
    <row r="65" spans="1:9" s="334" customFormat="1" ht="12" x14ac:dyDescent="0.2">
      <c r="A65" s="1074" t="s">
        <v>169</v>
      </c>
      <c r="B65" s="1075"/>
      <c r="C65" s="821"/>
      <c r="D65" s="822">
        <f>SUM(D41:D64)</f>
        <v>1016415</v>
      </c>
      <c r="E65" s="823">
        <f>SUM(E41:E64)</f>
        <v>1016415</v>
      </c>
      <c r="F65" s="1068"/>
      <c r="G65" s="1069"/>
    </row>
    <row r="66" spans="1:9" s="334" customFormat="1" ht="20.25" customHeight="1" x14ac:dyDescent="0.2">
      <c r="A66" s="355"/>
      <c r="B66" s="355"/>
      <c r="C66" s="824"/>
      <c r="D66" s="355"/>
      <c r="E66" s="355"/>
      <c r="F66" s="355"/>
      <c r="G66" s="355"/>
    </row>
    <row r="67" spans="1:9" s="334" customFormat="1" ht="11.25" x14ac:dyDescent="0.2">
      <c r="A67" s="865" t="s">
        <v>327</v>
      </c>
      <c r="B67" s="865"/>
      <c r="C67" s="865"/>
      <c r="D67" s="865"/>
      <c r="E67" s="865"/>
      <c r="F67" s="865"/>
      <c r="G67" s="865"/>
      <c r="H67" s="865"/>
      <c r="I67" s="865"/>
    </row>
    <row r="68" spans="1:9" s="334" customFormat="1" ht="11.25" x14ac:dyDescent="0.2">
      <c r="C68" s="369"/>
    </row>
    <row r="69" spans="1:9" s="373" customFormat="1" ht="31.5" x14ac:dyDescent="0.25">
      <c r="A69" s="866" t="s">
        <v>149</v>
      </c>
      <c r="B69" s="867"/>
      <c r="C69" s="372" t="s">
        <v>150</v>
      </c>
      <c r="D69" s="372" t="s">
        <v>151</v>
      </c>
      <c r="E69" s="372" t="s">
        <v>152</v>
      </c>
      <c r="F69" s="372" t="s">
        <v>153</v>
      </c>
      <c r="G69" s="372" t="s">
        <v>154</v>
      </c>
    </row>
    <row r="70" spans="1:9" s="334" customFormat="1" ht="11.25" customHeight="1" x14ac:dyDescent="0.2">
      <c r="A70" s="1070" t="s">
        <v>790</v>
      </c>
      <c r="B70" s="1071"/>
      <c r="C70" s="825" t="s">
        <v>791</v>
      </c>
      <c r="D70" s="804">
        <v>48000</v>
      </c>
      <c r="E70" s="804">
        <v>0</v>
      </c>
      <c r="F70" s="826">
        <v>42916</v>
      </c>
      <c r="G70" s="806">
        <v>42916</v>
      </c>
    </row>
    <row r="71" spans="1:9" s="334" customFormat="1" ht="11.25" customHeight="1" x14ac:dyDescent="0.2">
      <c r="A71" s="1072" t="s">
        <v>792</v>
      </c>
      <c r="B71" s="1073"/>
      <c r="C71" s="827" t="s">
        <v>793</v>
      </c>
      <c r="D71" s="800">
        <v>0</v>
      </c>
      <c r="E71" s="800">
        <v>30000</v>
      </c>
      <c r="F71" s="826">
        <v>42916</v>
      </c>
      <c r="G71" s="806">
        <v>42916</v>
      </c>
    </row>
    <row r="72" spans="1:9" s="334" customFormat="1" ht="11.25" customHeight="1" x14ac:dyDescent="0.2">
      <c r="A72" s="1072" t="s">
        <v>788</v>
      </c>
      <c r="B72" s="1073"/>
      <c r="C72" s="828" t="s">
        <v>794</v>
      </c>
      <c r="D72" s="829">
        <v>0</v>
      </c>
      <c r="E72" s="829">
        <v>1000</v>
      </c>
      <c r="F72" s="826">
        <v>42916</v>
      </c>
      <c r="G72" s="806">
        <v>42916</v>
      </c>
    </row>
    <row r="73" spans="1:9" s="334" customFormat="1" ht="11.25" customHeight="1" x14ac:dyDescent="0.2">
      <c r="A73" s="1072" t="s">
        <v>795</v>
      </c>
      <c r="B73" s="1073"/>
      <c r="C73" s="830" t="s">
        <v>796</v>
      </c>
      <c r="D73" s="829">
        <v>0</v>
      </c>
      <c r="E73" s="829">
        <v>5000</v>
      </c>
      <c r="F73" s="826">
        <v>42916</v>
      </c>
      <c r="G73" s="806">
        <v>42916</v>
      </c>
    </row>
    <row r="74" spans="1:9" s="334" customFormat="1" ht="11.25" customHeight="1" x14ac:dyDescent="0.2">
      <c r="A74" s="1072" t="s">
        <v>782</v>
      </c>
      <c r="B74" s="1073"/>
      <c r="C74" s="830" t="s">
        <v>797</v>
      </c>
      <c r="D74" s="829">
        <v>0</v>
      </c>
      <c r="E74" s="829">
        <v>12000</v>
      </c>
      <c r="F74" s="826">
        <v>42916</v>
      </c>
      <c r="G74" s="806">
        <v>42916</v>
      </c>
    </row>
    <row r="75" spans="1:9" s="334" customFormat="1" ht="11.25" customHeight="1" x14ac:dyDescent="0.2">
      <c r="A75" s="1074" t="s">
        <v>169</v>
      </c>
      <c r="B75" s="1075"/>
      <c r="C75" s="831"/>
      <c r="D75" s="823">
        <f>SUM(D70:D74)</f>
        <v>48000</v>
      </c>
      <c r="E75" s="823">
        <f>SUM(E70:E74)</f>
        <v>48000</v>
      </c>
      <c r="F75" s="1068"/>
      <c r="G75" s="1069"/>
    </row>
    <row r="76" spans="1:9" s="334" customFormat="1" ht="11.25" customHeight="1" x14ac:dyDescent="0.2">
      <c r="A76" s="832"/>
      <c r="B76" s="482"/>
      <c r="C76" s="605"/>
      <c r="D76" s="606"/>
      <c r="E76" s="606"/>
      <c r="F76" s="833"/>
      <c r="G76" s="833"/>
    </row>
    <row r="77" spans="1:9" s="340" customFormat="1" ht="11.25" x14ac:dyDescent="0.2">
      <c r="A77" s="860" t="s">
        <v>172</v>
      </c>
      <c r="B77" s="860"/>
      <c r="C77" s="860"/>
      <c r="D77" s="860"/>
      <c r="E77" s="860"/>
      <c r="F77" s="860"/>
      <c r="G77" s="860"/>
      <c r="H77" s="860"/>
      <c r="I77" s="860"/>
    </row>
    <row r="78" spans="1:9" s="334" customFormat="1" ht="11.25" x14ac:dyDescent="0.2"/>
    <row r="79" spans="1:9" s="334" customFormat="1" ht="11.25" x14ac:dyDescent="0.2">
      <c r="A79" s="862" t="s">
        <v>798</v>
      </c>
      <c r="B79" s="863"/>
      <c r="C79" s="863"/>
      <c r="D79" s="863"/>
      <c r="E79" s="863"/>
      <c r="F79" s="863"/>
      <c r="G79" s="863"/>
      <c r="H79" s="863"/>
      <c r="I79" s="864"/>
    </row>
    <row r="80" spans="1:9" s="334" customFormat="1" ht="11.25" x14ac:dyDescent="0.2"/>
    <row r="81" spans="1:9" s="333" customFormat="1" ht="10.5" x14ac:dyDescent="0.15">
      <c r="A81" s="861" t="s">
        <v>175</v>
      </c>
      <c r="B81" s="861"/>
      <c r="C81" s="861"/>
      <c r="D81" s="861"/>
      <c r="E81" s="861"/>
      <c r="F81" s="861"/>
      <c r="G81" s="861"/>
      <c r="H81" s="861"/>
      <c r="I81" s="861"/>
    </row>
    <row r="82" spans="1:9" s="334" customFormat="1" ht="11.25" x14ac:dyDescent="0.2"/>
    <row r="83" spans="1:9" s="334" customFormat="1" ht="27" customHeight="1" x14ac:dyDescent="0.2">
      <c r="A83" s="862" t="s">
        <v>799</v>
      </c>
      <c r="B83" s="863"/>
      <c r="C83" s="863"/>
      <c r="D83" s="863"/>
      <c r="E83" s="863"/>
      <c r="F83" s="863"/>
      <c r="G83" s="863"/>
      <c r="H83" s="863"/>
      <c r="I83" s="864"/>
    </row>
    <row r="85" spans="1:9" x14ac:dyDescent="0.2">
      <c r="A85" s="392" t="s">
        <v>800</v>
      </c>
    </row>
  </sheetData>
  <mergeCells count="71">
    <mergeCell ref="G12:I12"/>
    <mergeCell ref="A1:I1"/>
    <mergeCell ref="A3:I3"/>
    <mergeCell ref="A5:B5"/>
    <mergeCell ref="D5:I5"/>
    <mergeCell ref="A6:B6"/>
    <mergeCell ref="D6:I6"/>
    <mergeCell ref="A7:B7"/>
    <mergeCell ref="D7:I7"/>
    <mergeCell ref="A8:B8"/>
    <mergeCell ref="D8:I8"/>
    <mergeCell ref="A10:I10"/>
    <mergeCell ref="D28:I28"/>
    <mergeCell ref="G13:I13"/>
    <mergeCell ref="G14:I14"/>
    <mergeCell ref="G15:I15"/>
    <mergeCell ref="G16:I16"/>
    <mergeCell ref="G17:I17"/>
    <mergeCell ref="A19:I19"/>
    <mergeCell ref="D21:I21"/>
    <mergeCell ref="D22:I22"/>
    <mergeCell ref="C23:I23"/>
    <mergeCell ref="A25:I25"/>
    <mergeCell ref="D27:I27"/>
    <mergeCell ref="A44:B44"/>
    <mergeCell ref="C29:I29"/>
    <mergeCell ref="A31:I31"/>
    <mergeCell ref="C33:I33"/>
    <mergeCell ref="C34:I34"/>
    <mergeCell ref="C35:I35"/>
    <mergeCell ref="C36:I36"/>
    <mergeCell ref="A38:I38"/>
    <mergeCell ref="A40:B40"/>
    <mergeCell ref="A41:B41"/>
    <mergeCell ref="A42:B42"/>
    <mergeCell ref="A43:B43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9:B69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F65:G65"/>
    <mergeCell ref="A67:I67"/>
    <mergeCell ref="A70:B70"/>
    <mergeCell ref="A71:B71"/>
    <mergeCell ref="A72:B72"/>
    <mergeCell ref="A73:B73"/>
    <mergeCell ref="A74:B74"/>
    <mergeCell ref="F75:G75"/>
    <mergeCell ref="A77:I77"/>
    <mergeCell ref="A79:I79"/>
    <mergeCell ref="A81:I81"/>
    <mergeCell ref="A83:I83"/>
    <mergeCell ref="A75:B75"/>
  </mergeCells>
  <pageMargins left="0.70866141732283472" right="0.70866141732283472" top="0.78740157480314965" bottom="0.78740157480314965" header="0.31496062992125984" footer="0.31496062992125984"/>
  <pageSetup paperSize="9" scale="61" firstPageNumber="71" fitToHeight="3" orientation="portrait" useFirstPageNumber="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activeCell="U50" sqref="U50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99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1089" t="s">
        <v>1</v>
      </c>
      <c r="B3" s="1093" t="s">
        <v>2</v>
      </c>
      <c r="C3" s="1092"/>
      <c r="D3" s="1093" t="s">
        <v>3</v>
      </c>
      <c r="E3" s="1094" t="s">
        <v>4</v>
      </c>
      <c r="F3" s="1094"/>
      <c r="G3" s="1094"/>
      <c r="H3" s="1094"/>
      <c r="I3" s="1094"/>
      <c r="J3" s="1094" t="s">
        <v>5</v>
      </c>
      <c r="K3" s="1094"/>
      <c r="L3" s="1094"/>
      <c r="M3" s="1094"/>
      <c r="N3" s="1094"/>
      <c r="O3" s="1094" t="s">
        <v>6</v>
      </c>
      <c r="P3" s="1094"/>
      <c r="Q3" s="1094"/>
      <c r="R3" s="1094"/>
      <c r="S3" s="1094"/>
      <c r="T3" s="1094" t="s">
        <v>7</v>
      </c>
      <c r="U3" s="1094"/>
      <c r="V3" s="1094"/>
      <c r="W3" s="1094"/>
      <c r="X3" s="1094"/>
    </row>
    <row r="4" spans="1:24" s="3" customFormat="1" ht="9.75" customHeight="1" x14ac:dyDescent="0.2">
      <c r="A4" s="1092"/>
      <c r="B4" s="1092"/>
      <c r="C4" s="1092"/>
      <c r="D4" s="1093"/>
      <c r="E4" s="1090" t="s">
        <v>8</v>
      </c>
      <c r="F4" s="1091" t="s">
        <v>9</v>
      </c>
      <c r="G4" s="1091"/>
      <c r="H4" s="1091"/>
      <c r="I4" s="1089" t="s">
        <v>10</v>
      </c>
      <c r="J4" s="1090" t="s">
        <v>8</v>
      </c>
      <c r="K4" s="1091" t="s">
        <v>9</v>
      </c>
      <c r="L4" s="1091"/>
      <c r="M4" s="1091"/>
      <c r="N4" s="1089" t="s">
        <v>10</v>
      </c>
      <c r="O4" s="1090" t="s">
        <v>8</v>
      </c>
      <c r="P4" s="1091" t="s">
        <v>9</v>
      </c>
      <c r="Q4" s="1091"/>
      <c r="R4" s="1091"/>
      <c r="S4" s="1089" t="s">
        <v>10</v>
      </c>
      <c r="T4" s="1090" t="s">
        <v>8</v>
      </c>
      <c r="U4" s="1091" t="s">
        <v>9</v>
      </c>
      <c r="V4" s="1091"/>
      <c r="W4" s="1091"/>
      <c r="X4" s="1089" t="s">
        <v>10</v>
      </c>
    </row>
    <row r="5" spans="1:24" s="5" customFormat="1" ht="9.75" customHeight="1" x14ac:dyDescent="0.2">
      <c r="A5" s="1092"/>
      <c r="B5" s="1092"/>
      <c r="C5" s="1092"/>
      <c r="D5" s="1093"/>
      <c r="E5" s="1090"/>
      <c r="F5" s="143" t="s">
        <v>11</v>
      </c>
      <c r="G5" s="143" t="s">
        <v>12</v>
      </c>
      <c r="H5" s="143" t="s">
        <v>13</v>
      </c>
      <c r="I5" s="1089"/>
      <c r="J5" s="1090"/>
      <c r="K5" s="143" t="s">
        <v>11</v>
      </c>
      <c r="L5" s="143" t="s">
        <v>12</v>
      </c>
      <c r="M5" s="143" t="s">
        <v>13</v>
      </c>
      <c r="N5" s="1089"/>
      <c r="O5" s="1090"/>
      <c r="P5" s="143" t="s">
        <v>11</v>
      </c>
      <c r="Q5" s="143" t="s">
        <v>12</v>
      </c>
      <c r="R5" s="143" t="s">
        <v>13</v>
      </c>
      <c r="S5" s="1089"/>
      <c r="T5" s="1090"/>
      <c r="U5" s="143" t="s">
        <v>11</v>
      </c>
      <c r="V5" s="143" t="s">
        <v>12</v>
      </c>
      <c r="W5" s="143" t="s">
        <v>13</v>
      </c>
      <c r="X5" s="1089"/>
    </row>
    <row r="6" spans="1:24" s="2" customFormat="1" ht="9.75" customHeight="1" x14ac:dyDescent="0.2">
      <c r="A6" s="270" t="s">
        <v>14</v>
      </c>
      <c r="B6" s="1088" t="s">
        <v>15</v>
      </c>
      <c r="C6" s="1088"/>
      <c r="D6" s="187" t="s">
        <v>16</v>
      </c>
      <c r="E6" s="147">
        <f>SUM(E7:E9)</f>
        <v>39610220</v>
      </c>
      <c r="F6" s="147">
        <f>SUM(F7:F9)</f>
        <v>41030561.100000001</v>
      </c>
      <c r="G6" s="147">
        <f>SUM(G7:G9)</f>
        <v>21305547.170000002</v>
      </c>
      <c r="H6" s="148">
        <f t="shared" ref="H6:H36" si="0">G6/F6*100</f>
        <v>51.926043901944105</v>
      </c>
      <c r="I6" s="147">
        <f>SUM(I7:I9)</f>
        <v>23096413</v>
      </c>
      <c r="J6" s="147">
        <f>SUM(J7:J9)</f>
        <v>5592680</v>
      </c>
      <c r="K6" s="147">
        <f t="shared" ref="K6:X6" si="1">SUM(K7:K9)</f>
        <v>6021535</v>
      </c>
      <c r="L6" s="147">
        <f t="shared" si="1"/>
        <v>3306571.05</v>
      </c>
      <c r="M6" s="148">
        <f>L6/K6*100</f>
        <v>54.912427645110419</v>
      </c>
      <c r="N6" s="147">
        <f t="shared" si="1"/>
        <v>3002013</v>
      </c>
      <c r="O6" s="147">
        <f t="shared" si="1"/>
        <v>34017540</v>
      </c>
      <c r="P6" s="147">
        <f t="shared" si="1"/>
        <v>35009026.100000001</v>
      </c>
      <c r="Q6" s="147">
        <f>SUM(Q7:Q9)</f>
        <v>17998976.120000001</v>
      </c>
      <c r="R6" s="148">
        <f>Q6/P6*100</f>
        <v>51.412387390005122</v>
      </c>
      <c r="S6" s="147">
        <f t="shared" si="1"/>
        <v>20094400</v>
      </c>
      <c r="T6" s="147">
        <f t="shared" si="1"/>
        <v>350000</v>
      </c>
      <c r="U6" s="147">
        <f t="shared" si="1"/>
        <v>350000</v>
      </c>
      <c r="V6" s="147">
        <f t="shared" si="1"/>
        <v>314824</v>
      </c>
      <c r="W6" s="148">
        <f>V6/U6*100</f>
        <v>89.949714285714293</v>
      </c>
      <c r="X6" s="147">
        <f t="shared" si="1"/>
        <v>264274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2">SUM(J7,O7)</f>
        <v>390000</v>
      </c>
      <c r="F7" s="12">
        <f t="shared" si="2"/>
        <v>421855</v>
      </c>
      <c r="G7" s="12">
        <f t="shared" si="2"/>
        <v>308759.59999999998</v>
      </c>
      <c r="H7" s="13">
        <f t="shared" si="0"/>
        <v>73.190930533003041</v>
      </c>
      <c r="I7" s="12">
        <f>SUM(N7,S7)</f>
        <v>321455</v>
      </c>
      <c r="J7" s="44">
        <v>390000</v>
      </c>
      <c r="K7" s="14">
        <f>390000+5192+21888+4775</f>
        <v>421855</v>
      </c>
      <c r="L7" s="14">
        <f>276410+5060+27289.6</f>
        <v>308759.59999999998</v>
      </c>
      <c r="M7" s="13">
        <f>L7/K7*100</f>
        <v>73.190930533003041</v>
      </c>
      <c r="N7" s="14">
        <v>321455</v>
      </c>
      <c r="O7" s="14">
        <v>0</v>
      </c>
      <c r="P7" s="14">
        <v>0</v>
      </c>
      <c r="Q7" s="14">
        <v>0</v>
      </c>
      <c r="R7" s="13">
        <v>0</v>
      </c>
      <c r="S7" s="14">
        <v>0</v>
      </c>
      <c r="T7" s="14">
        <f>348000+2000</f>
        <v>350000</v>
      </c>
      <c r="U7" s="14">
        <v>350000</v>
      </c>
      <c r="V7" s="14">
        <v>314824</v>
      </c>
      <c r="W7" s="13">
        <f>V7/U7*100</f>
        <v>89.949714285714293</v>
      </c>
      <c r="X7" s="14">
        <v>264274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2"/>
        <v>2000</v>
      </c>
      <c r="F8" s="12">
        <f t="shared" si="2"/>
        <v>2025</v>
      </c>
      <c r="G8" s="12">
        <f>SUM(L8,Q8)</f>
        <v>496.46999999999997</v>
      </c>
      <c r="H8" s="13">
        <f t="shared" si="0"/>
        <v>24.517037037037035</v>
      </c>
      <c r="I8" s="12">
        <f>SUM(N8,S8)</f>
        <v>834</v>
      </c>
      <c r="J8" s="45">
        <v>2000</v>
      </c>
      <c r="K8" s="12">
        <v>2000</v>
      </c>
      <c r="L8" s="12">
        <v>471.45</v>
      </c>
      <c r="M8" s="13">
        <f>L8/K8*100</f>
        <v>23.572499999999998</v>
      </c>
      <c r="N8" s="12">
        <v>834</v>
      </c>
      <c r="O8" s="12">
        <v>0</v>
      </c>
      <c r="P8" s="12">
        <v>25</v>
      </c>
      <c r="Q8" s="12">
        <v>25.02</v>
      </c>
      <c r="R8" s="13">
        <f>Q8/P8*100</f>
        <v>100.07999999999998</v>
      </c>
      <c r="S8" s="12">
        <v>0</v>
      </c>
      <c r="T8" s="12">
        <v>0</v>
      </c>
      <c r="U8" s="12">
        <v>0</v>
      </c>
      <c r="V8" s="12">
        <v>0</v>
      </c>
      <c r="W8" s="13">
        <v>0</v>
      </c>
      <c r="X8" s="12">
        <v>0</v>
      </c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2"/>
        <v>39218220</v>
      </c>
      <c r="F9" s="12">
        <f t="shared" si="2"/>
        <v>40606681.100000001</v>
      </c>
      <c r="G9" s="12">
        <f>SUM(L9,Q9)</f>
        <v>20996291.100000001</v>
      </c>
      <c r="H9" s="13">
        <f t="shared" si="0"/>
        <v>51.706493934565856</v>
      </c>
      <c r="I9" s="12">
        <f>SUM(N9,S9)</f>
        <v>22774124</v>
      </c>
      <c r="J9" s="45">
        <v>5200680</v>
      </c>
      <c r="K9" s="12">
        <f>J9+77000+320000</f>
        <v>5597680</v>
      </c>
      <c r="L9" s="12">
        <v>2997340</v>
      </c>
      <c r="M9" s="13">
        <f>L9/K9*100</f>
        <v>53.546111960669421</v>
      </c>
      <c r="N9" s="12">
        <v>2679724</v>
      </c>
      <c r="O9" s="12">
        <v>34017540</v>
      </c>
      <c r="P9" s="12">
        <f>34017540+991461.1</f>
        <v>35009001.100000001</v>
      </c>
      <c r="Q9" s="12">
        <f>17007490+991461.1</f>
        <v>17998951.100000001</v>
      </c>
      <c r="R9" s="13">
        <f>Q9/P9*100</f>
        <v>51.412352636362421</v>
      </c>
      <c r="S9" s="12">
        <v>20094400</v>
      </c>
      <c r="T9" s="12">
        <v>0</v>
      </c>
      <c r="U9" s="12">
        <v>0</v>
      </c>
      <c r="V9" s="12">
        <v>0</v>
      </c>
      <c r="W9" s="13">
        <v>0</v>
      </c>
      <c r="X9" s="12">
        <v>0</v>
      </c>
    </row>
    <row r="10" spans="1:24" s="2" customFormat="1" ht="9.75" x14ac:dyDescent="0.2">
      <c r="A10" s="270" t="s">
        <v>23</v>
      </c>
      <c r="B10" s="1088" t="s">
        <v>24</v>
      </c>
      <c r="C10" s="1088"/>
      <c r="D10" s="187" t="s">
        <v>16</v>
      </c>
      <c r="E10" s="188">
        <f t="shared" si="2"/>
        <v>0</v>
      </c>
      <c r="F10" s="188">
        <f t="shared" si="2"/>
        <v>0</v>
      </c>
      <c r="G10" s="188">
        <f t="shared" si="2"/>
        <v>0</v>
      </c>
      <c r="H10" s="148">
        <v>0</v>
      </c>
      <c r="I10" s="188">
        <f>SUM(N10,S10)</f>
        <v>0</v>
      </c>
      <c r="J10" s="271">
        <v>0</v>
      </c>
      <c r="K10" s="188">
        <v>0</v>
      </c>
      <c r="L10" s="188">
        <v>0</v>
      </c>
      <c r="M10" s="148">
        <v>0</v>
      </c>
      <c r="N10" s="188">
        <v>0</v>
      </c>
      <c r="O10" s="188">
        <v>0</v>
      </c>
      <c r="P10" s="188">
        <v>0</v>
      </c>
      <c r="Q10" s="188">
        <v>0</v>
      </c>
      <c r="R10" s="148">
        <v>0</v>
      </c>
      <c r="S10" s="188">
        <v>0</v>
      </c>
      <c r="T10" s="188">
        <v>0</v>
      </c>
      <c r="U10" s="188">
        <v>0</v>
      </c>
      <c r="V10" s="188">
        <v>0</v>
      </c>
      <c r="W10" s="148">
        <v>0</v>
      </c>
      <c r="X10" s="188">
        <v>0</v>
      </c>
    </row>
    <row r="11" spans="1:24" s="2" customFormat="1" ht="9.75" x14ac:dyDescent="0.2">
      <c r="A11" s="270" t="s">
        <v>25</v>
      </c>
      <c r="B11" s="1088" t="s">
        <v>26</v>
      </c>
      <c r="C11" s="1088"/>
      <c r="D11" s="187" t="s">
        <v>16</v>
      </c>
      <c r="E11" s="147">
        <f>SUM(E12:E31)</f>
        <v>39610220</v>
      </c>
      <c r="F11" s="147">
        <f>SUM(F12:F31)</f>
        <v>41030561.119999997</v>
      </c>
      <c r="G11" s="147">
        <f>SUM(G12:G31)</f>
        <v>19008479.48</v>
      </c>
      <c r="H11" s="148">
        <f t="shared" si="0"/>
        <v>46.327612786983011</v>
      </c>
      <c r="I11" s="147">
        <f>SUM(I12:I31)</f>
        <v>17230123</v>
      </c>
      <c r="J11" s="147">
        <f>SUM(J12:J31)</f>
        <v>5592680</v>
      </c>
      <c r="K11" s="147">
        <f>SUM(K12:K31)</f>
        <v>6021535</v>
      </c>
      <c r="L11" s="147">
        <f>SUM(L12:L31)</f>
        <v>2439568.77</v>
      </c>
      <c r="M11" s="148">
        <f>L11/K11*100</f>
        <v>40.514067758470226</v>
      </c>
      <c r="N11" s="147">
        <f>SUM(N12:N31)</f>
        <v>2702796</v>
      </c>
      <c r="O11" s="147">
        <f>SUM(O12:O31)</f>
        <v>34017540</v>
      </c>
      <c r="P11" s="147">
        <f>SUM(P12:P31)</f>
        <v>35009026.119999997</v>
      </c>
      <c r="Q11" s="147">
        <f>SUM(Q12:Q31)</f>
        <v>16568910.710000001</v>
      </c>
      <c r="R11" s="148">
        <f>Q11/P11*100</f>
        <v>47.327539627086324</v>
      </c>
      <c r="S11" s="147">
        <f>SUM(S12:S31)</f>
        <v>14527327</v>
      </c>
      <c r="T11" s="147">
        <f>SUM(T12:T31)</f>
        <v>268850</v>
      </c>
      <c r="U11" s="147">
        <f>SUM(U12:U31)</f>
        <v>270700</v>
      </c>
      <c r="V11" s="147">
        <f>SUM(V12:V31)</f>
        <v>127831</v>
      </c>
      <c r="W11" s="148">
        <f>V11/U11*100</f>
        <v>47.222386405615076</v>
      </c>
      <c r="X11" s="147">
        <f>SUM(X12:X31)</f>
        <v>132166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3">SUM(J12,O12)</f>
        <v>1037070</v>
      </c>
      <c r="F12" s="12">
        <f t="shared" si="3"/>
        <v>1114845</v>
      </c>
      <c r="G12" s="12">
        <f t="shared" si="3"/>
        <v>228888</v>
      </c>
      <c r="H12" s="13">
        <f t="shared" si="0"/>
        <v>20.530925823769223</v>
      </c>
      <c r="I12" s="12">
        <f t="shared" si="3"/>
        <v>310739</v>
      </c>
      <c r="J12" s="20">
        <v>746530</v>
      </c>
      <c r="K12" s="21">
        <f>J12+77000+4775</f>
        <v>828305</v>
      </c>
      <c r="L12" s="21">
        <v>220159</v>
      </c>
      <c r="M12" s="13">
        <f>L12/K12*100</f>
        <v>26.579460464442445</v>
      </c>
      <c r="N12" s="22">
        <v>301310</v>
      </c>
      <c r="O12" s="21">
        <v>290540</v>
      </c>
      <c r="P12" s="21">
        <f>O12-4000</f>
        <v>286540</v>
      </c>
      <c r="Q12" s="21">
        <v>8729</v>
      </c>
      <c r="R12" s="13">
        <f>Q12/P12*100</f>
        <v>3.0463460598869267</v>
      </c>
      <c r="S12" s="21">
        <v>9429</v>
      </c>
      <c r="T12" s="21">
        <v>20000</v>
      </c>
      <c r="U12" s="21">
        <v>14000</v>
      </c>
      <c r="V12" s="21">
        <v>6120</v>
      </c>
      <c r="W12" s="13">
        <f>V12/U12*100</f>
        <v>43.714285714285715</v>
      </c>
      <c r="X12" s="202">
        <v>10049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3"/>
        <v>2080000</v>
      </c>
      <c r="F13" s="12">
        <f t="shared" si="3"/>
        <v>2080000</v>
      </c>
      <c r="G13" s="12">
        <f t="shared" si="3"/>
        <v>1273762</v>
      </c>
      <c r="H13" s="13">
        <f t="shared" si="0"/>
        <v>61.238557692307694</v>
      </c>
      <c r="I13" s="12">
        <f t="shared" si="3"/>
        <v>1482448</v>
      </c>
      <c r="J13" s="20">
        <v>2080000</v>
      </c>
      <c r="K13" s="12">
        <v>2080000</v>
      </c>
      <c r="L13" s="12">
        <v>1273762</v>
      </c>
      <c r="M13" s="13">
        <f>L13/K13*100</f>
        <v>61.238557692307694</v>
      </c>
      <c r="N13" s="12">
        <v>1482448</v>
      </c>
      <c r="O13" s="12">
        <v>0</v>
      </c>
      <c r="P13" s="12">
        <v>0</v>
      </c>
      <c r="Q13" s="12">
        <v>0</v>
      </c>
      <c r="R13" s="13">
        <v>0</v>
      </c>
      <c r="S13" s="12">
        <v>0</v>
      </c>
      <c r="T13" s="12">
        <v>155000</v>
      </c>
      <c r="U13" s="12">
        <v>155000</v>
      </c>
      <c r="V13" s="12">
        <v>71325</v>
      </c>
      <c r="W13" s="13">
        <f>V13/U13*100</f>
        <v>46.016129032258064</v>
      </c>
      <c r="X13" s="272">
        <v>88506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si="3"/>
        <v>0</v>
      </c>
      <c r="F14" s="12">
        <f t="shared" si="3"/>
        <v>0</v>
      </c>
      <c r="G14" s="12">
        <f t="shared" si="3"/>
        <v>0</v>
      </c>
      <c r="H14" s="13">
        <v>0</v>
      </c>
      <c r="I14" s="12">
        <f t="shared" si="3"/>
        <v>0</v>
      </c>
      <c r="J14" s="20">
        <v>0</v>
      </c>
      <c r="K14" s="12">
        <v>0</v>
      </c>
      <c r="L14" s="12">
        <v>0</v>
      </c>
      <c r="M14" s="13">
        <v>0</v>
      </c>
      <c r="N14" s="12">
        <v>0</v>
      </c>
      <c r="O14" s="12">
        <v>0</v>
      </c>
      <c r="P14" s="12">
        <v>0</v>
      </c>
      <c r="Q14" s="12">
        <v>0</v>
      </c>
      <c r="R14" s="13">
        <v>0</v>
      </c>
      <c r="S14" s="12">
        <v>0</v>
      </c>
      <c r="T14" s="12">
        <v>0</v>
      </c>
      <c r="U14" s="12">
        <v>0</v>
      </c>
      <c r="V14" s="12">
        <v>0</v>
      </c>
      <c r="W14" s="13">
        <v>0</v>
      </c>
      <c r="X14" s="272">
        <v>0</v>
      </c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3"/>
        <v>650000</v>
      </c>
      <c r="F15" s="12">
        <f t="shared" si="3"/>
        <v>946037</v>
      </c>
      <c r="G15" s="12">
        <f t="shared" si="3"/>
        <v>72018</v>
      </c>
      <c r="H15" s="13">
        <f t="shared" si="0"/>
        <v>7.6125986615745473</v>
      </c>
      <c r="I15" s="12">
        <f t="shared" si="3"/>
        <v>77792</v>
      </c>
      <c r="J15" s="20">
        <v>650000</v>
      </c>
      <c r="K15" s="12">
        <f>J15+320000-23963</f>
        <v>946037</v>
      </c>
      <c r="L15" s="12">
        <v>72018</v>
      </c>
      <c r="M15" s="13">
        <f>L15/K15*100</f>
        <v>7.6125986615745473</v>
      </c>
      <c r="N15" s="12">
        <v>77792</v>
      </c>
      <c r="O15" s="12">
        <v>0</v>
      </c>
      <c r="P15" s="12">
        <v>0</v>
      </c>
      <c r="Q15" s="12">
        <v>0</v>
      </c>
      <c r="R15" s="13">
        <v>0</v>
      </c>
      <c r="S15" s="12">
        <v>0</v>
      </c>
      <c r="T15" s="12">
        <v>25000</v>
      </c>
      <c r="U15" s="12">
        <v>10000</v>
      </c>
      <c r="V15" s="12">
        <v>3220</v>
      </c>
      <c r="W15" s="13">
        <f>V15/U15*100</f>
        <v>32.200000000000003</v>
      </c>
      <c r="X15" s="272">
        <v>295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3"/>
        <v>39000</v>
      </c>
      <c r="F16" s="12">
        <f t="shared" si="3"/>
        <v>43000</v>
      </c>
      <c r="G16" s="12">
        <f t="shared" si="3"/>
        <v>40862</v>
      </c>
      <c r="H16" s="13">
        <f t="shared" si="0"/>
        <v>95.027906976744177</v>
      </c>
      <c r="I16" s="12">
        <f t="shared" si="3"/>
        <v>28896</v>
      </c>
      <c r="J16" s="20">
        <v>3000</v>
      </c>
      <c r="K16" s="12">
        <v>3000</v>
      </c>
      <c r="L16" s="12">
        <v>880</v>
      </c>
      <c r="M16" s="13">
        <f>L16/K16*100</f>
        <v>29.333333333333332</v>
      </c>
      <c r="N16" s="12">
        <v>138</v>
      </c>
      <c r="O16" s="12">
        <v>36000</v>
      </c>
      <c r="P16" s="12">
        <f>O16+4000</f>
        <v>40000</v>
      </c>
      <c r="Q16" s="12">
        <v>39982</v>
      </c>
      <c r="R16" s="13">
        <f>Q16/P16*100</f>
        <v>99.954999999999998</v>
      </c>
      <c r="S16" s="12">
        <v>28758</v>
      </c>
      <c r="T16" s="12">
        <v>0</v>
      </c>
      <c r="U16" s="12">
        <v>0</v>
      </c>
      <c r="V16" s="12">
        <v>0</v>
      </c>
      <c r="W16" s="13">
        <v>0</v>
      </c>
      <c r="X16" s="272">
        <v>0</v>
      </c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3"/>
        <v>5000</v>
      </c>
      <c r="F17" s="12">
        <f t="shared" si="3"/>
        <v>5000</v>
      </c>
      <c r="G17" s="12">
        <f t="shared" si="3"/>
        <v>2063</v>
      </c>
      <c r="H17" s="13">
        <f t="shared" si="0"/>
        <v>41.260000000000005</v>
      </c>
      <c r="I17" s="12">
        <f t="shared" si="3"/>
        <v>1067</v>
      </c>
      <c r="J17" s="20">
        <v>5000</v>
      </c>
      <c r="K17" s="12">
        <v>5000</v>
      </c>
      <c r="L17" s="12">
        <v>2063</v>
      </c>
      <c r="M17" s="13">
        <f>L17/K17*100</f>
        <v>41.260000000000005</v>
      </c>
      <c r="N17" s="12">
        <v>1067</v>
      </c>
      <c r="O17" s="12">
        <v>0</v>
      </c>
      <c r="P17" s="12">
        <v>0</v>
      </c>
      <c r="Q17" s="12">
        <v>0</v>
      </c>
      <c r="R17" s="13">
        <v>0</v>
      </c>
      <c r="S17" s="12">
        <v>0</v>
      </c>
      <c r="T17" s="12">
        <v>0</v>
      </c>
      <c r="U17" s="12">
        <v>0</v>
      </c>
      <c r="V17" s="12">
        <v>0</v>
      </c>
      <c r="W17" s="13">
        <v>0</v>
      </c>
      <c r="X17" s="272">
        <v>0</v>
      </c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3"/>
        <v>621500</v>
      </c>
      <c r="F18" s="12">
        <f t="shared" si="3"/>
        <v>622004</v>
      </c>
      <c r="G18" s="12">
        <f t="shared" si="3"/>
        <v>335478.52</v>
      </c>
      <c r="H18" s="13">
        <f t="shared" si="0"/>
        <v>53.935106526646138</v>
      </c>
      <c r="I18" s="12">
        <f t="shared" si="3"/>
        <v>265434</v>
      </c>
      <c r="J18" s="20">
        <v>460000</v>
      </c>
      <c r="K18" s="12">
        <v>460000</v>
      </c>
      <c r="L18" s="12">
        <v>222152.52</v>
      </c>
      <c r="M18" s="13">
        <f>L18/K18*100</f>
        <v>48.294026086956521</v>
      </c>
      <c r="N18" s="12">
        <v>196592</v>
      </c>
      <c r="O18" s="12">
        <v>161500</v>
      </c>
      <c r="P18" s="12">
        <f>O18+504</f>
        <v>162004</v>
      </c>
      <c r="Q18" s="12">
        <f>112822+504</f>
        <v>113326</v>
      </c>
      <c r="R18" s="13">
        <f>Q18/P18*100</f>
        <v>69.952593763116951</v>
      </c>
      <c r="S18" s="12">
        <v>68842</v>
      </c>
      <c r="T18" s="12">
        <v>3600</v>
      </c>
      <c r="U18" s="12">
        <v>9000</v>
      </c>
      <c r="V18" s="12">
        <v>4566</v>
      </c>
      <c r="W18" s="13">
        <f>V18/U18*100</f>
        <v>50.733333333333327</v>
      </c>
      <c r="X18" s="272">
        <v>1057</v>
      </c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3"/>
        <v>24761650</v>
      </c>
      <c r="F19" s="12">
        <f t="shared" si="3"/>
        <v>25500393</v>
      </c>
      <c r="G19" s="12">
        <f t="shared" si="3"/>
        <v>12191752</v>
      </c>
      <c r="H19" s="13">
        <f t="shared" si="0"/>
        <v>47.810055319539586</v>
      </c>
      <c r="I19" s="12">
        <f t="shared" si="3"/>
        <v>10736021</v>
      </c>
      <c r="J19" s="23">
        <v>225750</v>
      </c>
      <c r="K19" s="12">
        <v>225750</v>
      </c>
      <c r="L19" s="12">
        <v>107157</v>
      </c>
      <c r="M19" s="13">
        <f>L19/K19*100</f>
        <v>47.467109634551498</v>
      </c>
      <c r="N19" s="12">
        <v>109100</v>
      </c>
      <c r="O19" s="12">
        <v>24535900</v>
      </c>
      <c r="P19" s="12">
        <f>O19+738743</f>
        <v>25274643</v>
      </c>
      <c r="Q19" s="12">
        <f>11345852+738743</f>
        <v>12084595</v>
      </c>
      <c r="R19" s="13">
        <f>Q19/P19*100</f>
        <v>47.813118468181727</v>
      </c>
      <c r="S19" s="12">
        <v>10626921</v>
      </c>
      <c r="T19" s="24">
        <v>38000</v>
      </c>
      <c r="U19" s="24">
        <v>55260</v>
      </c>
      <c r="V19" s="24">
        <v>28900</v>
      </c>
      <c r="W19" s="13">
        <f>V19/U19*100</f>
        <v>52.298226565327546</v>
      </c>
      <c r="X19" s="273">
        <v>17500</v>
      </c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3"/>
        <v>8404130</v>
      </c>
      <c r="F20" s="12">
        <f t="shared" si="3"/>
        <v>8568623.1199999992</v>
      </c>
      <c r="G20" s="12">
        <f t="shared" si="3"/>
        <v>3996670.71</v>
      </c>
      <c r="H20" s="13">
        <f t="shared" si="0"/>
        <v>46.643091358183113</v>
      </c>
      <c r="I20" s="12">
        <f t="shared" si="3"/>
        <v>3620802</v>
      </c>
      <c r="J20" s="20">
        <v>0</v>
      </c>
      <c r="K20" s="12">
        <v>0</v>
      </c>
      <c r="L20" s="12">
        <v>0</v>
      </c>
      <c r="M20" s="13">
        <v>0</v>
      </c>
      <c r="N20" s="12">
        <v>0</v>
      </c>
      <c r="O20" s="12">
        <f>8301580+102550</f>
        <v>8404130</v>
      </c>
      <c r="P20" s="12">
        <f>O20+163419+1074.12</f>
        <v>8568623.1199999992</v>
      </c>
      <c r="Q20" s="12">
        <f>3784483+47694.59+163419+1074.12</f>
        <v>3996670.71</v>
      </c>
      <c r="R20" s="13">
        <f>Q20/P20*100</f>
        <v>46.643091358183113</v>
      </c>
      <c r="S20" s="12">
        <v>3620802</v>
      </c>
      <c r="T20" s="12">
        <f>12920+160</f>
        <v>13080</v>
      </c>
      <c r="U20" s="12">
        <v>13080</v>
      </c>
      <c r="V20" s="12">
        <f>6460+80</f>
        <v>6540</v>
      </c>
      <c r="W20" s="13">
        <f>V20/U20*100</f>
        <v>50</v>
      </c>
      <c r="X20" s="272">
        <v>6024</v>
      </c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3"/>
        <v>524470</v>
      </c>
      <c r="F21" s="12">
        <f t="shared" si="3"/>
        <v>529585</v>
      </c>
      <c r="G21" s="12">
        <f t="shared" si="3"/>
        <v>235687</v>
      </c>
      <c r="H21" s="13">
        <f t="shared" si="0"/>
        <v>44.504092827402594</v>
      </c>
      <c r="I21" s="12">
        <f t="shared" si="3"/>
        <v>176485</v>
      </c>
      <c r="J21" s="20">
        <v>15000</v>
      </c>
      <c r="K21" s="12">
        <v>15000</v>
      </c>
      <c r="L21" s="12">
        <v>0</v>
      </c>
      <c r="M21" s="13">
        <f>L21/K21*100</f>
        <v>0</v>
      </c>
      <c r="N21" s="12">
        <v>10565</v>
      </c>
      <c r="O21" s="12">
        <v>509470</v>
      </c>
      <c r="P21" s="12">
        <f>O21+5115</f>
        <v>514585</v>
      </c>
      <c r="Q21" s="12">
        <f>230572+5115</f>
        <v>235687</v>
      </c>
      <c r="R21" s="13">
        <f>Q21/P21*100</f>
        <v>45.801373922675552</v>
      </c>
      <c r="S21" s="12">
        <v>165920</v>
      </c>
      <c r="T21" s="12">
        <v>570</v>
      </c>
      <c r="U21" s="12">
        <v>760</v>
      </c>
      <c r="V21" s="12">
        <v>380</v>
      </c>
      <c r="W21" s="13">
        <f>V21/U21*100</f>
        <v>50</v>
      </c>
      <c r="X21" s="272">
        <v>175</v>
      </c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3"/>
        <v>0</v>
      </c>
      <c r="F22" s="12">
        <f t="shared" si="3"/>
        <v>0</v>
      </c>
      <c r="G22" s="12">
        <f t="shared" si="3"/>
        <v>0</v>
      </c>
      <c r="H22" s="13">
        <v>0</v>
      </c>
      <c r="I22" s="12">
        <f t="shared" si="3"/>
        <v>0</v>
      </c>
      <c r="J22" s="20">
        <v>0</v>
      </c>
      <c r="K22" s="12">
        <v>0</v>
      </c>
      <c r="L22" s="12">
        <v>0</v>
      </c>
      <c r="M22" s="13">
        <v>0</v>
      </c>
      <c r="N22" s="12">
        <v>0</v>
      </c>
      <c r="O22" s="12">
        <v>0</v>
      </c>
      <c r="P22" s="12">
        <v>0</v>
      </c>
      <c r="Q22" s="12">
        <v>0</v>
      </c>
      <c r="R22" s="13">
        <v>0</v>
      </c>
      <c r="S22" s="12">
        <v>0</v>
      </c>
      <c r="T22" s="12">
        <v>0</v>
      </c>
      <c r="U22" s="12">
        <v>0</v>
      </c>
      <c r="V22" s="12">
        <v>0</v>
      </c>
      <c r="W22" s="13">
        <v>0</v>
      </c>
      <c r="X22" s="272">
        <v>0</v>
      </c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3">
        <v>0</v>
      </c>
      <c r="I23" s="12">
        <f t="shared" si="3"/>
        <v>0</v>
      </c>
      <c r="J23" s="20">
        <v>0</v>
      </c>
      <c r="K23" s="12">
        <v>0</v>
      </c>
      <c r="L23" s="12">
        <v>0</v>
      </c>
      <c r="M23" s="13">
        <v>0</v>
      </c>
      <c r="N23" s="12">
        <v>0</v>
      </c>
      <c r="O23" s="12">
        <v>0</v>
      </c>
      <c r="P23" s="12">
        <v>0</v>
      </c>
      <c r="Q23" s="12">
        <v>0</v>
      </c>
      <c r="R23" s="13">
        <v>0</v>
      </c>
      <c r="S23" s="12">
        <v>0</v>
      </c>
      <c r="T23" s="12">
        <v>0</v>
      </c>
      <c r="U23" s="12">
        <v>0</v>
      </c>
      <c r="V23" s="12">
        <v>0</v>
      </c>
      <c r="W23" s="13">
        <v>0</v>
      </c>
      <c r="X23" s="272">
        <v>0</v>
      </c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3">
        <v>0</v>
      </c>
      <c r="I24" s="12">
        <f t="shared" si="3"/>
        <v>0</v>
      </c>
      <c r="J24" s="20">
        <v>0</v>
      </c>
      <c r="K24" s="12">
        <v>0</v>
      </c>
      <c r="L24" s="12">
        <v>0</v>
      </c>
      <c r="M24" s="13">
        <v>0</v>
      </c>
      <c r="N24" s="12">
        <v>0</v>
      </c>
      <c r="O24" s="12">
        <v>0</v>
      </c>
      <c r="P24" s="12">
        <v>0</v>
      </c>
      <c r="Q24" s="12">
        <v>0</v>
      </c>
      <c r="R24" s="13">
        <v>0</v>
      </c>
      <c r="S24" s="12">
        <v>0</v>
      </c>
      <c r="T24" s="12">
        <v>0</v>
      </c>
      <c r="U24" s="12">
        <v>0</v>
      </c>
      <c r="V24" s="12">
        <v>0</v>
      </c>
      <c r="W24" s="13">
        <v>0</v>
      </c>
      <c r="X24" s="272">
        <v>0</v>
      </c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>SUM(J25,O25)</f>
        <v>0</v>
      </c>
      <c r="F25" s="12">
        <f>SUM(K25,P25)</f>
        <v>0</v>
      </c>
      <c r="G25" s="12">
        <f>SUM(L25,Q25)</f>
        <v>0</v>
      </c>
      <c r="H25" s="13">
        <v>0</v>
      </c>
      <c r="I25" s="12">
        <f>SUM(N25,S25)</f>
        <v>0</v>
      </c>
      <c r="J25" s="20">
        <v>0</v>
      </c>
      <c r="K25" s="21">
        <v>0</v>
      </c>
      <c r="L25" s="21">
        <v>0</v>
      </c>
      <c r="M25" s="13">
        <v>0</v>
      </c>
      <c r="N25" s="22">
        <v>0</v>
      </c>
      <c r="O25" s="21">
        <v>0</v>
      </c>
      <c r="P25" s="21">
        <v>0</v>
      </c>
      <c r="Q25" s="21">
        <v>0</v>
      </c>
      <c r="R25" s="13">
        <v>0</v>
      </c>
      <c r="S25" s="21">
        <v>0</v>
      </c>
      <c r="T25" s="21">
        <v>0</v>
      </c>
      <c r="U25" s="21">
        <v>0</v>
      </c>
      <c r="V25" s="21">
        <v>0</v>
      </c>
      <c r="W25" s="13">
        <v>0</v>
      </c>
      <c r="X25" s="220">
        <v>0</v>
      </c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3"/>
        <v>976400</v>
      </c>
      <c r="F26" s="12">
        <f t="shared" si="3"/>
        <v>976400</v>
      </c>
      <c r="G26" s="12">
        <f t="shared" si="3"/>
        <v>489838</v>
      </c>
      <c r="H26" s="26">
        <f>G26/F26*100</f>
        <v>50.167759115116752</v>
      </c>
      <c r="I26" s="12">
        <f>SUM(N26,S26)</f>
        <v>469730</v>
      </c>
      <c r="J26" s="20">
        <v>976400</v>
      </c>
      <c r="K26" s="22">
        <f>J26</f>
        <v>976400</v>
      </c>
      <c r="L26" s="22">
        <v>489838</v>
      </c>
      <c r="M26" s="13">
        <f>L26/K26*100</f>
        <v>50.167759115116752</v>
      </c>
      <c r="N26" s="22">
        <v>469730</v>
      </c>
      <c r="O26" s="22">
        <v>0</v>
      </c>
      <c r="P26" s="22">
        <v>0</v>
      </c>
      <c r="Q26" s="22">
        <v>0</v>
      </c>
      <c r="R26" s="13">
        <v>0</v>
      </c>
      <c r="S26" s="22">
        <v>0</v>
      </c>
      <c r="T26" s="12">
        <v>13600</v>
      </c>
      <c r="U26" s="12">
        <v>13600</v>
      </c>
      <c r="V26" s="12">
        <v>6780</v>
      </c>
      <c r="W26" s="13">
        <f>V26/U26*100</f>
        <v>49.852941176470587</v>
      </c>
      <c r="X26" s="220">
        <v>8560</v>
      </c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3"/>
        <v>0</v>
      </c>
      <c r="F27" s="12">
        <f t="shared" si="3"/>
        <v>0</v>
      </c>
      <c r="G27" s="12">
        <f t="shared" si="3"/>
        <v>0</v>
      </c>
      <c r="H27" s="26">
        <v>0</v>
      </c>
      <c r="I27" s="12">
        <f t="shared" si="3"/>
        <v>0</v>
      </c>
      <c r="J27" s="20">
        <v>0</v>
      </c>
      <c r="K27" s="22">
        <v>0</v>
      </c>
      <c r="L27" s="22">
        <v>0</v>
      </c>
      <c r="M27" s="13">
        <v>0</v>
      </c>
      <c r="N27" s="12">
        <v>0</v>
      </c>
      <c r="O27" s="22">
        <v>0</v>
      </c>
      <c r="P27" s="22">
        <v>0</v>
      </c>
      <c r="Q27" s="22">
        <v>0</v>
      </c>
      <c r="R27" s="13">
        <v>0</v>
      </c>
      <c r="S27" s="22">
        <v>0</v>
      </c>
      <c r="T27" s="12">
        <v>0</v>
      </c>
      <c r="U27" s="12">
        <v>0</v>
      </c>
      <c r="V27" s="12">
        <v>0</v>
      </c>
      <c r="W27" s="13">
        <v>0</v>
      </c>
      <c r="X27" s="220">
        <v>0</v>
      </c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510000</v>
      </c>
      <c r="F28" s="12">
        <f>SUM(K28,P28)</f>
        <v>614519</v>
      </c>
      <c r="G28" s="12">
        <f>SUM(L28,Q28)</f>
        <v>111809</v>
      </c>
      <c r="H28" s="26">
        <f>G28/F28*100</f>
        <v>18.194555416512753</v>
      </c>
      <c r="I28" s="12">
        <f>SUM(N28,S28)</f>
        <v>60073</v>
      </c>
      <c r="J28" s="20">
        <v>430000</v>
      </c>
      <c r="K28" s="22">
        <f>J28+21888</f>
        <v>451888</v>
      </c>
      <c r="L28" s="22">
        <v>21888</v>
      </c>
      <c r="M28" s="13">
        <f>L28/K28*100</f>
        <v>4.8436780795241301</v>
      </c>
      <c r="N28" s="12">
        <v>53418</v>
      </c>
      <c r="O28" s="22">
        <v>80000</v>
      </c>
      <c r="P28" s="22">
        <f>O28+82631</f>
        <v>162631</v>
      </c>
      <c r="Q28" s="22">
        <f>7290+82631</f>
        <v>89921</v>
      </c>
      <c r="R28" s="13">
        <f>Q28/P28*100</f>
        <v>55.291426603784025</v>
      </c>
      <c r="S28" s="22">
        <v>6655</v>
      </c>
      <c r="T28" s="12">
        <v>0</v>
      </c>
      <c r="U28" s="12">
        <v>0</v>
      </c>
      <c r="V28" s="12">
        <v>0</v>
      </c>
      <c r="W28" s="13">
        <v>0</v>
      </c>
      <c r="X28" s="220">
        <v>0</v>
      </c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3"/>
        <v>1000</v>
      </c>
      <c r="F29" s="12">
        <f t="shared" si="3"/>
        <v>30155</v>
      </c>
      <c r="G29" s="12">
        <f t="shared" si="3"/>
        <v>29651.25</v>
      </c>
      <c r="H29" s="26">
        <f t="shared" si="0"/>
        <v>98.329464433758915</v>
      </c>
      <c r="I29" s="12">
        <f t="shared" si="3"/>
        <v>636</v>
      </c>
      <c r="J29" s="20">
        <v>1000</v>
      </c>
      <c r="K29" s="22">
        <f>J29+5192+23963</f>
        <v>30155</v>
      </c>
      <c r="L29" s="22">
        <v>29651.25</v>
      </c>
      <c r="M29" s="13">
        <f>L29/K29*100</f>
        <v>98.329464433758915</v>
      </c>
      <c r="N29" s="22">
        <v>636</v>
      </c>
      <c r="O29" s="22">
        <v>0</v>
      </c>
      <c r="P29" s="22">
        <v>0</v>
      </c>
      <c r="Q29" s="22">
        <v>0</v>
      </c>
      <c r="R29" s="13">
        <v>0</v>
      </c>
      <c r="S29" s="22">
        <v>0</v>
      </c>
      <c r="T29" s="12">
        <v>0</v>
      </c>
      <c r="U29" s="12">
        <v>0</v>
      </c>
      <c r="V29" s="12">
        <v>0</v>
      </c>
      <c r="W29" s="13">
        <v>0</v>
      </c>
      <c r="X29" s="220">
        <v>0</v>
      </c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4">SUM(J30,O30)</f>
        <v>0</v>
      </c>
      <c r="F30" s="12">
        <f t="shared" si="4"/>
        <v>0</v>
      </c>
      <c r="G30" s="12">
        <f t="shared" si="4"/>
        <v>0</v>
      </c>
      <c r="H30" s="26">
        <v>0</v>
      </c>
      <c r="I30" s="12">
        <f>SUM(N30,S30)</f>
        <v>0</v>
      </c>
      <c r="J30" s="20">
        <v>0</v>
      </c>
      <c r="K30" s="22">
        <v>0</v>
      </c>
      <c r="L30" s="22">
        <v>0</v>
      </c>
      <c r="M30" s="13">
        <v>0</v>
      </c>
      <c r="N30" s="22">
        <v>0</v>
      </c>
      <c r="O30" s="22">
        <v>0</v>
      </c>
      <c r="P30" s="22">
        <v>0</v>
      </c>
      <c r="Q30" s="22">
        <v>0</v>
      </c>
      <c r="R30" s="13">
        <v>0</v>
      </c>
      <c r="S30" s="22">
        <v>0</v>
      </c>
      <c r="T30" s="12">
        <v>0</v>
      </c>
      <c r="U30" s="12">
        <v>0</v>
      </c>
      <c r="V30" s="12">
        <v>0</v>
      </c>
      <c r="W30" s="13">
        <v>0</v>
      </c>
      <c r="X30" s="220">
        <v>0</v>
      </c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4"/>
        <v>0</v>
      </c>
      <c r="F31" s="12">
        <f t="shared" si="4"/>
        <v>0</v>
      </c>
      <c r="G31" s="12">
        <f t="shared" si="4"/>
        <v>0</v>
      </c>
      <c r="H31" s="26">
        <v>0</v>
      </c>
      <c r="I31" s="12">
        <f>SUM(N31,S31)</f>
        <v>0</v>
      </c>
      <c r="J31" s="20">
        <v>0</v>
      </c>
      <c r="K31" s="29">
        <v>0</v>
      </c>
      <c r="L31" s="29">
        <v>0</v>
      </c>
      <c r="M31" s="13">
        <v>0</v>
      </c>
      <c r="N31" s="29">
        <v>0</v>
      </c>
      <c r="O31" s="29">
        <v>0</v>
      </c>
      <c r="P31" s="29">
        <v>0</v>
      </c>
      <c r="Q31" s="29">
        <v>0</v>
      </c>
      <c r="R31" s="13">
        <v>0</v>
      </c>
      <c r="S31" s="29">
        <v>0</v>
      </c>
      <c r="T31" s="12">
        <v>0</v>
      </c>
      <c r="U31" s="12">
        <v>0</v>
      </c>
      <c r="V31" s="12">
        <v>0</v>
      </c>
      <c r="W31" s="13">
        <v>0</v>
      </c>
      <c r="X31" s="274">
        <v>0</v>
      </c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26">
        <v>0</v>
      </c>
      <c r="I32" s="12">
        <f>SUM(N32,S32)</f>
        <v>0</v>
      </c>
      <c r="J32" s="32">
        <v>0</v>
      </c>
      <c r="K32" s="30">
        <v>0</v>
      </c>
      <c r="L32" s="30">
        <v>0</v>
      </c>
      <c r="M32" s="13">
        <v>0</v>
      </c>
      <c r="N32" s="30">
        <v>0</v>
      </c>
      <c r="O32" s="30">
        <v>0</v>
      </c>
      <c r="P32" s="30">
        <v>0</v>
      </c>
      <c r="Q32" s="30">
        <v>0</v>
      </c>
      <c r="R32" s="13">
        <v>0</v>
      </c>
      <c r="S32" s="30">
        <v>0</v>
      </c>
      <c r="T32" s="12">
        <v>0</v>
      </c>
      <c r="U32" s="12">
        <v>0</v>
      </c>
      <c r="V32" s="12">
        <v>0</v>
      </c>
      <c r="W32" s="13">
        <v>0</v>
      </c>
      <c r="X32" s="275">
        <v>0</v>
      </c>
    </row>
    <row r="33" spans="1:24" s="31" customFormat="1" ht="9.75" x14ac:dyDescent="0.2">
      <c r="A33" s="270" t="s">
        <v>69</v>
      </c>
      <c r="B33" s="276" t="s">
        <v>70</v>
      </c>
      <c r="C33" s="276"/>
      <c r="D33" s="187" t="s">
        <v>16</v>
      </c>
      <c r="E33" s="147">
        <f>E6-E11</f>
        <v>0</v>
      </c>
      <c r="F33" s="147">
        <f>F6-F11</f>
        <v>-1.9999995827674866E-2</v>
      </c>
      <c r="G33" s="147">
        <f>G6-G11</f>
        <v>2297067.6900000013</v>
      </c>
      <c r="H33" s="277">
        <v>0</v>
      </c>
      <c r="I33" s="147">
        <f>I6-I11</f>
        <v>5866290</v>
      </c>
      <c r="J33" s="147">
        <f>J6-J11</f>
        <v>0</v>
      </c>
      <c r="K33" s="147">
        <f>K6-K11</f>
        <v>0</v>
      </c>
      <c r="L33" s="147">
        <f>L6-L11</f>
        <v>867002.2799999998</v>
      </c>
      <c r="M33" s="148">
        <v>0</v>
      </c>
      <c r="N33" s="147">
        <f>N6-N11</f>
        <v>299217</v>
      </c>
      <c r="O33" s="147">
        <f>O6-O11</f>
        <v>0</v>
      </c>
      <c r="P33" s="147">
        <f>P6-P11</f>
        <v>-1.9999995827674866E-2</v>
      </c>
      <c r="Q33" s="147">
        <f>Q6-Q11</f>
        <v>1430065.4100000001</v>
      </c>
      <c r="R33" s="148">
        <v>0</v>
      </c>
      <c r="S33" s="147">
        <f>S6-S11</f>
        <v>5567073</v>
      </c>
      <c r="T33" s="147">
        <f>T6-T11</f>
        <v>81150</v>
      </c>
      <c r="U33" s="147">
        <f>U6-U11</f>
        <v>79300</v>
      </c>
      <c r="V33" s="147">
        <f>V6-V11</f>
        <v>186993</v>
      </c>
      <c r="W33" s="148">
        <f>V33/U33*100</f>
        <v>235.80453972257249</v>
      </c>
      <c r="X33" s="147">
        <f>X6-X11</f>
        <v>132108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278">
        <f>E19/6/E35/2</f>
        <v>27512.944444444442</v>
      </c>
      <c r="F34" s="278">
        <f>F19/6/F35/2</f>
        <v>26616.141658316632</v>
      </c>
      <c r="G34" s="278">
        <f>G19/6/G35</f>
        <v>25450.384101536405</v>
      </c>
      <c r="H34" s="26">
        <f t="shared" si="0"/>
        <v>95.620110639079172</v>
      </c>
      <c r="I34" s="278">
        <f>I19/6/I35</f>
        <v>22940.215811965812</v>
      </c>
      <c r="J34" s="279"/>
      <c r="K34" s="279"/>
      <c r="L34" s="279"/>
      <c r="M34" s="148">
        <v>0</v>
      </c>
      <c r="N34" s="279"/>
      <c r="O34" s="278">
        <f>O19/6/O35/2</f>
        <v>27262.111111111109</v>
      </c>
      <c r="P34" s="278">
        <f>P19/6/P35/2</f>
        <v>28082.936666666668</v>
      </c>
      <c r="Q34" s="278">
        <f>Q19/6/Q35</f>
        <v>26854.655555555557</v>
      </c>
      <c r="R34" s="148">
        <v>0</v>
      </c>
      <c r="S34" s="278">
        <f>S19/6/S35</f>
        <v>23615.38</v>
      </c>
      <c r="T34" s="279"/>
      <c r="U34" s="279"/>
      <c r="V34" s="279"/>
      <c r="W34" s="148">
        <v>0</v>
      </c>
      <c r="X34" s="279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280">
        <v>75</v>
      </c>
      <c r="F35" s="278">
        <v>79.84</v>
      </c>
      <c r="G35" s="278">
        <v>79.84</v>
      </c>
      <c r="H35" s="26">
        <f t="shared" si="0"/>
        <v>100</v>
      </c>
      <c r="I35" s="278">
        <v>78</v>
      </c>
      <c r="J35" s="279"/>
      <c r="K35" s="281"/>
      <c r="L35" s="279"/>
      <c r="M35" s="148">
        <v>0</v>
      </c>
      <c r="N35" s="279"/>
      <c r="O35" s="280">
        <v>75</v>
      </c>
      <c r="P35" s="280">
        <v>75</v>
      </c>
      <c r="Q35" s="280">
        <v>75</v>
      </c>
      <c r="R35" s="148">
        <v>0</v>
      </c>
      <c r="S35" s="280">
        <v>75</v>
      </c>
      <c r="T35" s="279"/>
      <c r="U35" s="279"/>
      <c r="V35" s="279"/>
      <c r="W35" s="148">
        <v>0</v>
      </c>
      <c r="X35" s="279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278">
        <v>86</v>
      </c>
      <c r="F36" s="278">
        <v>89</v>
      </c>
      <c r="G36" s="278">
        <v>86</v>
      </c>
      <c r="H36" s="26">
        <f t="shared" si="0"/>
        <v>96.629213483146074</v>
      </c>
      <c r="I36" s="278">
        <v>86</v>
      </c>
      <c r="J36" s="279"/>
      <c r="K36" s="279"/>
      <c r="L36" s="279"/>
      <c r="M36" s="148">
        <v>0</v>
      </c>
      <c r="N36" s="279"/>
      <c r="O36" s="278">
        <v>86</v>
      </c>
      <c r="P36" s="278">
        <v>86</v>
      </c>
      <c r="Q36" s="278">
        <v>86</v>
      </c>
      <c r="R36" s="148">
        <v>0</v>
      </c>
      <c r="S36" s="278">
        <v>86</v>
      </c>
      <c r="T36" s="279"/>
      <c r="U36" s="279"/>
      <c r="V36" s="279"/>
      <c r="W36" s="148">
        <v>0</v>
      </c>
      <c r="X36" s="279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73" orientation="landscape" useFirstPageNumber="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>
      <selection sqref="A1:XFD1048576"/>
    </sheetView>
  </sheetViews>
  <sheetFormatPr defaultRowHeight="12.75" x14ac:dyDescent="0.2"/>
  <cols>
    <col min="1" max="1" width="33.140625" style="486" customWidth="1"/>
    <col min="2" max="2" width="19.140625" style="486" customWidth="1"/>
    <col min="3" max="5" width="14.7109375" style="486" customWidth="1"/>
    <col min="6" max="7" width="13" style="486" customWidth="1"/>
    <col min="8" max="16384" width="9.140625" style="486"/>
  </cols>
  <sheetData>
    <row r="1" spans="1:14" s="484" customFormat="1" ht="18.75" x14ac:dyDescent="0.3">
      <c r="A1" s="919" t="s">
        <v>99</v>
      </c>
      <c r="B1" s="919"/>
      <c r="C1" s="919"/>
      <c r="D1" s="919"/>
      <c r="E1" s="919"/>
      <c r="F1" s="919"/>
      <c r="G1" s="919"/>
      <c r="H1" s="919"/>
      <c r="I1" s="919"/>
    </row>
    <row r="3" spans="1:14" s="487" customFormat="1" ht="10.5" x14ac:dyDescent="0.15">
      <c r="A3" s="1004" t="s">
        <v>104</v>
      </c>
      <c r="B3" s="1004"/>
      <c r="C3" s="1004"/>
      <c r="D3" s="1004"/>
      <c r="E3" s="1004"/>
      <c r="F3" s="1004"/>
      <c r="G3" s="1004"/>
      <c r="H3" s="1004"/>
      <c r="I3" s="1004"/>
    </row>
    <row r="4" spans="1:14" s="488" customFormat="1" ht="11.25" x14ac:dyDescent="0.2"/>
    <row r="5" spans="1:14" s="490" customFormat="1" ht="9.75" x14ac:dyDescent="0.2">
      <c r="A5" s="1052" t="s">
        <v>105</v>
      </c>
      <c r="B5" s="1053"/>
      <c r="C5" s="489" t="s">
        <v>16</v>
      </c>
      <c r="D5" s="1027" t="s">
        <v>106</v>
      </c>
      <c r="E5" s="1027"/>
      <c r="F5" s="1027"/>
      <c r="G5" s="1027"/>
      <c r="H5" s="1027"/>
      <c r="I5" s="1027"/>
    </row>
    <row r="6" spans="1:14" s="488" customFormat="1" ht="33.75" customHeight="1" x14ac:dyDescent="0.2">
      <c r="A6" s="1043" t="s">
        <v>107</v>
      </c>
      <c r="B6" s="1044"/>
      <c r="C6" s="761">
        <v>867002.28</v>
      </c>
      <c r="D6" s="913" t="s">
        <v>705</v>
      </c>
      <c r="E6" s="913"/>
      <c r="F6" s="913"/>
      <c r="G6" s="913"/>
      <c r="H6" s="913"/>
      <c r="I6" s="913"/>
    </row>
    <row r="7" spans="1:14" s="492" customFormat="1" ht="12" x14ac:dyDescent="0.2">
      <c r="A7" s="1043" t="s">
        <v>92</v>
      </c>
      <c r="B7" s="1044"/>
      <c r="C7" s="761">
        <v>186993</v>
      </c>
      <c r="D7" s="913" t="s">
        <v>706</v>
      </c>
      <c r="E7" s="913"/>
      <c r="F7" s="913"/>
      <c r="G7" s="913"/>
      <c r="H7" s="913"/>
      <c r="I7" s="913"/>
      <c r="J7" s="533"/>
    </row>
    <row r="8" spans="1:14" s="492" customFormat="1" ht="10.5" x14ac:dyDescent="0.15">
      <c r="A8" s="1043" t="s">
        <v>110</v>
      </c>
      <c r="B8" s="1044"/>
      <c r="C8" s="761">
        <v>1430065.41</v>
      </c>
      <c r="D8" s="1047"/>
      <c r="E8" s="1048"/>
      <c r="F8" s="1048"/>
      <c r="G8" s="1048"/>
      <c r="H8" s="1048"/>
      <c r="I8" s="1049"/>
    </row>
    <row r="9" spans="1:14" s="488" customFormat="1" ht="11.25" x14ac:dyDescent="0.2">
      <c r="C9" s="493"/>
    </row>
    <row r="10" spans="1:14" s="494" customFormat="1" ht="11.25" x14ac:dyDescent="0.2">
      <c r="A10" s="1004" t="s">
        <v>111</v>
      </c>
      <c r="B10" s="1004"/>
      <c r="C10" s="1004"/>
      <c r="D10" s="1004"/>
      <c r="E10" s="1004"/>
      <c r="F10" s="1004"/>
      <c r="G10" s="1004"/>
      <c r="H10" s="1004"/>
      <c r="I10" s="1004"/>
    </row>
    <row r="11" spans="1:14" s="488" customFormat="1" ht="11.25" x14ac:dyDescent="0.2">
      <c r="C11" s="493"/>
    </row>
    <row r="12" spans="1:14" s="496" customFormat="1" ht="19.5" x14ac:dyDescent="0.15">
      <c r="A12" s="495" t="s">
        <v>112</v>
      </c>
      <c r="B12" s="495" t="s">
        <v>113</v>
      </c>
      <c r="C12" s="495" t="s">
        <v>114</v>
      </c>
      <c r="D12" s="495" t="s">
        <v>115</v>
      </c>
      <c r="E12" s="495" t="s">
        <v>116</v>
      </c>
      <c r="F12" s="495" t="s">
        <v>117</v>
      </c>
      <c r="G12" s="1050" t="s">
        <v>118</v>
      </c>
      <c r="H12" s="1050"/>
      <c r="I12" s="1050"/>
    </row>
    <row r="13" spans="1:14" s="488" customFormat="1" ht="24" customHeight="1" x14ac:dyDescent="0.2">
      <c r="A13" s="762" t="s">
        <v>191</v>
      </c>
      <c r="B13" s="763">
        <v>40066.120000000003</v>
      </c>
      <c r="C13" s="763">
        <v>20000</v>
      </c>
      <c r="D13" s="763">
        <v>0</v>
      </c>
      <c r="E13" s="763">
        <f>B13+C13-D13</f>
        <v>60066.12</v>
      </c>
      <c r="F13" s="764">
        <f>E13</f>
        <v>60066.12</v>
      </c>
      <c r="G13" s="1123" t="s">
        <v>707</v>
      </c>
      <c r="H13" s="1124"/>
      <c r="I13" s="1125"/>
    </row>
    <row r="14" spans="1:14" s="488" customFormat="1" ht="75" customHeight="1" x14ac:dyDescent="0.2">
      <c r="A14" s="765" t="s">
        <v>708</v>
      </c>
      <c r="B14" s="766">
        <v>332207.09999999998</v>
      </c>
      <c r="C14" s="766">
        <v>229717</v>
      </c>
      <c r="D14" s="766">
        <v>106259</v>
      </c>
      <c r="E14" s="766">
        <f>B14+C14-D14</f>
        <v>455665.1</v>
      </c>
      <c r="F14" s="767">
        <v>415376.1</v>
      </c>
      <c r="G14" s="1126" t="s">
        <v>709</v>
      </c>
      <c r="H14" s="1127"/>
      <c r="I14" s="1128"/>
      <c r="N14" s="504"/>
    </row>
    <row r="15" spans="1:14" s="488" customFormat="1" ht="107.25" customHeight="1" x14ac:dyDescent="0.2">
      <c r="A15" s="765" t="s">
        <v>187</v>
      </c>
      <c r="B15" s="766">
        <f>99317.22+35784.67</f>
        <v>135101.89000000001</v>
      </c>
      <c r="C15" s="766">
        <f>93660.33+5192</f>
        <v>98852.33</v>
      </c>
      <c r="D15" s="766">
        <f>0+15680.87</f>
        <v>15680.87</v>
      </c>
      <c r="E15" s="766">
        <f>B15+C15-D15</f>
        <v>218273.35000000003</v>
      </c>
      <c r="F15" s="767">
        <f>E15</f>
        <v>218273.35000000003</v>
      </c>
      <c r="G15" s="1126" t="s">
        <v>710</v>
      </c>
      <c r="H15" s="1127"/>
      <c r="I15" s="1128"/>
    </row>
    <row r="16" spans="1:14" s="488" customFormat="1" ht="63" customHeight="1" x14ac:dyDescent="0.2">
      <c r="A16" s="768" t="s">
        <v>711</v>
      </c>
      <c r="B16" s="769">
        <v>191523.73</v>
      </c>
      <c r="C16" s="769">
        <v>496618</v>
      </c>
      <c r="D16" s="769">
        <v>554876</v>
      </c>
      <c r="E16" s="766">
        <f>B16+C16-D16</f>
        <v>133265.72999999998</v>
      </c>
      <c r="F16" s="767">
        <f>E16</f>
        <v>133265.72999999998</v>
      </c>
      <c r="G16" s="1129" t="s">
        <v>712</v>
      </c>
      <c r="H16" s="1130"/>
      <c r="I16" s="1131"/>
    </row>
    <row r="17" spans="1:9" s="488" customFormat="1" ht="11.25" x14ac:dyDescent="0.2">
      <c r="A17" s="770" t="s">
        <v>90</v>
      </c>
      <c r="B17" s="771">
        <f>SUM(B13:B16)</f>
        <v>698898.84</v>
      </c>
      <c r="C17" s="771">
        <f>SUM(C13:C16)</f>
        <v>845187.33000000007</v>
      </c>
      <c r="D17" s="771">
        <f>SUM(D13:D16)</f>
        <v>676815.87</v>
      </c>
      <c r="E17" s="771">
        <f>SUM(E13:E16)</f>
        <v>867270.3</v>
      </c>
      <c r="F17" s="771">
        <f>SUM(F13:F16)</f>
        <v>826981.3</v>
      </c>
      <c r="G17" s="1042"/>
      <c r="H17" s="1042"/>
      <c r="I17" s="1042"/>
    </row>
    <row r="18" spans="1:9" s="509" customFormat="1" ht="11.25" x14ac:dyDescent="0.2">
      <c r="C18" s="510"/>
    </row>
    <row r="19" spans="1:9" s="494" customFormat="1" ht="11.25" x14ac:dyDescent="0.2">
      <c r="A19" s="1004" t="s">
        <v>129</v>
      </c>
      <c r="B19" s="1004"/>
      <c r="C19" s="1004"/>
      <c r="D19" s="1004"/>
      <c r="E19" s="1004"/>
      <c r="F19" s="1004"/>
      <c r="G19" s="1004"/>
      <c r="H19" s="1004"/>
      <c r="I19" s="1004"/>
    </row>
    <row r="20" spans="1:9" s="488" customFormat="1" ht="11.25" x14ac:dyDescent="0.2">
      <c r="C20" s="493"/>
    </row>
    <row r="21" spans="1:9" s="488" customFormat="1" ht="11.25" x14ac:dyDescent="0.2">
      <c r="A21" s="489" t="s">
        <v>130</v>
      </c>
      <c r="B21" s="489" t="s">
        <v>16</v>
      </c>
      <c r="C21" s="512" t="s">
        <v>131</v>
      </c>
      <c r="D21" s="1027" t="s">
        <v>132</v>
      </c>
      <c r="E21" s="1027"/>
      <c r="F21" s="1027"/>
      <c r="G21" s="1027"/>
      <c r="H21" s="1027"/>
      <c r="I21" s="1027"/>
    </row>
    <row r="22" spans="1:9" s="488" customFormat="1" ht="11.25" customHeight="1" x14ac:dyDescent="0.2">
      <c r="A22" s="772" t="s">
        <v>713</v>
      </c>
      <c r="B22" s="513">
        <v>0</v>
      </c>
      <c r="C22" s="773">
        <v>9999</v>
      </c>
      <c r="D22" s="1029" t="s">
        <v>714</v>
      </c>
      <c r="E22" s="1030"/>
      <c r="F22" s="1030"/>
      <c r="G22" s="1030"/>
      <c r="H22" s="1030"/>
      <c r="I22" s="1031"/>
    </row>
    <row r="23" spans="1:9" s="492" customFormat="1" ht="10.5" x14ac:dyDescent="0.15">
      <c r="A23" s="517" t="s">
        <v>90</v>
      </c>
      <c r="B23" s="518">
        <f>SUM(B22:B22)</f>
        <v>0</v>
      </c>
      <c r="C23" s="1120" t="s">
        <v>715</v>
      </c>
      <c r="D23" s="1121"/>
      <c r="E23" s="1121"/>
      <c r="F23" s="1121"/>
      <c r="G23" s="1121"/>
      <c r="H23" s="1121"/>
      <c r="I23" s="1122"/>
    </row>
    <row r="24" spans="1:9" s="509" customFormat="1" ht="11.25" x14ac:dyDescent="0.2">
      <c r="C24" s="510"/>
    </row>
    <row r="25" spans="1:9" s="494" customFormat="1" ht="11.25" x14ac:dyDescent="0.2">
      <c r="A25" s="1004" t="s">
        <v>140</v>
      </c>
      <c r="B25" s="1004"/>
      <c r="C25" s="1004"/>
      <c r="D25" s="1004"/>
      <c r="E25" s="1004"/>
      <c r="F25" s="1004"/>
      <c r="G25" s="1004"/>
      <c r="H25" s="1004"/>
      <c r="I25" s="1004"/>
    </row>
    <row r="26" spans="1:9" s="488" customFormat="1" ht="11.25" x14ac:dyDescent="0.2">
      <c r="C26" s="493"/>
    </row>
    <row r="27" spans="1:9" s="488" customFormat="1" ht="11.25" x14ac:dyDescent="0.2">
      <c r="A27" s="489" t="s">
        <v>130</v>
      </c>
      <c r="B27" s="489" t="s">
        <v>16</v>
      </c>
      <c r="C27" s="512" t="s">
        <v>131</v>
      </c>
      <c r="D27" s="1027" t="s">
        <v>141</v>
      </c>
      <c r="E27" s="1027"/>
      <c r="F27" s="1027"/>
      <c r="G27" s="1027"/>
      <c r="H27" s="1027"/>
      <c r="I27" s="1028"/>
    </row>
    <row r="28" spans="1:9" s="488" customFormat="1" ht="11.25" customHeight="1" x14ac:dyDescent="0.2">
      <c r="A28" s="772" t="s">
        <v>713</v>
      </c>
      <c r="B28" s="513">
        <v>0</v>
      </c>
      <c r="C28" s="773">
        <v>9999</v>
      </c>
      <c r="D28" s="1029" t="s">
        <v>278</v>
      </c>
      <c r="E28" s="1030"/>
      <c r="F28" s="1030"/>
      <c r="G28" s="1030"/>
      <c r="H28" s="1030"/>
      <c r="I28" s="1031"/>
    </row>
    <row r="29" spans="1:9" s="492" customFormat="1" ht="10.5" x14ac:dyDescent="0.15">
      <c r="A29" s="517" t="s">
        <v>90</v>
      </c>
      <c r="B29" s="518">
        <f>SUM(B28:B28)</f>
        <v>0</v>
      </c>
      <c r="C29" s="1035" t="s">
        <v>716</v>
      </c>
      <c r="D29" s="1035"/>
      <c r="E29" s="1035"/>
      <c r="F29" s="1035"/>
      <c r="G29" s="1035"/>
      <c r="H29" s="1035"/>
      <c r="I29" s="1035"/>
    </row>
    <row r="30" spans="1:9" s="488" customFormat="1" ht="11.25" x14ac:dyDescent="0.2">
      <c r="C30" s="493"/>
    </row>
    <row r="31" spans="1:9" s="494" customFormat="1" ht="11.25" x14ac:dyDescent="0.2">
      <c r="A31" s="1004" t="s">
        <v>143</v>
      </c>
      <c r="B31" s="1004"/>
      <c r="C31" s="1004"/>
      <c r="D31" s="1004"/>
      <c r="E31" s="1004"/>
      <c r="F31" s="1004"/>
      <c r="G31" s="1004"/>
      <c r="H31" s="1004"/>
      <c r="I31" s="1004"/>
    </row>
    <row r="32" spans="1:9" s="488" customFormat="1" ht="11.25" x14ac:dyDescent="0.2">
      <c r="C32" s="519"/>
    </row>
    <row r="33" spans="1:9" s="488" customFormat="1" ht="11.25" x14ac:dyDescent="0.2">
      <c r="A33" s="489" t="s">
        <v>144</v>
      </c>
      <c r="B33" s="512" t="s">
        <v>145</v>
      </c>
      <c r="C33" s="1016" t="s">
        <v>146</v>
      </c>
      <c r="D33" s="1016"/>
      <c r="E33" s="1016"/>
      <c r="F33" s="1016"/>
      <c r="G33" s="1016"/>
      <c r="H33" s="1016"/>
      <c r="I33" s="1017"/>
    </row>
    <row r="34" spans="1:9" s="488" customFormat="1" ht="11.25" x14ac:dyDescent="0.2">
      <c r="A34" s="774">
        <v>5192</v>
      </c>
      <c r="B34" s="774">
        <v>5060</v>
      </c>
      <c r="C34" s="934" t="s">
        <v>717</v>
      </c>
      <c r="D34" s="934"/>
      <c r="E34" s="934"/>
      <c r="F34" s="934"/>
      <c r="G34" s="934"/>
      <c r="H34" s="934"/>
      <c r="I34" s="934"/>
    </row>
    <row r="35" spans="1:9" s="492" customFormat="1" ht="10.5" x14ac:dyDescent="0.15">
      <c r="A35" s="775">
        <f>SUM(A34:A34)</f>
        <v>5192</v>
      </c>
      <c r="B35" s="775">
        <f>SUM(B34:B34)</f>
        <v>5060</v>
      </c>
      <c r="C35" s="1021" t="s">
        <v>90</v>
      </c>
      <c r="D35" s="1022"/>
      <c r="E35" s="1022"/>
      <c r="F35" s="1022"/>
      <c r="G35" s="1022"/>
      <c r="H35" s="1022"/>
      <c r="I35" s="1023"/>
    </row>
    <row r="36" spans="1:9" s="488" customFormat="1" ht="11.25" x14ac:dyDescent="0.2">
      <c r="C36" s="519"/>
    </row>
    <row r="37" spans="1:9" s="488" customFormat="1" ht="11.25" x14ac:dyDescent="0.2">
      <c r="A37" s="1004" t="s">
        <v>148</v>
      </c>
      <c r="B37" s="1103"/>
      <c r="C37" s="1103"/>
      <c r="D37" s="1103"/>
      <c r="E37" s="1103"/>
      <c r="F37" s="1103"/>
      <c r="G37" s="1103"/>
      <c r="H37" s="1103"/>
      <c r="I37" s="1103"/>
    </row>
    <row r="38" spans="1:9" s="488" customFormat="1" ht="11.25" x14ac:dyDescent="0.2">
      <c r="C38" s="519"/>
    </row>
    <row r="39" spans="1:9" s="529" customFormat="1" ht="31.5" x14ac:dyDescent="0.25">
      <c r="A39" s="1104" t="s">
        <v>149</v>
      </c>
      <c r="B39" s="1105"/>
      <c r="C39" s="776" t="s">
        <v>150</v>
      </c>
      <c r="D39" s="776" t="s">
        <v>151</v>
      </c>
      <c r="E39" s="776" t="s">
        <v>152</v>
      </c>
      <c r="F39" s="776" t="s">
        <v>153</v>
      </c>
      <c r="G39" s="776" t="s">
        <v>154</v>
      </c>
    </row>
    <row r="40" spans="1:9" s="488" customFormat="1" ht="15" customHeight="1" x14ac:dyDescent="0.2">
      <c r="A40" s="1112" t="s">
        <v>718</v>
      </c>
      <c r="B40" s="1113"/>
      <c r="C40" s="777" t="s">
        <v>467</v>
      </c>
      <c r="D40" s="778">
        <v>5192</v>
      </c>
      <c r="E40" s="779"/>
      <c r="F40" s="1108">
        <v>42586</v>
      </c>
      <c r="G40" s="1110">
        <v>42737</v>
      </c>
    </row>
    <row r="41" spans="1:9" s="488" customFormat="1" ht="15" customHeight="1" x14ac:dyDescent="0.2">
      <c r="A41" s="1116"/>
      <c r="B41" s="1117"/>
      <c r="C41" s="780" t="s">
        <v>719</v>
      </c>
      <c r="D41" s="781"/>
      <c r="E41" s="781">
        <v>5192</v>
      </c>
      <c r="F41" s="1109"/>
      <c r="G41" s="1111"/>
    </row>
    <row r="42" spans="1:9" s="488" customFormat="1" ht="15" customHeight="1" x14ac:dyDescent="0.2">
      <c r="A42" s="1112" t="s">
        <v>720</v>
      </c>
      <c r="B42" s="1113"/>
      <c r="C42" s="777" t="s">
        <v>721</v>
      </c>
      <c r="D42" s="778">
        <f>10000+6500</f>
        <v>16500</v>
      </c>
      <c r="E42" s="779"/>
      <c r="F42" s="1108">
        <v>42759</v>
      </c>
      <c r="G42" s="1110">
        <v>42767</v>
      </c>
    </row>
    <row r="43" spans="1:9" s="488" customFormat="1" ht="15" customHeight="1" x14ac:dyDescent="0.2">
      <c r="A43" s="1116"/>
      <c r="B43" s="1117"/>
      <c r="C43" s="780" t="s">
        <v>469</v>
      </c>
      <c r="D43" s="781"/>
      <c r="E43" s="781">
        <f>D42</f>
        <v>16500</v>
      </c>
      <c r="F43" s="1109">
        <v>42066</v>
      </c>
      <c r="G43" s="1111">
        <v>42101</v>
      </c>
    </row>
    <row r="44" spans="1:9" s="488" customFormat="1" ht="15" customHeight="1" x14ac:dyDescent="0.2">
      <c r="A44" s="1112" t="s">
        <v>722</v>
      </c>
      <c r="B44" s="1113"/>
      <c r="C44" s="777" t="s">
        <v>721</v>
      </c>
      <c r="D44" s="778">
        <f>E45+E46</f>
        <v>10163</v>
      </c>
      <c r="E44" s="778"/>
      <c r="F44" s="1108">
        <v>42850</v>
      </c>
      <c r="G44" s="1110">
        <v>42857</v>
      </c>
    </row>
    <row r="45" spans="1:9" s="488" customFormat="1" ht="15" customHeight="1" x14ac:dyDescent="0.2">
      <c r="A45" s="1114"/>
      <c r="B45" s="1115"/>
      <c r="C45" s="777" t="s">
        <v>469</v>
      </c>
      <c r="D45" s="778"/>
      <c r="E45" s="778">
        <v>5388</v>
      </c>
      <c r="F45" s="1118"/>
      <c r="G45" s="1119"/>
    </row>
    <row r="46" spans="1:9" s="488" customFormat="1" ht="15" customHeight="1" x14ac:dyDescent="0.2">
      <c r="A46" s="1116"/>
      <c r="B46" s="1117"/>
      <c r="C46" s="782" t="s">
        <v>723</v>
      </c>
      <c r="D46" s="783"/>
      <c r="E46" s="783">
        <f>1787+2988</f>
        <v>4775</v>
      </c>
      <c r="F46" s="1109"/>
      <c r="G46" s="1111"/>
    </row>
    <row r="47" spans="1:9" s="488" customFormat="1" ht="15" customHeight="1" x14ac:dyDescent="0.2">
      <c r="A47" s="1112" t="s">
        <v>724</v>
      </c>
      <c r="B47" s="1113"/>
      <c r="C47" s="777" t="s">
        <v>725</v>
      </c>
      <c r="D47" s="778">
        <f>E48</f>
        <v>77000</v>
      </c>
      <c r="E47" s="779"/>
      <c r="F47" s="1108">
        <v>42878</v>
      </c>
      <c r="G47" s="1110">
        <v>42913</v>
      </c>
    </row>
    <row r="48" spans="1:9" s="488" customFormat="1" ht="15" customHeight="1" x14ac:dyDescent="0.2">
      <c r="A48" s="1116"/>
      <c r="B48" s="1117"/>
      <c r="C48" s="780" t="s">
        <v>459</v>
      </c>
      <c r="D48" s="781"/>
      <c r="E48" s="781">
        <v>77000</v>
      </c>
      <c r="F48" s="1109"/>
      <c r="G48" s="1111"/>
    </row>
    <row r="49" spans="1:9" s="488" customFormat="1" ht="15" customHeight="1" x14ac:dyDescent="0.2">
      <c r="A49" s="1095" t="s">
        <v>726</v>
      </c>
      <c r="B49" s="1096"/>
      <c r="C49" s="777" t="s">
        <v>727</v>
      </c>
      <c r="D49" s="778"/>
      <c r="E49" s="778">
        <v>-23963</v>
      </c>
      <c r="F49" s="1108">
        <v>42907</v>
      </c>
      <c r="G49" s="1110">
        <v>75778</v>
      </c>
    </row>
    <row r="50" spans="1:9" s="488" customFormat="1" ht="15" customHeight="1" x14ac:dyDescent="0.2">
      <c r="A50" s="1106"/>
      <c r="B50" s="1107"/>
      <c r="C50" s="780" t="s">
        <v>728</v>
      </c>
      <c r="D50" s="781"/>
      <c r="E50" s="781">
        <f>-E49</f>
        <v>23963</v>
      </c>
      <c r="F50" s="1109"/>
      <c r="G50" s="1111"/>
    </row>
    <row r="51" spans="1:9" s="488" customFormat="1" ht="15" customHeight="1" x14ac:dyDescent="0.2">
      <c r="A51" s="1112" t="s">
        <v>729</v>
      </c>
      <c r="B51" s="1113"/>
      <c r="C51" s="777" t="s">
        <v>725</v>
      </c>
      <c r="D51" s="778">
        <f>E52+E53</f>
        <v>320000</v>
      </c>
      <c r="E51" s="778"/>
      <c r="F51" s="1108">
        <v>42892</v>
      </c>
      <c r="G51" s="1110">
        <v>42913</v>
      </c>
    </row>
    <row r="52" spans="1:9" s="488" customFormat="1" ht="15" customHeight="1" x14ac:dyDescent="0.2">
      <c r="A52" s="1114"/>
      <c r="B52" s="1115"/>
      <c r="C52" s="777" t="s">
        <v>730</v>
      </c>
      <c r="D52" s="778"/>
      <c r="E52" s="778">
        <v>200000</v>
      </c>
      <c r="F52" s="1118"/>
      <c r="G52" s="1119"/>
    </row>
    <row r="53" spans="1:9" s="488" customFormat="1" ht="15" customHeight="1" x14ac:dyDescent="0.2">
      <c r="A53" s="1116"/>
      <c r="B53" s="1117"/>
      <c r="C53" s="782" t="s">
        <v>730</v>
      </c>
      <c r="D53" s="783"/>
      <c r="E53" s="783">
        <v>120000</v>
      </c>
      <c r="F53" s="1109"/>
      <c r="G53" s="1111"/>
    </row>
    <row r="54" spans="1:9" s="488" customFormat="1" ht="12" x14ac:dyDescent="0.2">
      <c r="A54" s="1097" t="s">
        <v>169</v>
      </c>
      <c r="B54" s="1098"/>
      <c r="C54" s="784"/>
      <c r="D54" s="508">
        <f>SUM(D40:D53)</f>
        <v>428855</v>
      </c>
      <c r="E54" s="508">
        <f>SUM(E40:E53)</f>
        <v>428855</v>
      </c>
      <c r="F54" s="1101"/>
      <c r="G54" s="1102"/>
    </row>
    <row r="55" spans="1:9" s="488" customFormat="1" ht="11.25" x14ac:dyDescent="0.2">
      <c r="C55" s="519"/>
    </row>
    <row r="56" spans="1:9" s="488" customFormat="1" ht="11.25" x14ac:dyDescent="0.2">
      <c r="A56" s="1103" t="s">
        <v>327</v>
      </c>
      <c r="B56" s="1103"/>
      <c r="C56" s="1103"/>
      <c r="D56" s="1103"/>
      <c r="E56" s="1103"/>
      <c r="F56" s="1103"/>
      <c r="G56" s="1103"/>
      <c r="H56" s="1103"/>
      <c r="I56" s="1103"/>
    </row>
    <row r="57" spans="1:9" s="488" customFormat="1" ht="11.25" x14ac:dyDescent="0.2">
      <c r="C57" s="519"/>
    </row>
    <row r="58" spans="1:9" s="529" customFormat="1" ht="31.5" x14ac:dyDescent="0.25">
      <c r="A58" s="1104" t="s">
        <v>149</v>
      </c>
      <c r="B58" s="1105"/>
      <c r="C58" s="776" t="s">
        <v>150</v>
      </c>
      <c r="D58" s="776" t="s">
        <v>151</v>
      </c>
      <c r="E58" s="776" t="s">
        <v>152</v>
      </c>
      <c r="F58" s="776" t="s">
        <v>153</v>
      </c>
      <c r="G58" s="776" t="s">
        <v>154</v>
      </c>
    </row>
    <row r="59" spans="1:9" s="488" customFormat="1" ht="15" customHeight="1" x14ac:dyDescent="0.2">
      <c r="A59" s="1095" t="s">
        <v>731</v>
      </c>
      <c r="B59" s="1096"/>
      <c r="C59" s="785" t="s">
        <v>732</v>
      </c>
      <c r="D59" s="786"/>
      <c r="E59" s="787">
        <v>-6000</v>
      </c>
      <c r="F59" s="788">
        <v>42916</v>
      </c>
      <c r="G59" s="789">
        <v>42916</v>
      </c>
    </row>
    <row r="60" spans="1:9" s="488" customFormat="1" ht="15" customHeight="1" x14ac:dyDescent="0.2">
      <c r="A60" s="1095" t="s">
        <v>733</v>
      </c>
      <c r="B60" s="1096"/>
      <c r="C60" s="785" t="s">
        <v>734</v>
      </c>
      <c r="D60" s="790"/>
      <c r="E60" s="791">
        <v>-15000</v>
      </c>
      <c r="F60" s="792">
        <v>42916</v>
      </c>
      <c r="G60" s="789">
        <v>42916</v>
      </c>
    </row>
    <row r="61" spans="1:9" s="488" customFormat="1" ht="35.25" customHeight="1" x14ac:dyDescent="0.2">
      <c r="A61" s="1095" t="s">
        <v>735</v>
      </c>
      <c r="B61" s="1096"/>
      <c r="C61" s="793" t="s">
        <v>736</v>
      </c>
      <c r="D61" s="786"/>
      <c r="E61" s="787">
        <v>5400</v>
      </c>
      <c r="F61" s="792">
        <v>42916</v>
      </c>
      <c r="G61" s="789">
        <v>42916</v>
      </c>
    </row>
    <row r="62" spans="1:9" s="488" customFormat="1" ht="24" customHeight="1" x14ac:dyDescent="0.2">
      <c r="A62" s="1095" t="s">
        <v>737</v>
      </c>
      <c r="B62" s="1096"/>
      <c r="C62" s="794" t="s">
        <v>738</v>
      </c>
      <c r="D62" s="790"/>
      <c r="E62" s="791">
        <v>17260</v>
      </c>
      <c r="F62" s="792">
        <v>42916</v>
      </c>
      <c r="G62" s="789">
        <v>42916</v>
      </c>
    </row>
    <row r="63" spans="1:9" s="488" customFormat="1" ht="24" customHeight="1" x14ac:dyDescent="0.2">
      <c r="A63" s="1095" t="s">
        <v>739</v>
      </c>
      <c r="B63" s="1096"/>
      <c r="C63" s="777" t="s">
        <v>740</v>
      </c>
      <c r="D63" s="795"/>
      <c r="E63" s="778">
        <v>190</v>
      </c>
      <c r="F63" s="792">
        <v>42916</v>
      </c>
      <c r="G63" s="789">
        <v>42916</v>
      </c>
    </row>
    <row r="64" spans="1:9" s="488" customFormat="1" ht="11.25" x14ac:dyDescent="0.2">
      <c r="A64" s="1097" t="s">
        <v>169</v>
      </c>
      <c r="B64" s="1098"/>
      <c r="C64" s="784"/>
      <c r="D64" s="771">
        <f>SUM(D59:D60)</f>
        <v>0</v>
      </c>
      <c r="E64" s="771">
        <f>SUM(E59:E63)</f>
        <v>1850</v>
      </c>
      <c r="F64" s="1099"/>
      <c r="G64" s="1100"/>
    </row>
    <row r="65" spans="1:9" s="488" customFormat="1" ht="11.25" x14ac:dyDescent="0.2">
      <c r="C65" s="519"/>
    </row>
    <row r="66" spans="1:9" s="494" customFormat="1" ht="11.25" x14ac:dyDescent="0.2">
      <c r="A66" s="1015" t="s">
        <v>172</v>
      </c>
      <c r="B66" s="1015"/>
      <c r="C66" s="1015"/>
      <c r="D66" s="1015"/>
      <c r="E66" s="1015"/>
      <c r="F66" s="1015"/>
      <c r="G66" s="1015"/>
      <c r="H66" s="1015"/>
      <c r="I66" s="1015"/>
    </row>
    <row r="67" spans="1:9" s="488" customFormat="1" ht="11.25" x14ac:dyDescent="0.2"/>
    <row r="68" spans="1:9" s="488" customFormat="1" ht="11.25" x14ac:dyDescent="0.2">
      <c r="A68" s="862" t="s">
        <v>741</v>
      </c>
      <c r="B68" s="863"/>
      <c r="C68" s="863"/>
      <c r="D68" s="863"/>
      <c r="E68" s="863"/>
      <c r="F68" s="863"/>
      <c r="G68" s="863"/>
      <c r="H68" s="863"/>
      <c r="I68" s="864"/>
    </row>
    <row r="69" spans="1:9" s="488" customFormat="1" ht="11.25" x14ac:dyDescent="0.2"/>
    <row r="70" spans="1:9" s="487" customFormat="1" ht="10.5" x14ac:dyDescent="0.15">
      <c r="A70" s="1004" t="s">
        <v>175</v>
      </c>
      <c r="B70" s="1004"/>
      <c r="C70" s="1004"/>
      <c r="D70" s="1004"/>
      <c r="E70" s="1004"/>
      <c r="F70" s="1004"/>
      <c r="G70" s="1004"/>
      <c r="H70" s="1004"/>
      <c r="I70" s="1004"/>
    </row>
    <row r="71" spans="1:9" s="488" customFormat="1" ht="11.25" x14ac:dyDescent="0.2"/>
    <row r="72" spans="1:9" s="488" customFormat="1" ht="23.25" customHeight="1" x14ac:dyDescent="0.2">
      <c r="A72" s="862" t="s">
        <v>742</v>
      </c>
      <c r="B72" s="863"/>
      <c r="C72" s="863"/>
      <c r="D72" s="863"/>
      <c r="E72" s="863"/>
      <c r="F72" s="863"/>
      <c r="G72" s="863"/>
      <c r="H72" s="863"/>
      <c r="I72" s="864"/>
    </row>
    <row r="75" spans="1:9" x14ac:dyDescent="0.2">
      <c r="A75" s="488" t="s">
        <v>743</v>
      </c>
    </row>
    <row r="76" spans="1:9" x14ac:dyDescent="0.2">
      <c r="A76" s="488"/>
    </row>
    <row r="77" spans="1:9" x14ac:dyDescent="0.2">
      <c r="A77" s="488" t="s">
        <v>744</v>
      </c>
    </row>
  </sheetData>
  <mergeCells count="64">
    <mergeCell ref="A1:I1"/>
    <mergeCell ref="A3:I3"/>
    <mergeCell ref="A5:B5"/>
    <mergeCell ref="D5:I5"/>
    <mergeCell ref="A6:B6"/>
    <mergeCell ref="D6:I6"/>
    <mergeCell ref="A19:I19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A37:I37"/>
    <mergeCell ref="D21:I21"/>
    <mergeCell ref="D22:I22"/>
    <mergeCell ref="C23:I23"/>
    <mergeCell ref="A25:I25"/>
    <mergeCell ref="D27:I27"/>
    <mergeCell ref="D28:I28"/>
    <mergeCell ref="C29:I29"/>
    <mergeCell ref="A31:I31"/>
    <mergeCell ref="C33:I33"/>
    <mergeCell ref="C34:I34"/>
    <mergeCell ref="C35:I35"/>
    <mergeCell ref="A39:B39"/>
    <mergeCell ref="A40:B41"/>
    <mergeCell ref="F40:F41"/>
    <mergeCell ref="G40:G41"/>
    <mergeCell ref="A42:B43"/>
    <mergeCell ref="F42:F43"/>
    <mergeCell ref="G42:G43"/>
    <mergeCell ref="A44:B46"/>
    <mergeCell ref="F44:F46"/>
    <mergeCell ref="G44:G46"/>
    <mergeCell ref="A47:B48"/>
    <mergeCell ref="F47:F48"/>
    <mergeCell ref="G47:G48"/>
    <mergeCell ref="A60:B60"/>
    <mergeCell ref="A49:B50"/>
    <mergeCell ref="F49:F50"/>
    <mergeCell ref="G49:G50"/>
    <mergeCell ref="A51:B53"/>
    <mergeCell ref="F51:F53"/>
    <mergeCell ref="G51:G53"/>
    <mergeCell ref="A54:B54"/>
    <mergeCell ref="F54:G54"/>
    <mergeCell ref="A56:I56"/>
    <mergeCell ref="A58:B58"/>
    <mergeCell ref="A59:B59"/>
    <mergeCell ref="A68:I68"/>
    <mergeCell ref="A70:I70"/>
    <mergeCell ref="A72:I72"/>
    <mergeCell ref="A61:B61"/>
    <mergeCell ref="A62:B62"/>
    <mergeCell ref="A63:B63"/>
    <mergeCell ref="A64:B64"/>
    <mergeCell ref="F64:G64"/>
    <mergeCell ref="A66:I66"/>
  </mergeCells>
  <pageMargins left="0.70866141732283472" right="0.70866141732283472" top="0.78740157480314965" bottom="0.78740157480314965" header="0.31496062992125984" footer="0.31496062992125984"/>
  <pageSetup paperSize="9" scale="61" firstPageNumber="74" fitToHeight="3" orientation="portrait" useFirstPageNumber="1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96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27805396</v>
      </c>
      <c r="F6" s="8">
        <f>SUM(F7:F9)</f>
        <v>28292324</v>
      </c>
      <c r="G6" s="8">
        <f>SUM(G7:G9)</f>
        <v>14061648</v>
      </c>
      <c r="H6" s="9">
        <f t="shared" ref="H6:H36" si="0">G6/F6*100</f>
        <v>49.701282934551436</v>
      </c>
      <c r="I6" s="8">
        <f>SUM(I7:I9)</f>
        <v>12333762</v>
      </c>
      <c r="J6" s="8">
        <f>SUM(J7:J9)</f>
        <v>4238206</v>
      </c>
      <c r="K6" s="8">
        <f t="shared" ref="K6:X6" si="1">SUM(K7:K9)</f>
        <v>4673206</v>
      </c>
      <c r="L6" s="8">
        <f t="shared" si="1"/>
        <v>2712269</v>
      </c>
      <c r="M6" s="9">
        <f t="shared" ref="M6:M36" si="2">L6/K6*100</f>
        <v>58.03872116915025</v>
      </c>
      <c r="N6" s="8">
        <f t="shared" si="1"/>
        <v>2178630</v>
      </c>
      <c r="O6" s="8">
        <f t="shared" si="1"/>
        <v>23567190</v>
      </c>
      <c r="P6" s="8">
        <f t="shared" si="1"/>
        <v>23619118</v>
      </c>
      <c r="Q6" s="8">
        <f t="shared" si="1"/>
        <v>11349379</v>
      </c>
      <c r="R6" s="9">
        <f t="shared" ref="R6:R36" si="3">Q6/P6*100</f>
        <v>48.051663063794336</v>
      </c>
      <c r="S6" s="8">
        <f t="shared" si="1"/>
        <v>10155132</v>
      </c>
      <c r="T6" s="8">
        <f t="shared" si="1"/>
        <v>81000</v>
      </c>
      <c r="U6" s="8">
        <f t="shared" si="1"/>
        <v>117000</v>
      </c>
      <c r="V6" s="8">
        <f t="shared" si="1"/>
        <v>76851</v>
      </c>
      <c r="W6" s="9">
        <f t="shared" ref="W6:W36" si="4">V6/U6*100</f>
        <v>65.684615384615384</v>
      </c>
      <c r="X6" s="8">
        <f t="shared" si="1"/>
        <v>65445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9" si="5">SUM(J7,O7)</f>
        <v>223000</v>
      </c>
      <c r="F7" s="12">
        <f t="shared" si="5"/>
        <v>231000</v>
      </c>
      <c r="G7" s="12">
        <f t="shared" si="5"/>
        <v>180537</v>
      </c>
      <c r="H7" s="13">
        <f t="shared" si="0"/>
        <v>78.154545454545456</v>
      </c>
      <c r="I7" s="12">
        <f>SUM(N7,S7)</f>
        <v>155251</v>
      </c>
      <c r="J7" s="44">
        <v>223000</v>
      </c>
      <c r="K7" s="14">
        <v>231000</v>
      </c>
      <c r="L7" s="14">
        <v>180537</v>
      </c>
      <c r="M7" s="13">
        <f t="shared" si="2"/>
        <v>78.154545454545456</v>
      </c>
      <c r="N7" s="14">
        <v>155251</v>
      </c>
      <c r="O7" s="14"/>
      <c r="P7" s="14"/>
      <c r="Q7" s="14"/>
      <c r="R7" s="13"/>
      <c r="S7" s="14"/>
      <c r="T7" s="14">
        <v>81000</v>
      </c>
      <c r="U7" s="14">
        <v>117000</v>
      </c>
      <c r="V7" s="14">
        <v>76851</v>
      </c>
      <c r="W7" s="13">
        <f t="shared" si="4"/>
        <v>65.684615384615384</v>
      </c>
      <c r="X7" s="14">
        <v>65445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5"/>
        <v>1200</v>
      </c>
      <c r="F8" s="12">
        <f t="shared" si="5"/>
        <v>1200</v>
      </c>
      <c r="G8" s="12">
        <f t="shared" si="5"/>
        <v>329</v>
      </c>
      <c r="H8" s="13">
        <f t="shared" si="0"/>
        <v>27.416666666666668</v>
      </c>
      <c r="I8" s="12">
        <f>SUM(N8,S8)</f>
        <v>677</v>
      </c>
      <c r="J8" s="45">
        <v>1200</v>
      </c>
      <c r="K8" s="12">
        <v>1200</v>
      </c>
      <c r="L8" s="12">
        <v>329</v>
      </c>
      <c r="M8" s="13">
        <f t="shared" si="2"/>
        <v>27.416666666666668</v>
      </c>
      <c r="N8" s="12">
        <v>677</v>
      </c>
      <c r="O8" s="12"/>
      <c r="P8" s="12"/>
      <c r="Q8" s="12"/>
      <c r="R8" s="13"/>
      <c r="S8" s="12"/>
      <c r="T8" s="12"/>
      <c r="U8" s="12"/>
      <c r="V8" s="12"/>
      <c r="W8" s="13"/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5"/>
        <v>27581196</v>
      </c>
      <c r="F9" s="12">
        <f t="shared" si="5"/>
        <v>28060124</v>
      </c>
      <c r="G9" s="12">
        <f t="shared" si="5"/>
        <v>13880782</v>
      </c>
      <c r="H9" s="13">
        <f t="shared" si="0"/>
        <v>49.467999499930933</v>
      </c>
      <c r="I9" s="12">
        <f>SUM(N9,S9)</f>
        <v>12177834</v>
      </c>
      <c r="J9" s="45">
        <v>4014006</v>
      </c>
      <c r="K9" s="12">
        <v>4441006</v>
      </c>
      <c r="L9" s="12">
        <v>2531403</v>
      </c>
      <c r="M9" s="13">
        <f t="shared" si="2"/>
        <v>57.000666065301417</v>
      </c>
      <c r="N9" s="12">
        <v>2022702</v>
      </c>
      <c r="O9" s="12">
        <v>23567190</v>
      </c>
      <c r="P9" s="12">
        <v>23619118</v>
      </c>
      <c r="Q9" s="12">
        <v>11349379</v>
      </c>
      <c r="R9" s="13">
        <f t="shared" si="3"/>
        <v>48.051663063794336</v>
      </c>
      <c r="S9" s="12">
        <v>10155132</v>
      </c>
      <c r="T9" s="12"/>
      <c r="U9" s="12"/>
      <c r="V9" s="12"/>
      <c r="W9" s="13"/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/>
      <c r="F10" s="18"/>
      <c r="G10" s="18"/>
      <c r="H10" s="9"/>
      <c r="I10" s="18"/>
      <c r="J10" s="19"/>
      <c r="K10" s="18"/>
      <c r="L10" s="18"/>
      <c r="M10" s="9"/>
      <c r="N10" s="18"/>
      <c r="O10" s="18"/>
      <c r="P10" s="18"/>
      <c r="Q10" s="18"/>
      <c r="R10" s="9"/>
      <c r="S10" s="18"/>
      <c r="T10" s="18"/>
      <c r="U10" s="18"/>
      <c r="V10" s="18"/>
      <c r="W10" s="9"/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27805396</v>
      </c>
      <c r="F11" s="8">
        <f>SUM(F12:F31)</f>
        <v>28292324</v>
      </c>
      <c r="G11" s="8">
        <f>SUM(G12:G31)</f>
        <v>13732952</v>
      </c>
      <c r="H11" s="9">
        <f t="shared" si="0"/>
        <v>48.539497851077911</v>
      </c>
      <c r="I11" s="8">
        <f>SUM(I12:I31)</f>
        <v>12461920</v>
      </c>
      <c r="J11" s="8">
        <f>SUM(J12:J31)</f>
        <v>4238206</v>
      </c>
      <c r="K11" s="8">
        <f>SUM(K12:K31)</f>
        <v>4673206</v>
      </c>
      <c r="L11" s="8">
        <f>SUM(L12:L31)</f>
        <v>2383573</v>
      </c>
      <c r="M11" s="9">
        <f t="shared" si="2"/>
        <v>51.005091579528063</v>
      </c>
      <c r="N11" s="8">
        <f>SUM(N12:N31)</f>
        <v>2306788</v>
      </c>
      <c r="O11" s="8">
        <f>SUM(O12:O31)</f>
        <v>23567190</v>
      </c>
      <c r="P11" s="8">
        <f>SUM(P12:P31)</f>
        <v>23619118</v>
      </c>
      <c r="Q11" s="8">
        <f>SUM(Q12:Q31)</f>
        <v>11349379</v>
      </c>
      <c r="R11" s="9">
        <f t="shared" si="3"/>
        <v>48.051663063794336</v>
      </c>
      <c r="S11" s="8">
        <f>SUM(S12:S31)</f>
        <v>10155132</v>
      </c>
      <c r="T11" s="8">
        <f>SUM(T12:T31)</f>
        <v>26480</v>
      </c>
      <c r="U11" s="8">
        <f>SUM(U12:U31)</f>
        <v>62480</v>
      </c>
      <c r="V11" s="8">
        <f>SUM(V12:V31)</f>
        <v>35998</v>
      </c>
      <c r="W11" s="9">
        <f t="shared" si="4"/>
        <v>57.615236875800257</v>
      </c>
      <c r="X11" s="8">
        <f>SUM(X12:X31)</f>
        <v>44744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6">SUM(J12,O12)</f>
        <v>792000</v>
      </c>
      <c r="F12" s="12">
        <f t="shared" si="6"/>
        <v>780580</v>
      </c>
      <c r="G12" s="12">
        <f t="shared" si="6"/>
        <v>339381</v>
      </c>
      <c r="H12" s="13">
        <f t="shared" si="0"/>
        <v>43.478054779779143</v>
      </c>
      <c r="I12" s="12">
        <f t="shared" si="6"/>
        <v>597950</v>
      </c>
      <c r="J12" s="20">
        <v>542000</v>
      </c>
      <c r="K12" s="21">
        <v>550580</v>
      </c>
      <c r="L12" s="21">
        <v>219519</v>
      </c>
      <c r="M12" s="13">
        <f t="shared" si="2"/>
        <v>39.870500199789312</v>
      </c>
      <c r="N12" s="22">
        <v>407885</v>
      </c>
      <c r="O12" s="21">
        <v>250000</v>
      </c>
      <c r="P12" s="21">
        <v>230000</v>
      </c>
      <c r="Q12" s="21">
        <v>119862</v>
      </c>
      <c r="R12" s="13">
        <f t="shared" si="3"/>
        <v>52.113913043478263</v>
      </c>
      <c r="S12" s="21">
        <v>190065</v>
      </c>
      <c r="T12" s="21">
        <v>300</v>
      </c>
      <c r="U12" s="21">
        <v>300</v>
      </c>
      <c r="V12" s="21"/>
      <c r="W12" s="13">
        <f t="shared" si="4"/>
        <v>0</v>
      </c>
      <c r="X12" s="22">
        <v>268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6"/>
        <v>1425000</v>
      </c>
      <c r="F13" s="12">
        <f t="shared" si="6"/>
        <v>1425000</v>
      </c>
      <c r="G13" s="12">
        <f t="shared" si="6"/>
        <v>756948</v>
      </c>
      <c r="H13" s="13">
        <f t="shared" si="0"/>
        <v>53.119157894736844</v>
      </c>
      <c r="I13" s="12">
        <f t="shared" si="6"/>
        <v>1000568</v>
      </c>
      <c r="J13" s="20">
        <v>1425000</v>
      </c>
      <c r="K13" s="12">
        <v>1425000</v>
      </c>
      <c r="L13" s="12">
        <v>756948</v>
      </c>
      <c r="M13" s="13">
        <f t="shared" si="2"/>
        <v>53.119157894736844</v>
      </c>
      <c r="N13" s="12">
        <v>1000568</v>
      </c>
      <c r="O13" s="12"/>
      <c r="P13" s="12"/>
      <c r="Q13" s="12"/>
      <c r="R13" s="13"/>
      <c r="S13" s="12"/>
      <c r="T13" s="12">
        <v>11000</v>
      </c>
      <c r="U13" s="12">
        <v>11000</v>
      </c>
      <c r="V13" s="12"/>
      <c r="W13" s="13">
        <f t="shared" si="4"/>
        <v>0</v>
      </c>
      <c r="X13" s="12">
        <v>7528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/>
      <c r="F14" s="12"/>
      <c r="G14" s="12"/>
      <c r="H14" s="13"/>
      <c r="I14" s="12"/>
      <c r="J14" s="20"/>
      <c r="K14" s="12"/>
      <c r="L14" s="12"/>
      <c r="M14" s="13"/>
      <c r="N14" s="12"/>
      <c r="O14" s="12"/>
      <c r="P14" s="12"/>
      <c r="Q14" s="12"/>
      <c r="R14" s="13"/>
      <c r="S14" s="12"/>
      <c r="T14" s="12"/>
      <c r="U14" s="12"/>
      <c r="V14" s="12"/>
      <c r="W14" s="13"/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6"/>
        <v>733000</v>
      </c>
      <c r="F15" s="12">
        <f t="shared" si="6"/>
        <v>1123000</v>
      </c>
      <c r="G15" s="12">
        <f t="shared" si="6"/>
        <v>599416</v>
      </c>
      <c r="H15" s="13">
        <f t="shared" si="0"/>
        <v>53.376313446126446</v>
      </c>
      <c r="I15" s="12">
        <f t="shared" si="6"/>
        <v>157269</v>
      </c>
      <c r="J15" s="20">
        <v>733000</v>
      </c>
      <c r="K15" s="12">
        <v>1123000</v>
      </c>
      <c r="L15" s="12">
        <v>599416</v>
      </c>
      <c r="M15" s="13">
        <f t="shared" si="2"/>
        <v>53.376313446126446</v>
      </c>
      <c r="N15" s="12">
        <v>157269</v>
      </c>
      <c r="O15" s="12"/>
      <c r="P15" s="12"/>
      <c r="Q15" s="12"/>
      <c r="R15" s="13"/>
      <c r="S15" s="12"/>
      <c r="T15" s="12">
        <v>5850</v>
      </c>
      <c r="U15" s="12">
        <v>5850</v>
      </c>
      <c r="V15" s="12"/>
      <c r="W15" s="13">
        <f t="shared" si="4"/>
        <v>0</v>
      </c>
      <c r="X15" s="12">
        <v>1014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6"/>
        <v>28000</v>
      </c>
      <c r="F16" s="12">
        <f t="shared" si="6"/>
        <v>42000</v>
      </c>
      <c r="G16" s="12">
        <f t="shared" si="6"/>
        <v>40705</v>
      </c>
      <c r="H16" s="13">
        <f t="shared" si="0"/>
        <v>96.916666666666657</v>
      </c>
      <c r="I16" s="12">
        <f t="shared" si="6"/>
        <v>38840</v>
      </c>
      <c r="J16" s="20">
        <v>3000</v>
      </c>
      <c r="K16" s="12">
        <v>5000</v>
      </c>
      <c r="L16" s="12">
        <v>3711</v>
      </c>
      <c r="M16" s="13">
        <f t="shared" si="2"/>
        <v>74.22</v>
      </c>
      <c r="N16" s="12">
        <v>290</v>
      </c>
      <c r="O16" s="12">
        <v>25000</v>
      </c>
      <c r="P16" s="12">
        <v>37000</v>
      </c>
      <c r="Q16" s="12">
        <v>36994</v>
      </c>
      <c r="R16" s="13">
        <f t="shared" si="3"/>
        <v>99.983783783783792</v>
      </c>
      <c r="S16" s="12">
        <v>38550</v>
      </c>
      <c r="T16" s="12"/>
      <c r="U16" s="12"/>
      <c r="V16" s="12"/>
      <c r="W16" s="13"/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6"/>
        <v>5000</v>
      </c>
      <c r="F17" s="12">
        <f t="shared" si="6"/>
        <v>5000</v>
      </c>
      <c r="G17" s="12">
        <f t="shared" si="6"/>
        <v>1725</v>
      </c>
      <c r="H17" s="13">
        <f t="shared" si="0"/>
        <v>34.5</v>
      </c>
      <c r="I17" s="12">
        <f t="shared" si="6"/>
        <v>830</v>
      </c>
      <c r="J17" s="20">
        <v>5000</v>
      </c>
      <c r="K17" s="12">
        <v>5000</v>
      </c>
      <c r="L17" s="12">
        <v>1725</v>
      </c>
      <c r="M17" s="13">
        <f t="shared" si="2"/>
        <v>34.5</v>
      </c>
      <c r="N17" s="12">
        <v>830</v>
      </c>
      <c r="O17" s="12"/>
      <c r="P17" s="12"/>
      <c r="Q17" s="12"/>
      <c r="R17" s="13"/>
      <c r="S17" s="12"/>
      <c r="T17" s="12"/>
      <c r="U17" s="12"/>
      <c r="V17" s="12"/>
      <c r="W17" s="13"/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6"/>
        <v>508000</v>
      </c>
      <c r="F18" s="12">
        <f t="shared" si="6"/>
        <v>516000</v>
      </c>
      <c r="G18" s="12">
        <f t="shared" si="6"/>
        <v>273655</v>
      </c>
      <c r="H18" s="13">
        <f t="shared" si="0"/>
        <v>53.033914728682177</v>
      </c>
      <c r="I18" s="12">
        <f t="shared" si="6"/>
        <v>290923</v>
      </c>
      <c r="J18" s="20">
        <v>478000</v>
      </c>
      <c r="K18" s="12">
        <v>486000</v>
      </c>
      <c r="L18" s="12">
        <v>253105</v>
      </c>
      <c r="M18" s="13">
        <f t="shared" si="2"/>
        <v>52.079218106995881</v>
      </c>
      <c r="N18" s="12">
        <v>258965</v>
      </c>
      <c r="O18" s="12">
        <v>30000</v>
      </c>
      <c r="P18" s="12">
        <v>30000</v>
      </c>
      <c r="Q18" s="12">
        <v>20550</v>
      </c>
      <c r="R18" s="13">
        <f t="shared" si="3"/>
        <v>68.5</v>
      </c>
      <c r="S18" s="12">
        <v>31958</v>
      </c>
      <c r="T18" s="12">
        <v>7700</v>
      </c>
      <c r="U18" s="12">
        <v>43700</v>
      </c>
      <c r="V18" s="12">
        <v>35998</v>
      </c>
      <c r="W18" s="13">
        <f t="shared" si="4"/>
        <v>82.375286041189938</v>
      </c>
      <c r="X18" s="12">
        <v>35934</v>
      </c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6"/>
        <v>17343478</v>
      </c>
      <c r="F19" s="12">
        <f t="shared" si="6"/>
        <v>17397654</v>
      </c>
      <c r="G19" s="12">
        <f t="shared" si="6"/>
        <v>8339423</v>
      </c>
      <c r="H19" s="13">
        <f t="shared" si="0"/>
        <v>47.934181240758093</v>
      </c>
      <c r="I19" s="12">
        <f t="shared" si="6"/>
        <v>7444608</v>
      </c>
      <c r="J19" s="23">
        <v>392500</v>
      </c>
      <c r="K19" s="12">
        <v>408500</v>
      </c>
      <c r="L19" s="12">
        <v>191028</v>
      </c>
      <c r="M19" s="13">
        <f t="shared" si="2"/>
        <v>46.763280293757646</v>
      </c>
      <c r="N19" s="12">
        <v>161451</v>
      </c>
      <c r="O19" s="12">
        <v>16950978</v>
      </c>
      <c r="P19" s="12">
        <v>16989154</v>
      </c>
      <c r="Q19" s="12">
        <v>8148395</v>
      </c>
      <c r="R19" s="13">
        <f t="shared" si="3"/>
        <v>47.96233526401609</v>
      </c>
      <c r="S19" s="12">
        <v>7283157</v>
      </c>
      <c r="T19" s="24">
        <v>1200</v>
      </c>
      <c r="U19" s="24">
        <v>1200</v>
      </c>
      <c r="V19" s="24"/>
      <c r="W19" s="13">
        <f t="shared" si="4"/>
        <v>0</v>
      </c>
      <c r="X19" s="24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6"/>
        <v>5886302</v>
      </c>
      <c r="F20" s="12">
        <f t="shared" si="6"/>
        <v>5905156</v>
      </c>
      <c r="G20" s="12">
        <f t="shared" si="6"/>
        <v>2823849</v>
      </c>
      <c r="H20" s="13">
        <f t="shared" si="0"/>
        <v>47.820057590349855</v>
      </c>
      <c r="I20" s="12">
        <f t="shared" si="6"/>
        <v>2497455</v>
      </c>
      <c r="J20" s="20">
        <v>52300</v>
      </c>
      <c r="K20" s="12">
        <v>57740</v>
      </c>
      <c r="L20" s="12">
        <v>29435</v>
      </c>
      <c r="M20" s="13">
        <f t="shared" si="2"/>
        <v>50.978524419812956</v>
      </c>
      <c r="N20" s="12">
        <v>23796</v>
      </c>
      <c r="O20" s="12">
        <v>5834002</v>
      </c>
      <c r="P20" s="12">
        <v>5847416</v>
      </c>
      <c r="Q20" s="12">
        <v>2794414</v>
      </c>
      <c r="R20" s="13">
        <f t="shared" si="3"/>
        <v>47.788869476705607</v>
      </c>
      <c r="S20" s="12">
        <v>2473659</v>
      </c>
      <c r="T20" s="12">
        <v>408</v>
      </c>
      <c r="U20" s="12">
        <v>408</v>
      </c>
      <c r="V20" s="12"/>
      <c r="W20" s="13">
        <f t="shared" si="4"/>
        <v>0</v>
      </c>
      <c r="X20" s="12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6"/>
        <v>379110</v>
      </c>
      <c r="F21" s="12">
        <f t="shared" si="6"/>
        <v>389908</v>
      </c>
      <c r="G21" s="12">
        <f t="shared" si="6"/>
        <v>170933</v>
      </c>
      <c r="H21" s="13">
        <f t="shared" si="0"/>
        <v>43.839315941196382</v>
      </c>
      <c r="I21" s="12">
        <f t="shared" si="6"/>
        <v>113165</v>
      </c>
      <c r="J21" s="20">
        <v>1900</v>
      </c>
      <c r="K21" s="12">
        <v>4360</v>
      </c>
      <c r="L21" s="12">
        <v>1133</v>
      </c>
      <c r="M21" s="13">
        <f t="shared" si="2"/>
        <v>25.986238532110089</v>
      </c>
      <c r="N21" s="12">
        <v>431</v>
      </c>
      <c r="O21" s="12">
        <v>377210</v>
      </c>
      <c r="P21" s="12">
        <v>385548</v>
      </c>
      <c r="Q21" s="12">
        <v>169800</v>
      </c>
      <c r="R21" s="13">
        <f t="shared" si="3"/>
        <v>44.041208876715736</v>
      </c>
      <c r="S21" s="12">
        <v>112734</v>
      </c>
      <c r="T21" s="12">
        <v>22</v>
      </c>
      <c r="U21" s="12">
        <v>22</v>
      </c>
      <c r="V21" s="12"/>
      <c r="W21" s="13">
        <f t="shared" si="4"/>
        <v>0</v>
      </c>
      <c r="X21" s="12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/>
      <c r="F22" s="12"/>
      <c r="G22" s="12"/>
      <c r="H22" s="13"/>
      <c r="I22" s="12"/>
      <c r="J22" s="20"/>
      <c r="K22" s="12"/>
      <c r="L22" s="12"/>
      <c r="M22" s="13"/>
      <c r="N22" s="12"/>
      <c r="O22" s="12"/>
      <c r="P22" s="12"/>
      <c r="Q22" s="12"/>
      <c r="R22" s="13"/>
      <c r="S22" s="12"/>
      <c r="T22" s="12"/>
      <c r="U22" s="12"/>
      <c r="V22" s="12"/>
      <c r="W22" s="13"/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/>
      <c r="F23" s="12"/>
      <c r="G23" s="12"/>
      <c r="H23" s="13"/>
      <c r="I23" s="12"/>
      <c r="J23" s="20"/>
      <c r="K23" s="12"/>
      <c r="L23" s="12"/>
      <c r="M23" s="13"/>
      <c r="N23" s="12"/>
      <c r="O23" s="12"/>
      <c r="P23" s="12"/>
      <c r="Q23" s="12"/>
      <c r="R23" s="13"/>
      <c r="S23" s="12"/>
      <c r="T23" s="12"/>
      <c r="U23" s="12"/>
      <c r="V23" s="12"/>
      <c r="W23" s="13"/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/>
      <c r="F24" s="12"/>
      <c r="G24" s="12"/>
      <c r="H24" s="13"/>
      <c r="I24" s="12"/>
      <c r="J24" s="20"/>
      <c r="K24" s="12"/>
      <c r="L24" s="12"/>
      <c r="M24" s="13"/>
      <c r="N24" s="12"/>
      <c r="O24" s="12"/>
      <c r="P24" s="12"/>
      <c r="Q24" s="12"/>
      <c r="R24" s="13"/>
      <c r="S24" s="12"/>
      <c r="T24" s="12"/>
      <c r="U24" s="12"/>
      <c r="V24" s="12"/>
      <c r="W24" s="13"/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/>
      <c r="F25" s="12"/>
      <c r="G25" s="12"/>
      <c r="H25" s="13"/>
      <c r="I25" s="12"/>
      <c r="J25" s="20"/>
      <c r="K25" s="21"/>
      <c r="L25" s="21"/>
      <c r="M25" s="13"/>
      <c r="N25" s="22"/>
      <c r="O25" s="21"/>
      <c r="P25" s="21"/>
      <c r="Q25" s="21"/>
      <c r="R25" s="13"/>
      <c r="S25" s="21"/>
      <c r="T25" s="21"/>
      <c r="U25" s="21"/>
      <c r="V25" s="21"/>
      <c r="W25" s="13"/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6"/>
        <v>518256</v>
      </c>
      <c r="F26" s="12">
        <f t="shared" si="6"/>
        <v>518256</v>
      </c>
      <c r="G26" s="12">
        <f t="shared" si="6"/>
        <v>262704</v>
      </c>
      <c r="H26" s="26">
        <f>G26/F26*100</f>
        <v>50.690006483282389</v>
      </c>
      <c r="I26" s="12">
        <f>SUM(N26,S26)</f>
        <v>258393</v>
      </c>
      <c r="J26" s="20">
        <v>518256</v>
      </c>
      <c r="K26" s="22">
        <v>518256</v>
      </c>
      <c r="L26" s="22">
        <v>262704</v>
      </c>
      <c r="M26" s="13">
        <f>L26/K26*100</f>
        <v>50.690006483282389</v>
      </c>
      <c r="N26" s="22">
        <v>258393</v>
      </c>
      <c r="O26" s="22"/>
      <c r="P26" s="22"/>
      <c r="Q26" s="22"/>
      <c r="R26" s="13"/>
      <c r="S26" s="22"/>
      <c r="T26" s="47"/>
      <c r="U26" s="47"/>
      <c r="V26" s="47"/>
      <c r="W26" s="13"/>
      <c r="X26" s="47"/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/>
      <c r="F27" s="12"/>
      <c r="G27" s="12"/>
      <c r="H27" s="26"/>
      <c r="I27" s="12"/>
      <c r="J27" s="20"/>
      <c r="K27" s="22"/>
      <c r="L27" s="22"/>
      <c r="M27" s="13"/>
      <c r="N27" s="12"/>
      <c r="O27" s="22"/>
      <c r="P27" s="22"/>
      <c r="Q27" s="22"/>
      <c r="R27" s="13"/>
      <c r="S27" s="22"/>
      <c r="T27" s="47"/>
      <c r="U27" s="47"/>
      <c r="V27" s="47"/>
      <c r="W27" s="13"/>
      <c r="X27" s="47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187000</v>
      </c>
      <c r="F28" s="12">
        <f>SUM(K28,P28)</f>
        <v>187000</v>
      </c>
      <c r="G28" s="12">
        <f>SUM(L28,Q28)</f>
        <v>121449</v>
      </c>
      <c r="H28" s="26">
        <f>G28/F28*100</f>
        <v>64.945989304812841</v>
      </c>
      <c r="I28" s="12">
        <f>SUM(N28,S28)</f>
        <v>61697</v>
      </c>
      <c r="J28" s="20">
        <v>87000</v>
      </c>
      <c r="K28" s="22">
        <v>87000</v>
      </c>
      <c r="L28" s="22">
        <v>62085</v>
      </c>
      <c r="M28" s="13">
        <f>L28/K28*100</f>
        <v>71.362068965517238</v>
      </c>
      <c r="N28" s="12">
        <v>36688</v>
      </c>
      <c r="O28" s="22">
        <v>100000</v>
      </c>
      <c r="P28" s="22">
        <v>100000</v>
      </c>
      <c r="Q28" s="22">
        <v>59364</v>
      </c>
      <c r="R28" s="13">
        <f>Q28/P28*100</f>
        <v>59.363999999999997</v>
      </c>
      <c r="S28" s="22">
        <v>25009</v>
      </c>
      <c r="T28" s="47"/>
      <c r="U28" s="47"/>
      <c r="V28" s="47"/>
      <c r="W28" s="13"/>
      <c r="X28" s="47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6"/>
        <v>250</v>
      </c>
      <c r="F29" s="12">
        <f t="shared" si="6"/>
        <v>2770</v>
      </c>
      <c r="G29" s="12">
        <f t="shared" si="6"/>
        <v>2764</v>
      </c>
      <c r="H29" s="26">
        <f t="shared" si="0"/>
        <v>99.783393501805051</v>
      </c>
      <c r="I29" s="12">
        <f t="shared" si="6"/>
        <v>222</v>
      </c>
      <c r="J29" s="20">
        <v>250</v>
      </c>
      <c r="K29" s="22">
        <v>2770</v>
      </c>
      <c r="L29" s="22">
        <v>2764</v>
      </c>
      <c r="M29" s="13">
        <f t="shared" si="2"/>
        <v>99.783393501805051</v>
      </c>
      <c r="N29" s="22">
        <v>222</v>
      </c>
      <c r="O29" s="22"/>
      <c r="P29" s="22"/>
      <c r="Q29" s="22"/>
      <c r="R29" s="13"/>
      <c r="S29" s="22"/>
      <c r="T29" s="47"/>
      <c r="U29" s="47"/>
      <c r="V29" s="47"/>
      <c r="W29" s="13"/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/>
      <c r="F30" s="12"/>
      <c r="G30" s="12"/>
      <c r="H30" s="26"/>
      <c r="I30" s="12"/>
      <c r="J30" s="20"/>
      <c r="K30" s="22"/>
      <c r="L30" s="22"/>
      <c r="M30" s="13"/>
      <c r="N30" s="22"/>
      <c r="O30" s="22"/>
      <c r="P30" s="22"/>
      <c r="Q30" s="22"/>
      <c r="R30" s="13"/>
      <c r="S30" s="22"/>
      <c r="T30" s="47"/>
      <c r="U30" s="47"/>
      <c r="V30" s="47"/>
      <c r="W30" s="13"/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/>
      <c r="F31" s="12"/>
      <c r="G31" s="12"/>
      <c r="H31" s="26"/>
      <c r="I31" s="12"/>
      <c r="J31" s="20"/>
      <c r="K31" s="29"/>
      <c r="L31" s="29"/>
      <c r="M31" s="13"/>
      <c r="N31" s="29"/>
      <c r="O31" s="29"/>
      <c r="P31" s="29"/>
      <c r="Q31" s="29"/>
      <c r="R31" s="13"/>
      <c r="S31" s="29"/>
      <c r="T31" s="30"/>
      <c r="U31" s="30"/>
      <c r="V31" s="30"/>
      <c r="W31" s="13"/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/>
      <c r="F32" s="12"/>
      <c r="G32" s="12"/>
      <c r="H32" s="26"/>
      <c r="I32" s="12"/>
      <c r="J32" s="32"/>
      <c r="K32" s="30"/>
      <c r="L32" s="30"/>
      <c r="M32" s="13"/>
      <c r="N32" s="30"/>
      <c r="O32" s="30"/>
      <c r="P32" s="30"/>
      <c r="Q32" s="30"/>
      <c r="R32" s="13"/>
      <c r="S32" s="30"/>
      <c r="T32" s="30"/>
      <c r="U32" s="30"/>
      <c r="V32" s="30"/>
      <c r="W32" s="13"/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328696</v>
      </c>
      <c r="H33" s="34"/>
      <c r="I33" s="8">
        <f>I6-I11</f>
        <v>-128158</v>
      </c>
      <c r="J33" s="8">
        <f>J6-J11</f>
        <v>0</v>
      </c>
      <c r="K33" s="8">
        <f>K6-K11</f>
        <v>0</v>
      </c>
      <c r="L33" s="8">
        <f>L6-L11</f>
        <v>328696</v>
      </c>
      <c r="M33" s="9"/>
      <c r="N33" s="8">
        <f>N6-N11</f>
        <v>-128158</v>
      </c>
      <c r="O33" s="8">
        <f>O6-O11</f>
        <v>0</v>
      </c>
      <c r="P33" s="8">
        <f>P6-P11</f>
        <v>0</v>
      </c>
      <c r="Q33" s="8">
        <f>Q6-Q11</f>
        <v>0</v>
      </c>
      <c r="R33" s="9"/>
      <c r="S33" s="8">
        <f>S6-S11</f>
        <v>0</v>
      </c>
      <c r="T33" s="8">
        <f>T6-T11</f>
        <v>54520</v>
      </c>
      <c r="U33" s="8">
        <f>U6-U11</f>
        <v>54520</v>
      </c>
      <c r="V33" s="8">
        <f>V6-V11</f>
        <v>40853</v>
      </c>
      <c r="W33" s="9">
        <f t="shared" si="4"/>
        <v>74.932134996331627</v>
      </c>
      <c r="X33" s="8">
        <f>X6-X11</f>
        <v>20701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24609</v>
      </c>
      <c r="F34" s="37">
        <v>25797</v>
      </c>
      <c r="G34" s="37">
        <v>24731</v>
      </c>
      <c r="H34" s="26">
        <f t="shared" si="0"/>
        <v>95.867736558514565</v>
      </c>
      <c r="I34" s="37">
        <v>25307</v>
      </c>
      <c r="J34" s="38">
        <v>13628</v>
      </c>
      <c r="K34" s="38">
        <v>14184</v>
      </c>
      <c r="L34" s="38">
        <v>13266</v>
      </c>
      <c r="M34" s="9">
        <f t="shared" si="2"/>
        <v>93.527918781725887</v>
      </c>
      <c r="N34" s="38"/>
      <c r="O34" s="38">
        <v>25166</v>
      </c>
      <c r="P34" s="38">
        <v>26413</v>
      </c>
      <c r="Q34" s="38">
        <v>25337</v>
      </c>
      <c r="R34" s="9">
        <f t="shared" si="3"/>
        <v>95.926248438269042</v>
      </c>
      <c r="S34" s="38"/>
      <c r="T34" s="38">
        <v>500</v>
      </c>
      <c r="U34" s="38">
        <v>500</v>
      </c>
      <c r="V34" s="38"/>
      <c r="W34" s="9">
        <f t="shared" si="4"/>
        <v>0</v>
      </c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50">
        <v>58.73</v>
      </c>
      <c r="F35" s="50">
        <v>56.2</v>
      </c>
      <c r="G35" s="50">
        <v>56.2</v>
      </c>
      <c r="H35" s="26">
        <f t="shared" si="0"/>
        <v>100</v>
      </c>
      <c r="I35" s="37">
        <v>51</v>
      </c>
      <c r="J35" s="51">
        <v>2.4</v>
      </c>
      <c r="K35" s="266">
        <v>2.4</v>
      </c>
      <c r="L35" s="51">
        <v>2.4</v>
      </c>
      <c r="M35" s="9">
        <f t="shared" si="2"/>
        <v>100</v>
      </c>
      <c r="N35" s="38"/>
      <c r="O35" s="51">
        <v>56.13</v>
      </c>
      <c r="P35" s="51">
        <v>53.6</v>
      </c>
      <c r="Q35" s="51">
        <v>53.6</v>
      </c>
      <c r="R35" s="9">
        <f t="shared" si="3"/>
        <v>100</v>
      </c>
      <c r="S35" s="38"/>
      <c r="T35" s="267">
        <v>0.2</v>
      </c>
      <c r="U35" s="267">
        <v>0.2</v>
      </c>
      <c r="V35" s="267">
        <v>0.2</v>
      </c>
      <c r="W35" s="9">
        <f t="shared" si="4"/>
        <v>100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50">
        <v>62</v>
      </c>
      <c r="F36" s="50">
        <v>62</v>
      </c>
      <c r="G36" s="50">
        <v>62</v>
      </c>
      <c r="H36" s="26">
        <f t="shared" si="0"/>
        <v>100</v>
      </c>
      <c r="I36" s="37">
        <v>56</v>
      </c>
      <c r="J36" s="38">
        <v>5</v>
      </c>
      <c r="K36" s="38">
        <v>5</v>
      </c>
      <c r="L36" s="38">
        <v>5</v>
      </c>
      <c r="M36" s="9">
        <f t="shared" si="2"/>
        <v>100</v>
      </c>
      <c r="N36" s="38"/>
      <c r="O36" s="38">
        <v>56</v>
      </c>
      <c r="P36" s="38">
        <v>56</v>
      </c>
      <c r="Q36" s="38">
        <v>56</v>
      </c>
      <c r="R36" s="9">
        <f t="shared" si="3"/>
        <v>100</v>
      </c>
      <c r="S36" s="38"/>
      <c r="T36" s="267">
        <v>1</v>
      </c>
      <c r="U36" s="267">
        <v>1</v>
      </c>
      <c r="V36" s="267">
        <v>1</v>
      </c>
      <c r="W36" s="9">
        <f t="shared" si="4"/>
        <v>100</v>
      </c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76" orientation="landscape" useFirstPageNumber="1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workbookViewId="0">
      <selection sqref="A1:XFD1048576"/>
    </sheetView>
  </sheetViews>
  <sheetFormatPr defaultColWidth="9.140625" defaultRowHeight="12.75" x14ac:dyDescent="0.2"/>
  <cols>
    <col min="1" max="1" width="35.42578125" style="392" customWidth="1"/>
    <col min="2" max="2" width="12.7109375" style="392" customWidth="1"/>
    <col min="3" max="3" width="13.5703125" style="392" customWidth="1"/>
    <col min="4" max="5" width="14.7109375" style="392" customWidth="1"/>
    <col min="6" max="7" width="13" style="392" customWidth="1"/>
    <col min="8" max="8" width="9.140625" style="392"/>
    <col min="9" max="9" width="16.5703125" style="392" customWidth="1"/>
    <col min="10" max="16384" width="9.140625" style="392"/>
  </cols>
  <sheetData>
    <row r="1" spans="1:14" s="332" customFormat="1" ht="18.75" x14ac:dyDescent="0.3">
      <c r="A1" s="919" t="s">
        <v>603</v>
      </c>
      <c r="B1" s="919"/>
      <c r="C1" s="919"/>
      <c r="D1" s="919"/>
      <c r="E1" s="919"/>
      <c r="F1" s="919"/>
      <c r="G1" s="919"/>
      <c r="H1" s="919"/>
      <c r="I1" s="919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11.25" x14ac:dyDescent="0.2">
      <c r="A6" s="911" t="s">
        <v>107</v>
      </c>
      <c r="B6" s="912"/>
      <c r="C6" s="337">
        <v>328695.64</v>
      </c>
      <c r="D6" s="913" t="s">
        <v>604</v>
      </c>
      <c r="E6" s="913"/>
      <c r="F6" s="913"/>
      <c r="G6" s="913"/>
      <c r="H6" s="913"/>
      <c r="I6" s="913"/>
    </row>
    <row r="7" spans="1:14" s="338" customFormat="1" ht="11.25" x14ac:dyDescent="0.15">
      <c r="A7" s="911" t="s">
        <v>92</v>
      </c>
      <c r="B7" s="912"/>
      <c r="C7" s="337">
        <v>40853</v>
      </c>
      <c r="D7" s="913" t="s">
        <v>605</v>
      </c>
      <c r="E7" s="913"/>
      <c r="F7" s="913"/>
      <c r="G7" s="913"/>
      <c r="H7" s="913"/>
      <c r="I7" s="913"/>
    </row>
    <row r="8" spans="1:14" s="338" customFormat="1" ht="10.5" x14ac:dyDescent="0.15">
      <c r="A8" s="911" t="s">
        <v>110</v>
      </c>
      <c r="B8" s="912"/>
      <c r="C8" s="337">
        <v>0</v>
      </c>
      <c r="D8" s="915"/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14" s="334" customFormat="1" ht="11.25" x14ac:dyDescent="0.2">
      <c r="A13" s="437" t="s">
        <v>187</v>
      </c>
      <c r="B13" s="438">
        <v>111030.8</v>
      </c>
      <c r="C13" s="438">
        <v>28439</v>
      </c>
      <c r="D13" s="438">
        <v>26867</v>
      </c>
      <c r="E13" s="438">
        <v>112602.8</v>
      </c>
      <c r="F13" s="439">
        <v>112602.8</v>
      </c>
      <c r="G13" s="904" t="s">
        <v>606</v>
      </c>
      <c r="H13" s="905"/>
      <c r="I13" s="906"/>
    </row>
    <row r="14" spans="1:14" s="334" customFormat="1" ht="11.25" x14ac:dyDescent="0.2">
      <c r="A14" s="440" t="s">
        <v>214</v>
      </c>
      <c r="B14" s="441">
        <v>184285.94</v>
      </c>
      <c r="C14" s="441">
        <v>262704</v>
      </c>
      <c r="D14" s="441">
        <v>249162</v>
      </c>
      <c r="E14" s="441">
        <v>197827.94</v>
      </c>
      <c r="F14" s="442">
        <v>197827.94</v>
      </c>
      <c r="G14" s="862" t="s">
        <v>606</v>
      </c>
      <c r="H14" s="863"/>
      <c r="I14" s="864"/>
      <c r="N14" s="349"/>
    </row>
    <row r="15" spans="1:14" s="334" customFormat="1" ht="11.25" x14ac:dyDescent="0.2">
      <c r="A15" s="440" t="s">
        <v>191</v>
      </c>
      <c r="B15" s="441">
        <v>64447.15</v>
      </c>
      <c r="C15" s="441"/>
      <c r="D15" s="441"/>
      <c r="E15" s="441">
        <v>64447.15</v>
      </c>
      <c r="F15" s="442">
        <v>64447.15</v>
      </c>
      <c r="G15" s="862" t="s">
        <v>606</v>
      </c>
      <c r="H15" s="863"/>
      <c r="I15" s="864"/>
    </row>
    <row r="16" spans="1:14" s="334" customFormat="1" ht="11.25" x14ac:dyDescent="0.2">
      <c r="A16" s="443" t="s">
        <v>193</v>
      </c>
      <c r="B16" s="444">
        <v>319060.31</v>
      </c>
      <c r="C16" s="444">
        <v>162883</v>
      </c>
      <c r="D16" s="444">
        <v>93286</v>
      </c>
      <c r="E16" s="444">
        <v>388657.31</v>
      </c>
      <c r="F16" s="445">
        <v>361178.31</v>
      </c>
      <c r="G16" s="907" t="s">
        <v>607</v>
      </c>
      <c r="H16" s="908"/>
      <c r="I16" s="909"/>
    </row>
    <row r="17" spans="1:9" s="334" customFormat="1" ht="11.25" x14ac:dyDescent="0.2">
      <c r="A17" s="353" t="s">
        <v>90</v>
      </c>
      <c r="B17" s="354">
        <f>SUM(B13:B16)</f>
        <v>678824.2</v>
      </c>
      <c r="C17" s="354">
        <f t="shared" ref="C17:F17" si="0">SUM(C13:C16)</f>
        <v>454026</v>
      </c>
      <c r="D17" s="354">
        <f t="shared" si="0"/>
        <v>369315</v>
      </c>
      <c r="E17" s="354">
        <f t="shared" si="0"/>
        <v>763535.2</v>
      </c>
      <c r="F17" s="354">
        <f t="shared" si="0"/>
        <v>736056.2</v>
      </c>
      <c r="G17" s="910"/>
      <c r="H17" s="910"/>
      <c r="I17" s="91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1064" t="s">
        <v>608</v>
      </c>
      <c r="B22" s="358">
        <v>0</v>
      </c>
      <c r="C22" s="368"/>
      <c r="D22" s="897"/>
      <c r="E22" s="898"/>
      <c r="F22" s="898"/>
      <c r="G22" s="898"/>
      <c r="H22" s="898"/>
      <c r="I22" s="899"/>
    </row>
    <row r="23" spans="1:9" s="334" customFormat="1" ht="11.25" customHeight="1" x14ac:dyDescent="0.2">
      <c r="A23" s="883"/>
      <c r="B23" s="362">
        <v>0</v>
      </c>
      <c r="C23" s="456"/>
      <c r="D23" s="885"/>
      <c r="E23" s="886"/>
      <c r="F23" s="886"/>
      <c r="G23" s="886"/>
      <c r="H23" s="886"/>
      <c r="I23" s="887"/>
    </row>
    <row r="24" spans="1:9" s="334" customFormat="1" ht="11.25" customHeight="1" x14ac:dyDescent="0.2">
      <c r="A24" s="884"/>
      <c r="B24" s="362">
        <v>0</v>
      </c>
      <c r="C24" s="362"/>
      <c r="D24" s="885"/>
      <c r="E24" s="886"/>
      <c r="F24" s="886"/>
      <c r="G24" s="886"/>
      <c r="H24" s="886"/>
      <c r="I24" s="887"/>
    </row>
    <row r="25" spans="1:9" s="334" customFormat="1" ht="11.25" customHeight="1" x14ac:dyDescent="0.2">
      <c r="A25" s="895"/>
      <c r="B25" s="360">
        <v>0</v>
      </c>
      <c r="C25" s="579"/>
      <c r="D25" s="885"/>
      <c r="E25" s="886"/>
      <c r="F25" s="886"/>
      <c r="G25" s="886"/>
      <c r="H25" s="886"/>
      <c r="I25" s="887"/>
    </row>
    <row r="26" spans="1:9" s="334" customFormat="1" ht="11.25" customHeight="1" x14ac:dyDescent="0.2">
      <c r="A26" s="895"/>
      <c r="B26" s="362">
        <v>0</v>
      </c>
      <c r="C26" s="456"/>
      <c r="D26" s="885"/>
      <c r="E26" s="886"/>
      <c r="F26" s="886"/>
      <c r="G26" s="886"/>
      <c r="H26" s="886"/>
      <c r="I26" s="887"/>
    </row>
    <row r="27" spans="1:9" s="334" customFormat="1" ht="11.25" customHeight="1" x14ac:dyDescent="0.2">
      <c r="A27" s="896"/>
      <c r="B27" s="362">
        <v>0</v>
      </c>
      <c r="C27" s="362"/>
      <c r="D27" s="885"/>
      <c r="E27" s="886"/>
      <c r="F27" s="886"/>
      <c r="G27" s="886"/>
      <c r="H27" s="886"/>
      <c r="I27" s="887"/>
    </row>
    <row r="28" spans="1:9" s="334" customFormat="1" ht="11.25" customHeight="1" x14ac:dyDescent="0.2">
      <c r="A28" s="883"/>
      <c r="B28" s="360">
        <v>0</v>
      </c>
      <c r="C28" s="579"/>
      <c r="D28" s="885"/>
      <c r="E28" s="886"/>
      <c r="F28" s="886"/>
      <c r="G28" s="886"/>
      <c r="H28" s="886"/>
      <c r="I28" s="887"/>
    </row>
    <row r="29" spans="1:9" s="334" customFormat="1" ht="11.25" customHeight="1" x14ac:dyDescent="0.2">
      <c r="A29" s="884"/>
      <c r="B29" s="362">
        <v>0</v>
      </c>
      <c r="C29" s="456"/>
      <c r="D29" s="885"/>
      <c r="E29" s="886"/>
      <c r="F29" s="886"/>
      <c r="G29" s="886"/>
      <c r="H29" s="886"/>
      <c r="I29" s="887"/>
    </row>
    <row r="30" spans="1:9" s="338" customFormat="1" ht="11.25" x14ac:dyDescent="0.2">
      <c r="A30" s="365" t="s">
        <v>90</v>
      </c>
      <c r="B30" s="366">
        <f>SUM(B22:B29)</f>
        <v>0</v>
      </c>
      <c r="C30" s="900"/>
      <c r="D30" s="900"/>
      <c r="E30" s="900"/>
      <c r="F30" s="900"/>
      <c r="G30" s="900"/>
      <c r="H30" s="900"/>
      <c r="I30" s="901"/>
    </row>
    <row r="31" spans="1:9" s="355" customFormat="1" ht="11.25" x14ac:dyDescent="0.2">
      <c r="C31" s="356"/>
    </row>
    <row r="32" spans="1:9" s="340" customFormat="1" ht="11.25" x14ac:dyDescent="0.2">
      <c r="A32" s="861" t="s">
        <v>140</v>
      </c>
      <c r="B32" s="861"/>
      <c r="C32" s="861"/>
      <c r="D32" s="861"/>
      <c r="E32" s="861"/>
      <c r="F32" s="861"/>
      <c r="G32" s="861"/>
      <c r="H32" s="861"/>
      <c r="I32" s="861"/>
    </row>
    <row r="33" spans="1:9" s="334" customFormat="1" ht="11.25" x14ac:dyDescent="0.2">
      <c r="C33" s="339"/>
    </row>
    <row r="34" spans="1:9" s="334" customFormat="1" ht="11.25" x14ac:dyDescent="0.2">
      <c r="A34" s="335" t="s">
        <v>130</v>
      </c>
      <c r="B34" s="335" t="s">
        <v>16</v>
      </c>
      <c r="C34" s="357" t="s">
        <v>131</v>
      </c>
      <c r="D34" s="902" t="s">
        <v>141</v>
      </c>
      <c r="E34" s="902"/>
      <c r="F34" s="902"/>
      <c r="G34" s="902"/>
      <c r="H34" s="902"/>
      <c r="I34" s="903"/>
    </row>
    <row r="35" spans="1:9" s="334" customFormat="1" ht="11.25" customHeight="1" x14ac:dyDescent="0.2">
      <c r="A35" s="1064" t="s">
        <v>609</v>
      </c>
      <c r="B35" s="358">
        <v>0</v>
      </c>
      <c r="C35" s="368"/>
      <c r="D35" s="897"/>
      <c r="E35" s="898"/>
      <c r="F35" s="898"/>
      <c r="G35" s="898"/>
      <c r="H35" s="898"/>
      <c r="I35" s="899"/>
    </row>
    <row r="36" spans="1:9" s="334" customFormat="1" ht="11.25" customHeight="1" x14ac:dyDescent="0.2">
      <c r="A36" s="883"/>
      <c r="B36" s="362">
        <v>0</v>
      </c>
      <c r="C36" s="456"/>
      <c r="D36" s="885"/>
      <c r="E36" s="886"/>
      <c r="F36" s="886"/>
      <c r="G36" s="886"/>
      <c r="H36" s="886"/>
      <c r="I36" s="887"/>
    </row>
    <row r="37" spans="1:9" s="334" customFormat="1" ht="11.25" customHeight="1" x14ac:dyDescent="0.2">
      <c r="A37" s="884"/>
      <c r="B37" s="362">
        <v>0</v>
      </c>
      <c r="C37" s="362"/>
      <c r="D37" s="885"/>
      <c r="E37" s="886"/>
      <c r="F37" s="886"/>
      <c r="G37" s="886"/>
      <c r="H37" s="886"/>
      <c r="I37" s="887"/>
    </row>
    <row r="38" spans="1:9" s="334" customFormat="1" ht="11.25" customHeight="1" x14ac:dyDescent="0.2">
      <c r="A38" s="895"/>
      <c r="B38" s="360">
        <v>0</v>
      </c>
      <c r="C38" s="579"/>
      <c r="D38" s="885"/>
      <c r="E38" s="886"/>
      <c r="F38" s="886"/>
      <c r="G38" s="886"/>
      <c r="H38" s="886"/>
      <c r="I38" s="887"/>
    </row>
    <row r="39" spans="1:9" s="334" customFormat="1" ht="11.25" customHeight="1" x14ac:dyDescent="0.2">
      <c r="A39" s="895"/>
      <c r="B39" s="362">
        <v>0</v>
      </c>
      <c r="C39" s="456"/>
      <c r="D39" s="885"/>
      <c r="E39" s="886"/>
      <c r="F39" s="886"/>
      <c r="G39" s="886"/>
      <c r="H39" s="886"/>
      <c r="I39" s="887"/>
    </row>
    <row r="40" spans="1:9" s="334" customFormat="1" ht="11.25" customHeight="1" x14ac:dyDescent="0.2">
      <c r="A40" s="896"/>
      <c r="B40" s="362">
        <v>0</v>
      </c>
      <c r="C40" s="362"/>
      <c r="D40" s="885"/>
      <c r="E40" s="886"/>
      <c r="F40" s="886"/>
      <c r="G40" s="886"/>
      <c r="H40" s="886"/>
      <c r="I40" s="887"/>
    </row>
    <row r="41" spans="1:9" s="334" customFormat="1" ht="11.25" customHeight="1" x14ac:dyDescent="0.2">
      <c r="A41" s="883"/>
      <c r="B41" s="360">
        <v>0</v>
      </c>
      <c r="C41" s="579"/>
      <c r="D41" s="885"/>
      <c r="E41" s="886"/>
      <c r="F41" s="886"/>
      <c r="G41" s="886"/>
      <c r="H41" s="886"/>
      <c r="I41" s="887"/>
    </row>
    <row r="42" spans="1:9" s="334" customFormat="1" ht="11.25" customHeight="1" x14ac:dyDescent="0.2">
      <c r="A42" s="884"/>
      <c r="B42" s="362">
        <v>0</v>
      </c>
      <c r="C42" s="456"/>
      <c r="D42" s="888"/>
      <c r="E42" s="889"/>
      <c r="F42" s="889"/>
      <c r="G42" s="889"/>
      <c r="H42" s="889"/>
      <c r="I42" s="890"/>
    </row>
    <row r="43" spans="1:9" s="338" customFormat="1" ht="10.5" x14ac:dyDescent="0.15">
      <c r="A43" s="365" t="s">
        <v>90</v>
      </c>
      <c r="B43" s="366">
        <f>SUM(B35:B42)</f>
        <v>0</v>
      </c>
      <c r="C43" s="891"/>
      <c r="D43" s="891"/>
      <c r="E43" s="891"/>
      <c r="F43" s="891"/>
      <c r="G43" s="891"/>
      <c r="H43" s="891"/>
      <c r="I43" s="891"/>
    </row>
    <row r="44" spans="1:9" s="334" customFormat="1" ht="11.25" x14ac:dyDescent="0.2">
      <c r="C44" s="339"/>
    </row>
    <row r="45" spans="1:9" s="340" customFormat="1" ht="11.25" x14ac:dyDescent="0.2">
      <c r="A45" s="861" t="s">
        <v>143</v>
      </c>
      <c r="B45" s="861"/>
      <c r="C45" s="861"/>
      <c r="D45" s="861"/>
      <c r="E45" s="861"/>
      <c r="F45" s="861"/>
      <c r="G45" s="861"/>
      <c r="H45" s="861"/>
      <c r="I45" s="861"/>
    </row>
    <row r="46" spans="1:9" s="334" customFormat="1" ht="11.25" x14ac:dyDescent="0.2">
      <c r="C46" s="369"/>
    </row>
    <row r="47" spans="1:9" s="334" customFormat="1" ht="11.25" x14ac:dyDescent="0.2">
      <c r="A47" s="335" t="s">
        <v>144</v>
      </c>
      <c r="B47" s="357" t="s">
        <v>145</v>
      </c>
      <c r="C47" s="892" t="s">
        <v>146</v>
      </c>
      <c r="D47" s="892"/>
      <c r="E47" s="892"/>
      <c r="F47" s="892"/>
      <c r="G47" s="892"/>
      <c r="H47" s="892"/>
      <c r="I47" s="893"/>
    </row>
    <row r="48" spans="1:9" s="334" customFormat="1" ht="11.25" x14ac:dyDescent="0.2">
      <c r="A48" s="370">
        <v>20349</v>
      </c>
      <c r="B48" s="370">
        <v>18867</v>
      </c>
      <c r="C48" s="1136" t="s">
        <v>610</v>
      </c>
      <c r="D48" s="876"/>
      <c r="E48" s="876"/>
      <c r="F48" s="876"/>
      <c r="G48" s="876"/>
      <c r="H48" s="876"/>
      <c r="I48" s="876"/>
    </row>
    <row r="49" spans="1:9" s="334" customFormat="1" ht="11.25" x14ac:dyDescent="0.2">
      <c r="A49" s="462">
        <v>8000</v>
      </c>
      <c r="B49" s="462">
        <v>8000</v>
      </c>
      <c r="C49" s="1081" t="s">
        <v>611</v>
      </c>
      <c r="D49" s="877"/>
      <c r="E49" s="877"/>
      <c r="F49" s="877"/>
      <c r="G49" s="877"/>
      <c r="H49" s="877"/>
      <c r="I49" s="877"/>
    </row>
    <row r="50" spans="1:9" s="338" customFormat="1" ht="10.5" x14ac:dyDescent="0.15">
      <c r="A50" s="371">
        <f>SUM(A48:A49)</f>
        <v>28349</v>
      </c>
      <c r="B50" s="371">
        <f>SUM(B48:B49)</f>
        <v>26867</v>
      </c>
      <c r="C50" s="878" t="s">
        <v>90</v>
      </c>
      <c r="D50" s="879"/>
      <c r="E50" s="879"/>
      <c r="F50" s="879"/>
      <c r="G50" s="879"/>
      <c r="H50" s="879"/>
      <c r="I50" s="880"/>
    </row>
    <row r="51" spans="1:9" s="334" customFormat="1" ht="11.25" x14ac:dyDescent="0.2">
      <c r="C51" s="369"/>
    </row>
    <row r="52" spans="1:9" s="334" customFormat="1" ht="11.25" x14ac:dyDescent="0.2">
      <c r="A52" s="861" t="s">
        <v>148</v>
      </c>
      <c r="B52" s="865"/>
      <c r="C52" s="865"/>
      <c r="D52" s="865"/>
      <c r="E52" s="865"/>
      <c r="F52" s="865"/>
      <c r="G52" s="865"/>
      <c r="H52" s="865"/>
      <c r="I52" s="865"/>
    </row>
    <row r="53" spans="1:9" s="334" customFormat="1" ht="11.25" x14ac:dyDescent="0.2">
      <c r="C53" s="369"/>
    </row>
    <row r="54" spans="1:9" s="373" customFormat="1" ht="31.5" x14ac:dyDescent="0.25">
      <c r="A54" s="866" t="s">
        <v>149</v>
      </c>
      <c r="B54" s="867"/>
      <c r="C54" s="372" t="s">
        <v>150</v>
      </c>
      <c r="D54" s="372" t="s">
        <v>151</v>
      </c>
      <c r="E54" s="372" t="s">
        <v>152</v>
      </c>
      <c r="F54" s="372" t="s">
        <v>153</v>
      </c>
      <c r="G54" s="372" t="s">
        <v>154</v>
      </c>
    </row>
    <row r="55" spans="1:9" s="334" customFormat="1" ht="13.15" customHeight="1" x14ac:dyDescent="0.2">
      <c r="A55" s="933" t="s">
        <v>612</v>
      </c>
      <c r="B55" s="905"/>
      <c r="C55" s="721" t="s">
        <v>569</v>
      </c>
      <c r="D55" s="722">
        <v>390000</v>
      </c>
      <c r="E55" s="722"/>
      <c r="F55" s="457">
        <v>42779</v>
      </c>
      <c r="G55" s="457">
        <v>42803</v>
      </c>
    </row>
    <row r="56" spans="1:9" s="334" customFormat="1" ht="13.15" customHeight="1" x14ac:dyDescent="0.2">
      <c r="A56" s="1054" t="s">
        <v>613</v>
      </c>
      <c r="B56" s="864"/>
      <c r="C56" s="723" t="s">
        <v>409</v>
      </c>
      <c r="D56" s="724"/>
      <c r="E56" s="724">
        <v>390000</v>
      </c>
      <c r="F56" s="725">
        <v>42779</v>
      </c>
      <c r="G56" s="725">
        <v>42803</v>
      </c>
    </row>
    <row r="57" spans="1:9" s="334" customFormat="1" ht="14.45" customHeight="1" x14ac:dyDescent="0.2">
      <c r="A57" s="1054" t="s">
        <v>614</v>
      </c>
      <c r="B57" s="864"/>
      <c r="C57" s="723" t="s">
        <v>615</v>
      </c>
      <c r="D57" s="724"/>
      <c r="E57" s="724">
        <v>2520</v>
      </c>
      <c r="F57" s="725">
        <v>42789</v>
      </c>
      <c r="G57" s="725">
        <v>42886</v>
      </c>
    </row>
    <row r="58" spans="1:9" s="334" customFormat="1" ht="14.45" customHeight="1" x14ac:dyDescent="0.2">
      <c r="A58" s="1054" t="s">
        <v>616</v>
      </c>
      <c r="B58" s="864"/>
      <c r="C58" s="723" t="s">
        <v>574</v>
      </c>
      <c r="D58" s="724"/>
      <c r="E58" s="724">
        <v>-2520</v>
      </c>
      <c r="F58" s="725">
        <v>42789</v>
      </c>
      <c r="G58" s="725">
        <v>42886</v>
      </c>
    </row>
    <row r="59" spans="1:9" s="334" customFormat="1" ht="14.45" customHeight="1" x14ac:dyDescent="0.2">
      <c r="A59" s="933" t="s">
        <v>617</v>
      </c>
      <c r="B59" s="905"/>
      <c r="C59" s="723" t="s">
        <v>569</v>
      </c>
      <c r="D59" s="724">
        <v>37000</v>
      </c>
      <c r="E59" s="724"/>
      <c r="F59" s="725">
        <v>42878</v>
      </c>
      <c r="G59" s="725">
        <v>42892</v>
      </c>
    </row>
    <row r="60" spans="1:9" s="334" customFormat="1" ht="14.45" customHeight="1" x14ac:dyDescent="0.2">
      <c r="A60" s="1054" t="s">
        <v>618</v>
      </c>
      <c r="B60" s="864"/>
      <c r="C60" s="723" t="s">
        <v>619</v>
      </c>
      <c r="D60" s="724"/>
      <c r="E60" s="724">
        <v>37000</v>
      </c>
      <c r="F60" s="725">
        <v>42878</v>
      </c>
      <c r="G60" s="725">
        <v>42892</v>
      </c>
    </row>
    <row r="61" spans="1:9" s="334" customFormat="1" ht="14.45" customHeight="1" x14ac:dyDescent="0.2">
      <c r="A61" s="1054" t="s">
        <v>620</v>
      </c>
      <c r="B61" s="864"/>
      <c r="C61" s="723" t="s">
        <v>621</v>
      </c>
      <c r="D61" s="724"/>
      <c r="E61" s="724">
        <v>2000</v>
      </c>
      <c r="F61" s="725">
        <v>42887</v>
      </c>
      <c r="G61" s="725">
        <v>42888</v>
      </c>
    </row>
    <row r="62" spans="1:9" s="334" customFormat="1" ht="14.45" customHeight="1" x14ac:dyDescent="0.2">
      <c r="A62" s="1054" t="s">
        <v>616</v>
      </c>
      <c r="B62" s="864"/>
      <c r="C62" s="723" t="s">
        <v>574</v>
      </c>
      <c r="D62" s="724"/>
      <c r="E62" s="724">
        <v>-2000</v>
      </c>
      <c r="F62" s="725">
        <v>42887</v>
      </c>
      <c r="G62" s="725">
        <v>42888</v>
      </c>
    </row>
    <row r="63" spans="1:9" s="334" customFormat="1" ht="14.45" customHeight="1" x14ac:dyDescent="0.2">
      <c r="A63" s="1054" t="s">
        <v>622</v>
      </c>
      <c r="B63" s="864"/>
      <c r="C63" s="723" t="s">
        <v>168</v>
      </c>
      <c r="D63" s="724">
        <v>8000</v>
      </c>
      <c r="E63" s="724"/>
      <c r="F63" s="725">
        <v>42915</v>
      </c>
      <c r="G63" s="725">
        <v>42916</v>
      </c>
    </row>
    <row r="64" spans="1:9" s="334" customFormat="1" ht="14.45" customHeight="1" x14ac:dyDescent="0.2">
      <c r="A64" s="1054" t="s">
        <v>623</v>
      </c>
      <c r="B64" s="864"/>
      <c r="C64" s="723" t="s">
        <v>624</v>
      </c>
      <c r="D64" s="724"/>
      <c r="E64" s="724">
        <v>8000</v>
      </c>
      <c r="F64" s="725">
        <v>42915</v>
      </c>
      <c r="G64" s="725">
        <v>42916</v>
      </c>
    </row>
    <row r="65" spans="1:9" s="334" customFormat="1" ht="14.45" customHeight="1" x14ac:dyDescent="0.2">
      <c r="A65" s="1054" t="s">
        <v>625</v>
      </c>
      <c r="B65" s="864"/>
      <c r="C65" s="723" t="s">
        <v>411</v>
      </c>
      <c r="D65" s="724"/>
      <c r="E65" s="724">
        <v>16000</v>
      </c>
      <c r="F65" s="725">
        <v>42913</v>
      </c>
      <c r="G65" s="725">
        <v>42916</v>
      </c>
    </row>
    <row r="66" spans="1:9" s="334" customFormat="1" ht="14.45" customHeight="1" x14ac:dyDescent="0.2">
      <c r="A66" s="1054" t="s">
        <v>626</v>
      </c>
      <c r="B66" s="864"/>
      <c r="C66" s="723" t="s">
        <v>415</v>
      </c>
      <c r="D66" s="724"/>
      <c r="E66" s="724">
        <v>4000</v>
      </c>
      <c r="F66" s="725">
        <v>42913</v>
      </c>
      <c r="G66" s="725">
        <v>42916</v>
      </c>
    </row>
    <row r="67" spans="1:9" s="334" customFormat="1" ht="14.45" customHeight="1" x14ac:dyDescent="0.2">
      <c r="A67" s="1054" t="s">
        <v>627</v>
      </c>
      <c r="B67" s="864"/>
      <c r="C67" s="723" t="s">
        <v>417</v>
      </c>
      <c r="D67" s="724"/>
      <c r="E67" s="724">
        <v>1440</v>
      </c>
      <c r="F67" s="725">
        <v>42913</v>
      </c>
      <c r="G67" s="726" t="s">
        <v>628</v>
      </c>
    </row>
    <row r="68" spans="1:9" s="334" customFormat="1" ht="14.45" customHeight="1" x14ac:dyDescent="0.2">
      <c r="A68" s="1054" t="s">
        <v>629</v>
      </c>
      <c r="B68" s="864"/>
      <c r="C68" s="723" t="s">
        <v>161</v>
      </c>
      <c r="D68" s="724"/>
      <c r="E68" s="724">
        <v>2460</v>
      </c>
      <c r="F68" s="725">
        <v>42913</v>
      </c>
      <c r="G68" s="725">
        <v>42916</v>
      </c>
    </row>
    <row r="69" spans="1:9" s="334" customFormat="1" ht="14.45" customHeight="1" x14ac:dyDescent="0.2">
      <c r="A69" s="1133" t="s">
        <v>630</v>
      </c>
      <c r="B69" s="909"/>
      <c r="C69" s="613" t="s">
        <v>631</v>
      </c>
      <c r="D69" s="727"/>
      <c r="E69" s="727">
        <v>-23900</v>
      </c>
      <c r="F69" s="610">
        <v>42913</v>
      </c>
      <c r="G69" s="610">
        <v>42916</v>
      </c>
    </row>
    <row r="70" spans="1:9" s="334" customFormat="1" ht="11.25" x14ac:dyDescent="0.2">
      <c r="A70" s="872" t="s">
        <v>169</v>
      </c>
      <c r="B70" s="873"/>
      <c r="C70" s="387"/>
      <c r="D70" s="354">
        <f>SUM(D55:D69)</f>
        <v>435000</v>
      </c>
      <c r="E70" s="354">
        <f>SUM(E55:E69)</f>
        <v>435000</v>
      </c>
      <c r="F70" s="881"/>
      <c r="G70" s="882"/>
    </row>
    <row r="71" spans="1:9" s="334" customFormat="1" ht="11.25" x14ac:dyDescent="0.2">
      <c r="C71" s="369"/>
    </row>
    <row r="72" spans="1:9" s="334" customFormat="1" ht="11.25" x14ac:dyDescent="0.2">
      <c r="A72" s="865" t="s">
        <v>327</v>
      </c>
      <c r="B72" s="865"/>
      <c r="C72" s="865"/>
      <c r="D72" s="865"/>
      <c r="E72" s="865"/>
      <c r="F72" s="865"/>
      <c r="G72" s="865"/>
      <c r="H72" s="865"/>
      <c r="I72" s="865"/>
    </row>
    <row r="73" spans="1:9" s="334" customFormat="1" ht="11.25" x14ac:dyDescent="0.2">
      <c r="C73" s="369"/>
    </row>
    <row r="74" spans="1:9" s="373" customFormat="1" ht="31.5" x14ac:dyDescent="0.25">
      <c r="A74" s="866" t="s">
        <v>149</v>
      </c>
      <c r="B74" s="867"/>
      <c r="C74" s="372" t="s">
        <v>150</v>
      </c>
      <c r="D74" s="372" t="s">
        <v>151</v>
      </c>
      <c r="E74" s="372" t="s">
        <v>152</v>
      </c>
      <c r="F74" s="372" t="s">
        <v>153</v>
      </c>
      <c r="G74" s="372" t="s">
        <v>154</v>
      </c>
    </row>
    <row r="75" spans="1:9" s="334" customFormat="1" ht="11.25" customHeight="1" x14ac:dyDescent="0.2">
      <c r="A75" s="933" t="s">
        <v>632</v>
      </c>
      <c r="B75" s="905"/>
      <c r="C75" s="721" t="s">
        <v>633</v>
      </c>
      <c r="D75" s="722">
        <v>36000</v>
      </c>
      <c r="E75" s="722"/>
      <c r="F75" s="728">
        <v>42870</v>
      </c>
      <c r="G75" s="728">
        <v>42873</v>
      </c>
    </row>
    <row r="76" spans="1:9" s="334" customFormat="1" ht="11.25" customHeight="1" x14ac:dyDescent="0.2">
      <c r="A76" s="1133" t="s">
        <v>634</v>
      </c>
      <c r="B76" s="908"/>
      <c r="C76" s="613" t="s">
        <v>635</v>
      </c>
      <c r="D76" s="727"/>
      <c r="E76" s="727">
        <v>36000</v>
      </c>
      <c r="F76" s="729">
        <v>42870</v>
      </c>
      <c r="G76" s="729">
        <v>42873</v>
      </c>
    </row>
    <row r="77" spans="1:9" s="334" customFormat="1" ht="11.25" x14ac:dyDescent="0.2">
      <c r="A77" s="872" t="s">
        <v>169</v>
      </c>
      <c r="B77" s="873"/>
      <c r="C77" s="387"/>
      <c r="D77" s="354">
        <f>SUM(D75:D76)</f>
        <v>36000</v>
      </c>
      <c r="E77" s="354">
        <f>SUM(E75:E76)</f>
        <v>36000</v>
      </c>
      <c r="F77" s="874"/>
      <c r="G77" s="875"/>
    </row>
    <row r="78" spans="1:9" s="334" customFormat="1" ht="11.25" x14ac:dyDescent="0.2">
      <c r="C78" s="369"/>
    </row>
    <row r="79" spans="1:9" s="340" customFormat="1" ht="11.25" x14ac:dyDescent="0.2">
      <c r="A79" s="860" t="s">
        <v>172</v>
      </c>
      <c r="B79" s="860"/>
      <c r="C79" s="860"/>
      <c r="D79" s="860"/>
      <c r="E79" s="860"/>
      <c r="F79" s="860"/>
      <c r="G79" s="860"/>
      <c r="H79" s="860"/>
      <c r="I79" s="860"/>
    </row>
    <row r="80" spans="1:9" s="334" customFormat="1" ht="11.25" x14ac:dyDescent="0.2"/>
    <row r="81" spans="1:9" s="334" customFormat="1" ht="11.25" x14ac:dyDescent="0.2">
      <c r="A81" s="1132" t="s">
        <v>636</v>
      </c>
      <c r="B81" s="1134"/>
      <c r="C81" s="1134"/>
      <c r="D81" s="1134"/>
      <c r="E81" s="1134"/>
      <c r="F81" s="1134"/>
      <c r="G81" s="1134"/>
      <c r="H81" s="1134"/>
      <c r="I81" s="1135"/>
    </row>
    <row r="82" spans="1:9" s="334" customFormat="1" ht="11.25" x14ac:dyDescent="0.2">
      <c r="A82" s="857"/>
      <c r="B82" s="858"/>
      <c r="C82" s="858"/>
      <c r="D82" s="858"/>
      <c r="E82" s="858"/>
      <c r="F82" s="858"/>
      <c r="G82" s="858"/>
      <c r="H82" s="858"/>
      <c r="I82" s="859"/>
    </row>
    <row r="83" spans="1:9" s="334" customFormat="1" ht="11.25" x14ac:dyDescent="0.2">
      <c r="A83" s="857"/>
      <c r="B83" s="858"/>
      <c r="C83" s="858"/>
      <c r="D83" s="858"/>
      <c r="E83" s="858"/>
      <c r="F83" s="858"/>
      <c r="G83" s="858"/>
      <c r="H83" s="858"/>
      <c r="I83" s="859"/>
    </row>
    <row r="84" spans="1:9" s="334" customFormat="1" ht="11.25" x14ac:dyDescent="0.2"/>
    <row r="85" spans="1:9" s="333" customFormat="1" ht="10.5" x14ac:dyDescent="0.15">
      <c r="A85" s="861" t="s">
        <v>175</v>
      </c>
      <c r="B85" s="861"/>
      <c r="C85" s="861"/>
      <c r="D85" s="861"/>
      <c r="E85" s="861"/>
      <c r="F85" s="861"/>
      <c r="G85" s="861"/>
      <c r="H85" s="861"/>
      <c r="I85" s="861"/>
    </row>
    <row r="86" spans="1:9" s="334" customFormat="1" ht="11.25" x14ac:dyDescent="0.2"/>
    <row r="87" spans="1:9" s="334" customFormat="1" ht="33.75" customHeight="1" x14ac:dyDescent="0.2">
      <c r="A87" s="862" t="s">
        <v>637</v>
      </c>
      <c r="B87" s="863"/>
      <c r="C87" s="863"/>
      <c r="D87" s="863"/>
      <c r="E87" s="863"/>
      <c r="F87" s="863"/>
      <c r="G87" s="863"/>
      <c r="H87" s="863"/>
      <c r="I87" s="864"/>
    </row>
    <row r="88" spans="1:9" s="334" customFormat="1" ht="11.25" x14ac:dyDescent="0.2">
      <c r="A88" s="1132" t="s">
        <v>638</v>
      </c>
      <c r="B88" s="858"/>
      <c r="C88" s="858"/>
      <c r="D88" s="858"/>
      <c r="E88" s="858"/>
      <c r="F88" s="858"/>
      <c r="G88" s="858"/>
      <c r="H88" s="858"/>
      <c r="I88" s="859"/>
    </row>
    <row r="89" spans="1:9" s="334" customFormat="1" ht="11.25" x14ac:dyDescent="0.2">
      <c r="A89" s="857"/>
      <c r="B89" s="858"/>
      <c r="C89" s="858"/>
      <c r="D89" s="858"/>
      <c r="E89" s="858"/>
      <c r="F89" s="858"/>
      <c r="G89" s="858"/>
      <c r="H89" s="858"/>
      <c r="I89" s="859"/>
    </row>
    <row r="91" spans="1:9" ht="18.75" x14ac:dyDescent="0.3">
      <c r="A91" s="391"/>
    </row>
    <row r="92" spans="1:9" ht="18.75" x14ac:dyDescent="0.3">
      <c r="A92" s="391"/>
    </row>
  </sheetData>
  <mergeCells count="83">
    <mergeCell ref="A1:I1"/>
    <mergeCell ref="A3:I3"/>
    <mergeCell ref="A5:B5"/>
    <mergeCell ref="D5:I5"/>
    <mergeCell ref="A6:B6"/>
    <mergeCell ref="D6:I6"/>
    <mergeCell ref="A19:I19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D34:I34"/>
    <mergeCell ref="D21:I21"/>
    <mergeCell ref="A22:A24"/>
    <mergeCell ref="D22:I22"/>
    <mergeCell ref="D23:I23"/>
    <mergeCell ref="D24:I24"/>
    <mergeCell ref="A25:A27"/>
    <mergeCell ref="D25:I25"/>
    <mergeCell ref="D26:I26"/>
    <mergeCell ref="D27:I27"/>
    <mergeCell ref="A28:A29"/>
    <mergeCell ref="D28:I28"/>
    <mergeCell ref="D29:I29"/>
    <mergeCell ref="C30:I30"/>
    <mergeCell ref="A32:I32"/>
    <mergeCell ref="C47:I47"/>
    <mergeCell ref="A35:A37"/>
    <mergeCell ref="D35:I35"/>
    <mergeCell ref="D36:I36"/>
    <mergeCell ref="D37:I37"/>
    <mergeCell ref="A38:A40"/>
    <mergeCell ref="D38:I38"/>
    <mergeCell ref="D39:I39"/>
    <mergeCell ref="D40:I40"/>
    <mergeCell ref="A41:A42"/>
    <mergeCell ref="D41:I41"/>
    <mergeCell ref="D42:I42"/>
    <mergeCell ref="C43:I43"/>
    <mergeCell ref="A45:I45"/>
    <mergeCell ref="A61:B61"/>
    <mergeCell ref="C48:I48"/>
    <mergeCell ref="C49:I49"/>
    <mergeCell ref="C50:I50"/>
    <mergeCell ref="A52:I52"/>
    <mergeCell ref="A54:B54"/>
    <mergeCell ref="A55:B55"/>
    <mergeCell ref="A56:B56"/>
    <mergeCell ref="A57:B57"/>
    <mergeCell ref="A58:B58"/>
    <mergeCell ref="A59:B59"/>
    <mergeCell ref="A60:B60"/>
    <mergeCell ref="A74:B74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F70:G70"/>
    <mergeCell ref="A72:I72"/>
    <mergeCell ref="A89:I89"/>
    <mergeCell ref="A75:B75"/>
    <mergeCell ref="A76:B76"/>
    <mergeCell ref="A77:B77"/>
    <mergeCell ref="F77:G77"/>
    <mergeCell ref="A79:I79"/>
    <mergeCell ref="A81:I81"/>
    <mergeCell ref="A82:I82"/>
    <mergeCell ref="A83:I83"/>
    <mergeCell ref="A85:I85"/>
    <mergeCell ref="A87:I87"/>
    <mergeCell ref="A88:I88"/>
  </mergeCells>
  <pageMargins left="0.70866141732283472" right="0.70866141732283472" top="0.78740157480314965" bottom="0.78740157480314965" header="0.31496062992125984" footer="0.31496062992125984"/>
  <pageSetup paperSize="9" scale="61" firstPageNumber="77" fitToHeight="3" orientation="portrait" useFirstPageNumber="1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95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51329410</v>
      </c>
      <c r="F6" s="8">
        <f>SUM(F7:F9)</f>
        <v>53563990</v>
      </c>
      <c r="G6" s="8">
        <f>SUM(G7:G9)</f>
        <v>28032568</v>
      </c>
      <c r="H6" s="9">
        <f t="shared" ref="H6:H36" si="0">G6/F6*100</f>
        <v>52.334727117976087</v>
      </c>
      <c r="I6" s="8">
        <f>SUM(I7:I9)</f>
        <v>25249267</v>
      </c>
      <c r="J6" s="8">
        <f>SUM(J7:J9)</f>
        <v>13882590</v>
      </c>
      <c r="K6" s="8">
        <f t="shared" ref="K6:X6" si="1">SUM(K7:K9)</f>
        <v>15931680</v>
      </c>
      <c r="L6" s="8">
        <f t="shared" si="1"/>
        <v>9308985</v>
      </c>
      <c r="M6" s="9">
        <f t="shared" ref="M6:M36" si="2">L6/K6*100</f>
        <v>58.43065514747974</v>
      </c>
      <c r="N6" s="8">
        <f t="shared" si="1"/>
        <v>8282171</v>
      </c>
      <c r="O6" s="8">
        <f t="shared" si="1"/>
        <v>37446820</v>
      </c>
      <c r="P6" s="8">
        <f t="shared" si="1"/>
        <v>37632310</v>
      </c>
      <c r="Q6" s="8">
        <f t="shared" si="1"/>
        <v>18723583</v>
      </c>
      <c r="R6" s="9">
        <f t="shared" ref="R6:R36" si="3">Q6/P6*100</f>
        <v>49.754009254281762</v>
      </c>
      <c r="S6" s="8">
        <f t="shared" si="1"/>
        <v>16967096</v>
      </c>
      <c r="T6" s="8">
        <f t="shared" si="1"/>
        <v>244000</v>
      </c>
      <c r="U6" s="8">
        <f t="shared" si="1"/>
        <v>244000</v>
      </c>
      <c r="V6" s="8">
        <f t="shared" si="1"/>
        <v>180080</v>
      </c>
      <c r="W6" s="9">
        <f t="shared" ref="W6:W36" si="4">V6/U6*100</f>
        <v>73.803278688524586</v>
      </c>
      <c r="X6" s="8">
        <f t="shared" si="1"/>
        <v>155999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5">SUM(J7,O7)</f>
        <v>6050000</v>
      </c>
      <c r="F7" s="12">
        <f t="shared" si="5"/>
        <v>6117090</v>
      </c>
      <c r="G7" s="12">
        <f t="shared" si="5"/>
        <v>4061082</v>
      </c>
      <c r="H7" s="13">
        <f t="shared" si="0"/>
        <v>66.3891163935793</v>
      </c>
      <c r="I7" s="12">
        <f>SUM(N7,S7)</f>
        <v>4240770</v>
      </c>
      <c r="J7" s="44">
        <v>6050000</v>
      </c>
      <c r="K7" s="14">
        <v>6117090</v>
      </c>
      <c r="L7" s="14">
        <v>4061082</v>
      </c>
      <c r="M7" s="13">
        <f t="shared" si="2"/>
        <v>66.3891163935793</v>
      </c>
      <c r="N7" s="14">
        <v>4240770</v>
      </c>
      <c r="O7" s="14"/>
      <c r="P7" s="14"/>
      <c r="Q7" s="14"/>
      <c r="R7" s="13" t="e">
        <f t="shared" si="3"/>
        <v>#DIV/0!</v>
      </c>
      <c r="S7" s="14"/>
      <c r="T7" s="14">
        <v>244000</v>
      </c>
      <c r="U7" s="14">
        <v>244000</v>
      </c>
      <c r="V7" s="14">
        <v>180080</v>
      </c>
      <c r="W7" s="13">
        <f t="shared" si="4"/>
        <v>73.803278688524586</v>
      </c>
      <c r="X7" s="14">
        <v>155999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5"/>
        <v>2300</v>
      </c>
      <c r="F8" s="12">
        <f t="shared" si="5"/>
        <v>2300</v>
      </c>
      <c r="G8" s="12">
        <f t="shared" si="5"/>
        <v>759</v>
      </c>
      <c r="H8" s="13">
        <f t="shared" si="0"/>
        <v>33</v>
      </c>
      <c r="I8" s="12">
        <f>SUM(N8,S8)</f>
        <v>1163</v>
      </c>
      <c r="J8" s="45">
        <v>2300</v>
      </c>
      <c r="K8" s="12">
        <v>2300</v>
      </c>
      <c r="L8" s="12">
        <v>759</v>
      </c>
      <c r="M8" s="13">
        <f t="shared" si="2"/>
        <v>33</v>
      </c>
      <c r="N8" s="12">
        <v>1163</v>
      </c>
      <c r="O8" s="12"/>
      <c r="P8" s="12"/>
      <c r="Q8" s="12"/>
      <c r="R8" s="13" t="e">
        <f t="shared" si="3"/>
        <v>#DIV/0!</v>
      </c>
      <c r="S8" s="12"/>
      <c r="T8" s="12"/>
      <c r="U8" s="12"/>
      <c r="V8" s="12"/>
      <c r="W8" s="13" t="e">
        <f t="shared" si="4"/>
        <v>#DIV/0!</v>
      </c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5"/>
        <v>45277110</v>
      </c>
      <c r="F9" s="12">
        <f t="shared" si="5"/>
        <v>47444600</v>
      </c>
      <c r="G9" s="12">
        <f t="shared" si="5"/>
        <v>23970727</v>
      </c>
      <c r="H9" s="13">
        <f t="shared" si="0"/>
        <v>50.523614910864453</v>
      </c>
      <c r="I9" s="12">
        <f>SUM(N9,S9)</f>
        <v>21007334</v>
      </c>
      <c r="J9" s="45">
        <v>7830290</v>
      </c>
      <c r="K9" s="12">
        <v>9812290</v>
      </c>
      <c r="L9" s="12">
        <v>5247144</v>
      </c>
      <c r="M9" s="13">
        <f t="shared" si="2"/>
        <v>53.47522341879418</v>
      </c>
      <c r="N9" s="12">
        <v>4040238</v>
      </c>
      <c r="O9" s="12">
        <v>37446820</v>
      </c>
      <c r="P9" s="12">
        <v>37632310</v>
      </c>
      <c r="Q9" s="12">
        <v>18723583</v>
      </c>
      <c r="R9" s="13">
        <f t="shared" si="3"/>
        <v>49.754009254281762</v>
      </c>
      <c r="S9" s="12">
        <v>16967096</v>
      </c>
      <c r="T9" s="12"/>
      <c r="U9" s="12"/>
      <c r="V9" s="12"/>
      <c r="W9" s="13" t="e">
        <f t="shared" si="4"/>
        <v>#DIV/0!</v>
      </c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5"/>
        <v>0</v>
      </c>
      <c r="F10" s="18">
        <f t="shared" si="5"/>
        <v>1292000</v>
      </c>
      <c r="G10" s="18">
        <f t="shared" si="5"/>
        <v>1292000</v>
      </c>
      <c r="H10" s="9">
        <f t="shared" si="0"/>
        <v>100</v>
      </c>
      <c r="I10" s="18">
        <f>SUM(N10,S10)</f>
        <v>0</v>
      </c>
      <c r="J10" s="19">
        <v>0</v>
      </c>
      <c r="K10" s="18">
        <v>1292000</v>
      </c>
      <c r="L10" s="18">
        <v>1292000</v>
      </c>
      <c r="M10" s="9">
        <f t="shared" si="2"/>
        <v>100</v>
      </c>
      <c r="N10" s="18"/>
      <c r="O10" s="18"/>
      <c r="P10" s="18"/>
      <c r="Q10" s="18"/>
      <c r="R10" s="9" t="e">
        <f t="shared" si="3"/>
        <v>#DIV/0!</v>
      </c>
      <c r="S10" s="18"/>
      <c r="T10" s="18"/>
      <c r="U10" s="18"/>
      <c r="V10" s="18"/>
      <c r="W10" s="9" t="e">
        <f t="shared" si="4"/>
        <v>#DIV/0!</v>
      </c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51329410</v>
      </c>
      <c r="F11" s="8">
        <f>SUM(F12:F31)</f>
        <v>53563990</v>
      </c>
      <c r="G11" s="8">
        <f>SUM(G12:G31)</f>
        <v>26711084.09</v>
      </c>
      <c r="H11" s="9">
        <f t="shared" si="0"/>
        <v>49.86761458584396</v>
      </c>
      <c r="I11" s="8">
        <f>SUM(I12:I31)</f>
        <v>25077534</v>
      </c>
      <c r="J11" s="8">
        <f>SUM(J12:J31)</f>
        <v>13882590</v>
      </c>
      <c r="K11" s="8">
        <f>SUM(K12:K31)</f>
        <v>15931680</v>
      </c>
      <c r="L11" s="8">
        <f>SUM(L12:L31)</f>
        <v>7987501.0899999999</v>
      </c>
      <c r="M11" s="9">
        <f t="shared" si="2"/>
        <v>50.135962371827702</v>
      </c>
      <c r="N11" s="8">
        <f>SUM(N12:N31)</f>
        <v>8110438</v>
      </c>
      <c r="O11" s="8">
        <f>SUM(O12:O31)</f>
        <v>37446820</v>
      </c>
      <c r="P11" s="8">
        <f>SUM(P12:P31)</f>
        <v>37632310</v>
      </c>
      <c r="Q11" s="8">
        <f>SUM(Q12:Q31)</f>
        <v>18723583</v>
      </c>
      <c r="R11" s="9">
        <f t="shared" si="3"/>
        <v>49.754009254281762</v>
      </c>
      <c r="S11" s="8">
        <f>SUM(S12:S31)</f>
        <v>16967096</v>
      </c>
      <c r="T11" s="8">
        <f>SUM(T12:T31)</f>
        <v>155300</v>
      </c>
      <c r="U11" s="8">
        <f>SUM(U12:U31)</f>
        <v>155300</v>
      </c>
      <c r="V11" s="8">
        <f>SUM(V12:V31)</f>
        <v>117463</v>
      </c>
      <c r="W11" s="9">
        <f t="shared" si="4"/>
        <v>75.636188023180935</v>
      </c>
      <c r="X11" s="8">
        <f>SUM(X12:X31)</f>
        <v>117078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6">SUM(J12,O12)</f>
        <v>6707626</v>
      </c>
      <c r="F12" s="12">
        <f t="shared" si="6"/>
        <v>6838280</v>
      </c>
      <c r="G12" s="12">
        <f t="shared" si="6"/>
        <v>4359550</v>
      </c>
      <c r="H12" s="13">
        <f t="shared" si="0"/>
        <v>63.752142351585483</v>
      </c>
      <c r="I12" s="12">
        <f t="shared" si="6"/>
        <v>4256232</v>
      </c>
      <c r="J12" s="20">
        <v>6424826</v>
      </c>
      <c r="K12" s="21">
        <v>6555390</v>
      </c>
      <c r="L12" s="21">
        <v>4162115</v>
      </c>
      <c r="M12" s="13">
        <f t="shared" si="2"/>
        <v>63.491493259745035</v>
      </c>
      <c r="N12" s="22">
        <v>4054147</v>
      </c>
      <c r="O12" s="21">
        <v>282800</v>
      </c>
      <c r="P12" s="21">
        <v>282890</v>
      </c>
      <c r="Q12" s="21">
        <v>197435</v>
      </c>
      <c r="R12" s="13">
        <f t="shared" si="3"/>
        <v>69.792145356852487</v>
      </c>
      <c r="S12" s="21">
        <v>202085</v>
      </c>
      <c r="T12" s="21">
        <v>69400</v>
      </c>
      <c r="U12" s="21">
        <v>69400</v>
      </c>
      <c r="V12" s="21">
        <v>43589</v>
      </c>
      <c r="W12" s="13">
        <f t="shared" si="4"/>
        <v>62.808357348703169</v>
      </c>
      <c r="X12" s="22">
        <v>47874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6"/>
        <v>3065000</v>
      </c>
      <c r="F13" s="12">
        <f t="shared" si="6"/>
        <v>3065000</v>
      </c>
      <c r="G13" s="12">
        <f t="shared" si="6"/>
        <v>1523971.09</v>
      </c>
      <c r="H13" s="13">
        <f t="shared" si="0"/>
        <v>49.721732137030997</v>
      </c>
      <c r="I13" s="12">
        <f t="shared" si="6"/>
        <v>1479896</v>
      </c>
      <c r="J13" s="20">
        <v>3065000</v>
      </c>
      <c r="K13" s="12">
        <v>3065000</v>
      </c>
      <c r="L13" s="12">
        <v>1523971.09</v>
      </c>
      <c r="M13" s="13">
        <f t="shared" si="2"/>
        <v>49.721732137030997</v>
      </c>
      <c r="N13" s="12">
        <v>1479896</v>
      </c>
      <c r="O13" s="12"/>
      <c r="P13" s="12"/>
      <c r="Q13" s="12"/>
      <c r="R13" s="13" t="e">
        <f t="shared" si="3"/>
        <v>#DIV/0!</v>
      </c>
      <c r="S13" s="12"/>
      <c r="T13" s="12">
        <v>32500</v>
      </c>
      <c r="U13" s="12">
        <v>32500</v>
      </c>
      <c r="V13" s="12">
        <v>25274</v>
      </c>
      <c r="W13" s="13">
        <f t="shared" si="4"/>
        <v>77.766153846153856</v>
      </c>
      <c r="X13" s="12">
        <v>24176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3" t="e">
        <f t="shared" si="0"/>
        <v>#DIV/0!</v>
      </c>
      <c r="I14" s="12">
        <f t="shared" si="6"/>
        <v>0</v>
      </c>
      <c r="J14" s="20"/>
      <c r="K14" s="12"/>
      <c r="L14" s="12"/>
      <c r="M14" s="13" t="e">
        <f t="shared" si="2"/>
        <v>#DIV/0!</v>
      </c>
      <c r="N14" s="12"/>
      <c r="O14" s="12"/>
      <c r="P14" s="12"/>
      <c r="Q14" s="12"/>
      <c r="R14" s="13" t="e">
        <f t="shared" si="3"/>
        <v>#DIV/0!</v>
      </c>
      <c r="S14" s="12"/>
      <c r="T14" s="12"/>
      <c r="U14" s="12"/>
      <c r="V14" s="12"/>
      <c r="W14" s="13" t="e">
        <f t="shared" si="4"/>
        <v>#DIV/0!</v>
      </c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6"/>
        <v>1095000</v>
      </c>
      <c r="F15" s="12">
        <f t="shared" si="6"/>
        <v>2855000</v>
      </c>
      <c r="G15" s="12">
        <f t="shared" si="6"/>
        <v>587882.16</v>
      </c>
      <c r="H15" s="13">
        <f t="shared" si="0"/>
        <v>20.59131908931699</v>
      </c>
      <c r="I15" s="12">
        <f t="shared" si="6"/>
        <v>655351</v>
      </c>
      <c r="J15" s="20">
        <v>1095000</v>
      </c>
      <c r="K15" s="12">
        <v>2855000</v>
      </c>
      <c r="L15" s="12">
        <v>587882.16</v>
      </c>
      <c r="M15" s="13">
        <f t="shared" si="2"/>
        <v>20.59131908931699</v>
      </c>
      <c r="N15" s="12">
        <v>655351</v>
      </c>
      <c r="O15" s="12"/>
      <c r="P15" s="12"/>
      <c r="Q15" s="12"/>
      <c r="R15" s="13" t="e">
        <f t="shared" si="3"/>
        <v>#DIV/0!</v>
      </c>
      <c r="S15" s="12"/>
      <c r="T15" s="12">
        <v>1600</v>
      </c>
      <c r="U15" s="12">
        <v>1600</v>
      </c>
      <c r="V15" s="12">
        <v>586</v>
      </c>
      <c r="W15" s="13">
        <f t="shared" si="4"/>
        <v>36.625</v>
      </c>
      <c r="X15" s="12">
        <v>499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6"/>
        <v>44500</v>
      </c>
      <c r="F16" s="12">
        <f t="shared" si="6"/>
        <v>45000</v>
      </c>
      <c r="G16" s="12">
        <f t="shared" si="6"/>
        <v>51646</v>
      </c>
      <c r="H16" s="13">
        <f t="shared" si="0"/>
        <v>114.7688888888889</v>
      </c>
      <c r="I16" s="12">
        <f t="shared" si="6"/>
        <v>42402</v>
      </c>
      <c r="J16" s="20">
        <v>6000</v>
      </c>
      <c r="K16" s="12">
        <v>6500</v>
      </c>
      <c r="L16" s="12">
        <v>6398</v>
      </c>
      <c r="M16" s="13">
        <f t="shared" si="2"/>
        <v>98.430769230769229</v>
      </c>
      <c r="N16" s="12">
        <v>1224</v>
      </c>
      <c r="O16" s="12">
        <v>38500</v>
      </c>
      <c r="P16" s="12">
        <v>38500</v>
      </c>
      <c r="Q16" s="12">
        <v>45248</v>
      </c>
      <c r="R16" s="13">
        <f t="shared" si="3"/>
        <v>117.52727272727273</v>
      </c>
      <c r="S16" s="12">
        <v>41178</v>
      </c>
      <c r="T16" s="12"/>
      <c r="U16" s="12"/>
      <c r="V16" s="12"/>
      <c r="W16" s="13" t="e">
        <f t="shared" si="4"/>
        <v>#DIV/0!</v>
      </c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6"/>
        <v>5000</v>
      </c>
      <c r="F17" s="12">
        <f t="shared" si="6"/>
        <v>5936</v>
      </c>
      <c r="G17" s="12">
        <f t="shared" si="6"/>
        <v>3603</v>
      </c>
      <c r="H17" s="13">
        <f t="shared" si="0"/>
        <v>60.697439353099739</v>
      </c>
      <c r="I17" s="12">
        <f t="shared" si="6"/>
        <v>2191</v>
      </c>
      <c r="J17" s="20">
        <v>5000</v>
      </c>
      <c r="K17" s="12">
        <v>5936</v>
      </c>
      <c r="L17" s="12">
        <v>3603</v>
      </c>
      <c r="M17" s="13">
        <f t="shared" si="2"/>
        <v>60.697439353099739</v>
      </c>
      <c r="N17" s="12">
        <v>2191</v>
      </c>
      <c r="O17" s="12"/>
      <c r="P17" s="12"/>
      <c r="Q17" s="12"/>
      <c r="R17" s="13" t="e">
        <f t="shared" si="3"/>
        <v>#DIV/0!</v>
      </c>
      <c r="S17" s="12"/>
      <c r="T17" s="12"/>
      <c r="U17" s="12"/>
      <c r="V17" s="12"/>
      <c r="W17" s="13" t="e">
        <f t="shared" si="4"/>
        <v>#DIV/0!</v>
      </c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6"/>
        <v>744100</v>
      </c>
      <c r="F18" s="12">
        <f t="shared" si="6"/>
        <v>746700</v>
      </c>
      <c r="G18" s="12">
        <f t="shared" si="6"/>
        <v>465467</v>
      </c>
      <c r="H18" s="13">
        <f t="shared" si="0"/>
        <v>62.336547475559122</v>
      </c>
      <c r="I18" s="12">
        <f t="shared" si="6"/>
        <v>396600</v>
      </c>
      <c r="J18" s="20">
        <v>574100</v>
      </c>
      <c r="K18" s="12">
        <v>576700</v>
      </c>
      <c r="L18" s="12">
        <v>326504</v>
      </c>
      <c r="M18" s="13">
        <f t="shared" si="2"/>
        <v>56.615918155019941</v>
      </c>
      <c r="N18" s="12">
        <v>284338</v>
      </c>
      <c r="O18" s="12">
        <v>170000</v>
      </c>
      <c r="P18" s="12">
        <v>170000</v>
      </c>
      <c r="Q18" s="12">
        <v>138963</v>
      </c>
      <c r="R18" s="13">
        <f t="shared" si="3"/>
        <v>81.74294117647058</v>
      </c>
      <c r="S18" s="12">
        <v>112262</v>
      </c>
      <c r="T18" s="12">
        <v>5100</v>
      </c>
      <c r="U18" s="12">
        <v>5100</v>
      </c>
      <c r="V18" s="12">
        <v>6924</v>
      </c>
      <c r="W18" s="13">
        <f t="shared" si="4"/>
        <v>135.76470588235296</v>
      </c>
      <c r="X18" s="12">
        <v>6668</v>
      </c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6"/>
        <v>27557700</v>
      </c>
      <c r="F19" s="12">
        <f t="shared" si="6"/>
        <v>27699800</v>
      </c>
      <c r="G19" s="12">
        <f t="shared" si="6"/>
        <v>13752873</v>
      </c>
      <c r="H19" s="13">
        <f t="shared" si="0"/>
        <v>49.649719492559512</v>
      </c>
      <c r="I19" s="12">
        <f t="shared" si="6"/>
        <v>12484872</v>
      </c>
      <c r="J19" s="23">
        <v>565800</v>
      </c>
      <c r="K19" s="12">
        <v>573000</v>
      </c>
      <c r="L19" s="12">
        <v>292162</v>
      </c>
      <c r="M19" s="13">
        <f t="shared" si="2"/>
        <v>50.988132635253059</v>
      </c>
      <c r="N19" s="12">
        <v>250378</v>
      </c>
      <c r="O19" s="12">
        <v>26991900</v>
      </c>
      <c r="P19" s="12">
        <v>27126800</v>
      </c>
      <c r="Q19" s="12">
        <v>13460711</v>
      </c>
      <c r="R19" s="13">
        <f t="shared" si="3"/>
        <v>49.62144816196529</v>
      </c>
      <c r="S19" s="12">
        <v>12234494</v>
      </c>
      <c r="T19" s="24">
        <v>32200</v>
      </c>
      <c r="U19" s="24">
        <v>32200</v>
      </c>
      <c r="V19" s="24">
        <v>22054</v>
      </c>
      <c r="W19" s="13">
        <f t="shared" si="4"/>
        <v>68.490683229813669</v>
      </c>
      <c r="X19" s="24">
        <v>20858</v>
      </c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6"/>
        <v>9432520</v>
      </c>
      <c r="F20" s="12">
        <f t="shared" si="6"/>
        <v>9459300</v>
      </c>
      <c r="G20" s="12">
        <f t="shared" si="6"/>
        <v>4677249</v>
      </c>
      <c r="H20" s="13">
        <f t="shared" si="0"/>
        <v>49.446037233199078</v>
      </c>
      <c r="I20" s="12">
        <f t="shared" si="6"/>
        <v>4233413</v>
      </c>
      <c r="J20" s="20">
        <v>150400</v>
      </c>
      <c r="K20" s="12">
        <v>150400</v>
      </c>
      <c r="L20" s="12">
        <v>62698</v>
      </c>
      <c r="M20" s="13">
        <f t="shared" si="2"/>
        <v>41.6875</v>
      </c>
      <c r="N20" s="12">
        <v>49044</v>
      </c>
      <c r="O20" s="12">
        <v>9282120</v>
      </c>
      <c r="P20" s="12">
        <v>9308900</v>
      </c>
      <c r="Q20" s="12">
        <v>4614551</v>
      </c>
      <c r="R20" s="13">
        <f t="shared" si="3"/>
        <v>49.571388671056731</v>
      </c>
      <c r="S20" s="12">
        <v>4184369</v>
      </c>
      <c r="T20" s="12">
        <v>11500</v>
      </c>
      <c r="U20" s="12">
        <v>11500</v>
      </c>
      <c r="V20" s="12">
        <v>7156</v>
      </c>
      <c r="W20" s="13">
        <f t="shared" si="4"/>
        <v>62.22608695652174</v>
      </c>
      <c r="X20" s="12">
        <v>6757</v>
      </c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6"/>
        <v>569800</v>
      </c>
      <c r="F21" s="12">
        <f t="shared" si="6"/>
        <v>593500</v>
      </c>
      <c r="G21" s="12">
        <f t="shared" si="6"/>
        <v>270639.38</v>
      </c>
      <c r="H21" s="13">
        <f t="shared" si="0"/>
        <v>45.600569502948609</v>
      </c>
      <c r="I21" s="12">
        <f t="shared" si="6"/>
        <v>187545</v>
      </c>
      <c r="J21" s="20">
        <v>9800</v>
      </c>
      <c r="K21" s="12">
        <v>9800</v>
      </c>
      <c r="L21" s="12">
        <v>3964.38</v>
      </c>
      <c r="M21" s="13">
        <f t="shared" si="2"/>
        <v>40.452857142857148</v>
      </c>
      <c r="N21" s="12">
        <v>2337</v>
      </c>
      <c r="O21" s="12">
        <v>560000</v>
      </c>
      <c r="P21" s="12">
        <v>583700</v>
      </c>
      <c r="Q21" s="12">
        <v>266675</v>
      </c>
      <c r="R21" s="13">
        <f t="shared" si="3"/>
        <v>45.686996744903205</v>
      </c>
      <c r="S21" s="12">
        <v>185208</v>
      </c>
      <c r="T21" s="12">
        <v>500</v>
      </c>
      <c r="U21" s="12">
        <v>500</v>
      </c>
      <c r="V21" s="12">
        <v>512</v>
      </c>
      <c r="W21" s="13">
        <f t="shared" si="4"/>
        <v>102.4</v>
      </c>
      <c r="X21" s="12">
        <v>360</v>
      </c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3" t="e">
        <f t="shared" si="0"/>
        <v>#DIV/0!</v>
      </c>
      <c r="I22" s="12">
        <f t="shared" si="6"/>
        <v>0</v>
      </c>
      <c r="J22" s="20"/>
      <c r="K22" s="12"/>
      <c r="L22" s="12"/>
      <c r="M22" s="13" t="e">
        <f t="shared" si="2"/>
        <v>#DIV/0!</v>
      </c>
      <c r="N22" s="12"/>
      <c r="O22" s="12"/>
      <c r="P22" s="12"/>
      <c r="Q22" s="12"/>
      <c r="R22" s="13" t="e">
        <f t="shared" si="3"/>
        <v>#DIV/0!</v>
      </c>
      <c r="S22" s="12"/>
      <c r="T22" s="12"/>
      <c r="U22" s="12"/>
      <c r="V22" s="12"/>
      <c r="W22" s="13" t="e">
        <f t="shared" si="4"/>
        <v>#DIV/0!</v>
      </c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6"/>
        <v>0</v>
      </c>
      <c r="F23" s="12">
        <f t="shared" si="6"/>
        <v>0</v>
      </c>
      <c r="G23" s="12">
        <f t="shared" si="6"/>
        <v>0</v>
      </c>
      <c r="H23" s="13" t="e">
        <f t="shared" si="0"/>
        <v>#DIV/0!</v>
      </c>
      <c r="I23" s="12">
        <f t="shared" si="6"/>
        <v>0</v>
      </c>
      <c r="J23" s="20"/>
      <c r="K23" s="12"/>
      <c r="L23" s="12"/>
      <c r="M23" s="13" t="e">
        <f t="shared" si="2"/>
        <v>#DIV/0!</v>
      </c>
      <c r="N23" s="12"/>
      <c r="O23" s="12"/>
      <c r="P23" s="12"/>
      <c r="Q23" s="12"/>
      <c r="R23" s="13" t="e">
        <f t="shared" si="3"/>
        <v>#DIV/0!</v>
      </c>
      <c r="S23" s="12"/>
      <c r="T23" s="12"/>
      <c r="U23" s="12"/>
      <c r="V23" s="12"/>
      <c r="W23" s="13" t="e">
        <f t="shared" si="4"/>
        <v>#DIV/0!</v>
      </c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3" t="e">
        <f t="shared" si="0"/>
        <v>#DIV/0!</v>
      </c>
      <c r="I24" s="12">
        <f t="shared" si="6"/>
        <v>0</v>
      </c>
      <c r="J24" s="20"/>
      <c r="K24" s="12"/>
      <c r="L24" s="12"/>
      <c r="M24" s="13" t="e">
        <f t="shared" si="2"/>
        <v>#DIV/0!</v>
      </c>
      <c r="N24" s="12"/>
      <c r="O24" s="12"/>
      <c r="P24" s="12"/>
      <c r="Q24" s="12"/>
      <c r="R24" s="13" t="e">
        <f t="shared" si="3"/>
        <v>#DIV/0!</v>
      </c>
      <c r="S24" s="12"/>
      <c r="T24" s="12"/>
      <c r="U24" s="12"/>
      <c r="V24" s="12"/>
      <c r="W24" s="13" t="e">
        <f t="shared" si="4"/>
        <v>#DIV/0!</v>
      </c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3" t="e">
        <f t="shared" si="0"/>
        <v>#DIV/0!</v>
      </c>
      <c r="I25" s="12">
        <f t="shared" si="6"/>
        <v>0</v>
      </c>
      <c r="J25" s="20"/>
      <c r="K25" s="21"/>
      <c r="L25" s="21"/>
      <c r="M25" s="13" t="e">
        <f t="shared" si="2"/>
        <v>#DIV/0!</v>
      </c>
      <c r="N25" s="22"/>
      <c r="O25" s="21"/>
      <c r="P25" s="21"/>
      <c r="Q25" s="21"/>
      <c r="R25" s="13" t="e">
        <f t="shared" si="3"/>
        <v>#DIV/0!</v>
      </c>
      <c r="S25" s="21"/>
      <c r="T25" s="21"/>
      <c r="U25" s="21"/>
      <c r="V25" s="21"/>
      <c r="W25" s="13" t="e">
        <f t="shared" si="4"/>
        <v>#DIV/0!</v>
      </c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6"/>
        <v>1518664</v>
      </c>
      <c r="F26" s="12">
        <f t="shared" si="6"/>
        <v>1518664</v>
      </c>
      <c r="G26" s="12">
        <f t="shared" si="6"/>
        <v>705676.44</v>
      </c>
      <c r="H26" s="26">
        <f>G26/F26*100</f>
        <v>46.466923559128283</v>
      </c>
      <c r="I26" s="12">
        <f>SUM(N26,S26)</f>
        <v>754989</v>
      </c>
      <c r="J26" s="20">
        <v>1518664</v>
      </c>
      <c r="K26" s="22">
        <v>1518664</v>
      </c>
      <c r="L26" s="22">
        <v>705676.44</v>
      </c>
      <c r="M26" s="13">
        <f>L26/K26*100</f>
        <v>46.466923559128283</v>
      </c>
      <c r="N26" s="22">
        <v>754989</v>
      </c>
      <c r="O26" s="22"/>
      <c r="P26" s="22"/>
      <c r="Q26" s="22"/>
      <c r="R26" s="13" t="e">
        <f>Q26/P26*100</f>
        <v>#DIV/0!</v>
      </c>
      <c r="S26" s="22"/>
      <c r="T26" s="22">
        <v>2500</v>
      </c>
      <c r="U26" s="47">
        <v>2500</v>
      </c>
      <c r="V26" s="265">
        <v>11060</v>
      </c>
      <c r="W26" s="13">
        <f>V26/U26*100</f>
        <v>442.40000000000003</v>
      </c>
      <c r="X26" s="22">
        <v>9208</v>
      </c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6"/>
        <v>0</v>
      </c>
      <c r="F27" s="12">
        <f t="shared" si="6"/>
        <v>0</v>
      </c>
      <c r="G27" s="12">
        <f t="shared" si="6"/>
        <v>0</v>
      </c>
      <c r="H27" s="26" t="e">
        <f t="shared" si="0"/>
        <v>#DIV/0!</v>
      </c>
      <c r="I27" s="12">
        <f t="shared" si="6"/>
        <v>0</v>
      </c>
      <c r="J27" s="20"/>
      <c r="K27" s="22"/>
      <c r="L27" s="22"/>
      <c r="M27" s="13" t="e">
        <f t="shared" si="2"/>
        <v>#DIV/0!</v>
      </c>
      <c r="N27" s="12"/>
      <c r="O27" s="22"/>
      <c r="P27" s="22"/>
      <c r="Q27" s="22"/>
      <c r="R27" s="13" t="e">
        <f t="shared" si="3"/>
        <v>#DIV/0!</v>
      </c>
      <c r="S27" s="22"/>
      <c r="T27" s="47"/>
      <c r="U27" s="47"/>
      <c r="V27" s="47"/>
      <c r="W27" s="13" t="e">
        <f t="shared" si="4"/>
        <v>#DIV/0!</v>
      </c>
      <c r="X27" s="22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573500</v>
      </c>
      <c r="F28" s="12">
        <f>SUM(K28,P28)</f>
        <v>723410</v>
      </c>
      <c r="G28" s="12">
        <f>SUM(L28,Q28)</f>
        <v>299168.02</v>
      </c>
      <c r="H28" s="26">
        <f>G28/F28*100</f>
        <v>41.355250825949327</v>
      </c>
      <c r="I28" s="12">
        <f>SUM(N28,S28)</f>
        <v>560898</v>
      </c>
      <c r="J28" s="20">
        <v>452000</v>
      </c>
      <c r="K28" s="22">
        <v>601890</v>
      </c>
      <c r="L28" s="22">
        <v>299168.02</v>
      </c>
      <c r="M28" s="13">
        <f>L28/K28*100</f>
        <v>49.704766651713769</v>
      </c>
      <c r="N28" s="12">
        <v>560898</v>
      </c>
      <c r="O28" s="22">
        <v>121500</v>
      </c>
      <c r="P28" s="22">
        <v>121520</v>
      </c>
      <c r="Q28" s="22">
        <v>0</v>
      </c>
      <c r="R28" s="13">
        <f>Q28/P28*100</f>
        <v>0</v>
      </c>
      <c r="S28" s="22"/>
      <c r="T28" s="47"/>
      <c r="U28" s="47"/>
      <c r="V28" s="47"/>
      <c r="W28" s="13" t="e">
        <f>V28/U28*100</f>
        <v>#DIV/0!</v>
      </c>
      <c r="X28" s="22">
        <v>678</v>
      </c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6"/>
        <v>16000</v>
      </c>
      <c r="F29" s="12">
        <f t="shared" si="6"/>
        <v>13400</v>
      </c>
      <c r="G29" s="12">
        <f t="shared" si="6"/>
        <v>13359</v>
      </c>
      <c r="H29" s="26">
        <f t="shared" si="0"/>
        <v>99.694029850746261</v>
      </c>
      <c r="I29" s="12">
        <f t="shared" si="6"/>
        <v>23145</v>
      </c>
      <c r="J29" s="20">
        <v>16000</v>
      </c>
      <c r="K29" s="22">
        <v>13400</v>
      </c>
      <c r="L29" s="22">
        <v>13359</v>
      </c>
      <c r="M29" s="13">
        <f t="shared" si="2"/>
        <v>99.694029850746261</v>
      </c>
      <c r="N29" s="22">
        <v>15645</v>
      </c>
      <c r="O29" s="22"/>
      <c r="P29" s="22"/>
      <c r="Q29" s="22"/>
      <c r="R29" s="13" t="e">
        <f t="shared" si="3"/>
        <v>#DIV/0!</v>
      </c>
      <c r="S29" s="22">
        <v>7500</v>
      </c>
      <c r="T29" s="47"/>
      <c r="U29" s="47"/>
      <c r="V29" s="47">
        <v>308</v>
      </c>
      <c r="W29" s="13" t="e">
        <f t="shared" si="4"/>
        <v>#DIV/0!</v>
      </c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7">SUM(J30,O30)</f>
        <v>0</v>
      </c>
      <c r="F30" s="12">
        <f t="shared" si="7"/>
        <v>0</v>
      </c>
      <c r="G30" s="12">
        <f t="shared" si="7"/>
        <v>0</v>
      </c>
      <c r="H30" s="26" t="e">
        <f t="shared" si="0"/>
        <v>#DIV/0!</v>
      </c>
      <c r="I30" s="12">
        <f>SUM(N30,S30)</f>
        <v>0</v>
      </c>
      <c r="J30" s="20"/>
      <c r="K30" s="22"/>
      <c r="L30" s="22"/>
      <c r="M30" s="13" t="e">
        <f t="shared" si="2"/>
        <v>#DIV/0!</v>
      </c>
      <c r="N30" s="22"/>
      <c r="O30" s="22"/>
      <c r="P30" s="22"/>
      <c r="Q30" s="22"/>
      <c r="R30" s="13" t="e">
        <f t="shared" si="3"/>
        <v>#DIV/0!</v>
      </c>
      <c r="S30" s="22"/>
      <c r="T30" s="47"/>
      <c r="U30" s="47"/>
      <c r="V30" s="47"/>
      <c r="W30" s="13" t="e">
        <f t="shared" si="4"/>
        <v>#DIV/0!</v>
      </c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26" t="e">
        <f t="shared" si="0"/>
        <v>#DIV/0!</v>
      </c>
      <c r="I31" s="12">
        <f>SUM(N31,S31)</f>
        <v>0</v>
      </c>
      <c r="J31" s="20"/>
      <c r="K31" s="29"/>
      <c r="L31" s="29"/>
      <c r="M31" s="13" t="e">
        <f t="shared" si="2"/>
        <v>#DIV/0!</v>
      </c>
      <c r="N31" s="29"/>
      <c r="O31" s="29"/>
      <c r="P31" s="29"/>
      <c r="Q31" s="29"/>
      <c r="R31" s="13" t="e">
        <f t="shared" si="3"/>
        <v>#DIV/0!</v>
      </c>
      <c r="S31" s="29"/>
      <c r="T31" s="30"/>
      <c r="U31" s="30"/>
      <c r="V31" s="30"/>
      <c r="W31" s="13" t="e">
        <f t="shared" si="4"/>
        <v>#DIV/0!</v>
      </c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26" t="e">
        <f t="shared" si="0"/>
        <v>#DIV/0!</v>
      </c>
      <c r="I32" s="12">
        <f>SUM(N32,S32)</f>
        <v>0</v>
      </c>
      <c r="J32" s="32"/>
      <c r="K32" s="30"/>
      <c r="L32" s="30"/>
      <c r="M32" s="13" t="e">
        <f t="shared" si="2"/>
        <v>#DIV/0!</v>
      </c>
      <c r="N32" s="30"/>
      <c r="O32" s="30"/>
      <c r="P32" s="30"/>
      <c r="Q32" s="30"/>
      <c r="R32" s="13" t="e">
        <f t="shared" si="3"/>
        <v>#DIV/0!</v>
      </c>
      <c r="S32" s="30"/>
      <c r="T32" s="30"/>
      <c r="U32" s="30"/>
      <c r="V32" s="30"/>
      <c r="W32" s="13" t="e">
        <f t="shared" si="4"/>
        <v>#DIV/0!</v>
      </c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1321483.9100000001</v>
      </c>
      <c r="H33" s="34" t="e">
        <f t="shared" si="0"/>
        <v>#DIV/0!</v>
      </c>
      <c r="I33" s="8">
        <f>I6-I11</f>
        <v>171733</v>
      </c>
      <c r="J33" s="8">
        <f>J6-J11</f>
        <v>0</v>
      </c>
      <c r="K33" s="8">
        <f>K6-K11</f>
        <v>0</v>
      </c>
      <c r="L33" s="8">
        <f>L6-L11</f>
        <v>1321483.9100000001</v>
      </c>
      <c r="M33" s="9" t="e">
        <f t="shared" si="2"/>
        <v>#DIV/0!</v>
      </c>
      <c r="N33" s="8">
        <f>N6-N11</f>
        <v>171733</v>
      </c>
      <c r="O33" s="8">
        <f>O6-O11</f>
        <v>0</v>
      </c>
      <c r="P33" s="8">
        <f>P6-P11</f>
        <v>0</v>
      </c>
      <c r="Q33" s="8">
        <f>Q6-Q11</f>
        <v>0</v>
      </c>
      <c r="R33" s="9" t="e">
        <f t="shared" si="3"/>
        <v>#DIV/0!</v>
      </c>
      <c r="S33" s="8">
        <f>S6-S11</f>
        <v>0</v>
      </c>
      <c r="T33" s="8">
        <f>T6-T11</f>
        <v>88700</v>
      </c>
      <c r="U33" s="8">
        <f>U6-U11</f>
        <v>88700</v>
      </c>
      <c r="V33" s="8">
        <f>V6-V11</f>
        <v>62617</v>
      </c>
      <c r="W33" s="9">
        <f t="shared" si="4"/>
        <v>70.594137542277338</v>
      </c>
      <c r="X33" s="8">
        <f>X6-X11</f>
        <v>38921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24800</v>
      </c>
      <c r="F34" s="37">
        <v>24850</v>
      </c>
      <c r="G34" s="37">
        <v>24912</v>
      </c>
      <c r="H34" s="26">
        <f t="shared" si="0"/>
        <v>100.24949698189134</v>
      </c>
      <c r="I34" s="37">
        <v>22712</v>
      </c>
      <c r="J34" s="38"/>
      <c r="K34" s="38"/>
      <c r="L34" s="38"/>
      <c r="M34" s="9" t="e">
        <f t="shared" si="2"/>
        <v>#DIV/0!</v>
      </c>
      <c r="N34" s="38"/>
      <c r="O34" s="38"/>
      <c r="P34" s="38"/>
      <c r="Q34" s="38"/>
      <c r="R34" s="9" t="e">
        <f t="shared" si="3"/>
        <v>#DIV/0!</v>
      </c>
      <c r="S34" s="38"/>
      <c r="T34" s="38"/>
      <c r="U34" s="38"/>
      <c r="V34" s="38"/>
      <c r="W34" s="9" t="e">
        <f t="shared" si="4"/>
        <v>#DIV/0!</v>
      </c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92</v>
      </c>
      <c r="F35" s="37">
        <v>92.01</v>
      </c>
      <c r="G35" s="37">
        <v>92</v>
      </c>
      <c r="H35" s="26">
        <f t="shared" si="0"/>
        <v>99.989131616128674</v>
      </c>
      <c r="I35" s="37">
        <v>92</v>
      </c>
      <c r="J35" s="38"/>
      <c r="K35" s="49"/>
      <c r="L35" s="38"/>
      <c r="M35" s="9" t="e">
        <f t="shared" si="2"/>
        <v>#DIV/0!</v>
      </c>
      <c r="N35" s="38"/>
      <c r="O35" s="38"/>
      <c r="P35" s="38"/>
      <c r="Q35" s="38"/>
      <c r="R35" s="9" t="e">
        <f t="shared" si="3"/>
        <v>#DIV/0!</v>
      </c>
      <c r="S35" s="38"/>
      <c r="T35" s="38"/>
      <c r="U35" s="38"/>
      <c r="V35" s="38"/>
      <c r="W35" s="9" t="e">
        <f t="shared" si="4"/>
        <v>#DIV/0!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103</v>
      </c>
      <c r="F36" s="37">
        <v>103</v>
      </c>
      <c r="G36" s="37">
        <v>103</v>
      </c>
      <c r="H36" s="26">
        <f t="shared" si="0"/>
        <v>100</v>
      </c>
      <c r="I36" s="37">
        <v>108</v>
      </c>
      <c r="J36" s="38"/>
      <c r="K36" s="38"/>
      <c r="L36" s="38"/>
      <c r="M36" s="9" t="e">
        <f t="shared" si="2"/>
        <v>#DIV/0!</v>
      </c>
      <c r="N36" s="38"/>
      <c r="O36" s="38"/>
      <c r="P36" s="38"/>
      <c r="Q36" s="38"/>
      <c r="R36" s="9" t="e">
        <f t="shared" si="3"/>
        <v>#DIV/0!</v>
      </c>
      <c r="S36" s="38"/>
      <c r="T36" s="38"/>
      <c r="U36" s="38"/>
      <c r="V36" s="38"/>
      <c r="W36" s="9" t="e">
        <f t="shared" si="4"/>
        <v>#DIV/0!</v>
      </c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78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8.75" x14ac:dyDescent="0.3">
      <c r="A1" s="919" t="s">
        <v>85</v>
      </c>
      <c r="B1" s="919"/>
      <c r="C1" s="919"/>
      <c r="D1" s="919"/>
      <c r="E1" s="919"/>
      <c r="F1" s="919"/>
      <c r="G1" s="919"/>
      <c r="H1" s="919"/>
      <c r="I1" s="919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58.5" customHeight="1" x14ac:dyDescent="0.2">
      <c r="A6" s="911" t="s">
        <v>107</v>
      </c>
      <c r="B6" s="912"/>
      <c r="C6" s="337">
        <v>745265.45</v>
      </c>
      <c r="D6" s="913" t="s">
        <v>396</v>
      </c>
      <c r="E6" s="913"/>
      <c r="F6" s="913"/>
      <c r="G6" s="913"/>
      <c r="H6" s="913"/>
      <c r="I6" s="913"/>
    </row>
    <row r="7" spans="1:14" s="338" customFormat="1" ht="30.75" customHeight="1" x14ac:dyDescent="0.15">
      <c r="A7" s="911" t="s">
        <v>92</v>
      </c>
      <c r="B7" s="912"/>
      <c r="C7" s="337">
        <v>0</v>
      </c>
      <c r="D7" s="913" t="s">
        <v>397</v>
      </c>
      <c r="E7" s="914"/>
      <c r="F7" s="914"/>
      <c r="G7" s="914"/>
      <c r="H7" s="914"/>
      <c r="I7" s="914"/>
    </row>
    <row r="8" spans="1:14" s="338" customFormat="1" ht="10.5" x14ac:dyDescent="0.15">
      <c r="A8" s="911" t="s">
        <v>110</v>
      </c>
      <c r="B8" s="912"/>
      <c r="C8" s="337">
        <v>0</v>
      </c>
      <c r="D8" s="915" t="s">
        <v>398</v>
      </c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2" x14ac:dyDescent="0.2">
      <c r="C11" s="339"/>
      <c r="K11" s="576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  <c r="K12" s="576"/>
    </row>
    <row r="13" spans="1:14" s="334" customFormat="1" ht="12" x14ac:dyDescent="0.2">
      <c r="A13" s="437" t="s">
        <v>187</v>
      </c>
      <c r="B13" s="438">
        <v>96601.39</v>
      </c>
      <c r="C13" s="438">
        <v>272482.81</v>
      </c>
      <c r="D13" s="438">
        <v>1700</v>
      </c>
      <c r="E13" s="438">
        <v>367384.2</v>
      </c>
      <c r="F13" s="458">
        <v>367384.2</v>
      </c>
      <c r="G13" s="904" t="s">
        <v>399</v>
      </c>
      <c r="H13" s="905"/>
      <c r="I13" s="906"/>
      <c r="K13" s="576"/>
    </row>
    <row r="14" spans="1:14" s="334" customFormat="1" ht="12" x14ac:dyDescent="0.2">
      <c r="A14" s="440" t="s">
        <v>214</v>
      </c>
      <c r="B14" s="441">
        <v>89124.28</v>
      </c>
      <c r="C14" s="441">
        <v>263341.18</v>
      </c>
      <c r="D14" s="441">
        <v>227898</v>
      </c>
      <c r="E14" s="441">
        <v>124567.46</v>
      </c>
      <c r="F14" s="577">
        <v>124567.46</v>
      </c>
      <c r="G14" s="862" t="s">
        <v>400</v>
      </c>
      <c r="H14" s="863"/>
      <c r="I14" s="864"/>
      <c r="K14" s="576"/>
      <c r="N14" s="349"/>
    </row>
    <row r="15" spans="1:14" s="334" customFormat="1" ht="12" x14ac:dyDescent="0.2">
      <c r="A15" s="440" t="s">
        <v>191</v>
      </c>
      <c r="B15" s="441">
        <v>59577</v>
      </c>
      <c r="C15" s="441">
        <v>0</v>
      </c>
      <c r="D15" s="441">
        <v>5000</v>
      </c>
      <c r="E15" s="441">
        <v>54577</v>
      </c>
      <c r="F15" s="577">
        <v>54577</v>
      </c>
      <c r="G15" s="862" t="s">
        <v>401</v>
      </c>
      <c r="H15" s="863"/>
      <c r="I15" s="864"/>
      <c r="K15" s="576"/>
    </row>
    <row r="16" spans="1:14" s="334" customFormat="1" ht="12" x14ac:dyDescent="0.2">
      <c r="A16" s="443" t="s">
        <v>193</v>
      </c>
      <c r="B16" s="444">
        <v>30015.74</v>
      </c>
      <c r="C16" s="444">
        <v>54103.040000000001</v>
      </c>
      <c r="D16" s="444">
        <v>23635</v>
      </c>
      <c r="E16" s="444">
        <v>60483.78</v>
      </c>
      <c r="F16" s="460">
        <v>51400.14</v>
      </c>
      <c r="G16" s="907" t="s">
        <v>402</v>
      </c>
      <c r="H16" s="908"/>
      <c r="I16" s="909"/>
      <c r="K16" s="578"/>
    </row>
    <row r="17" spans="1:9" s="334" customFormat="1" ht="11.25" x14ac:dyDescent="0.2">
      <c r="A17" s="353" t="s">
        <v>90</v>
      </c>
      <c r="B17" s="354">
        <f>SUM(B13:B16)</f>
        <v>275318.40999999997</v>
      </c>
      <c r="C17" s="354">
        <f t="shared" ref="C17:F17" si="0">SUM(C13:C16)</f>
        <v>589927.03</v>
      </c>
      <c r="D17" s="354">
        <f t="shared" si="0"/>
        <v>258233</v>
      </c>
      <c r="E17" s="354">
        <f t="shared" si="0"/>
        <v>607012.44000000006</v>
      </c>
      <c r="F17" s="354">
        <f t="shared" si="0"/>
        <v>597928.80000000005</v>
      </c>
      <c r="G17" s="910"/>
      <c r="H17" s="910"/>
      <c r="I17" s="91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A20" s="334" t="s">
        <v>403</v>
      </c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894"/>
      <c r="B22" s="358">
        <v>0</v>
      </c>
      <c r="C22" s="368">
        <v>9999</v>
      </c>
      <c r="D22" s="897"/>
      <c r="E22" s="898"/>
      <c r="F22" s="898"/>
      <c r="G22" s="898"/>
      <c r="H22" s="898"/>
      <c r="I22" s="899"/>
    </row>
    <row r="23" spans="1:9" s="334" customFormat="1" ht="11.25" customHeight="1" x14ac:dyDescent="0.2">
      <c r="A23" s="895"/>
      <c r="B23" s="362">
        <v>0</v>
      </c>
      <c r="C23" s="456">
        <v>9999</v>
      </c>
      <c r="D23" s="885"/>
      <c r="E23" s="886"/>
      <c r="F23" s="886"/>
      <c r="G23" s="886"/>
      <c r="H23" s="886"/>
      <c r="I23" s="887"/>
    </row>
    <row r="24" spans="1:9" s="334" customFormat="1" ht="11.25" customHeight="1" x14ac:dyDescent="0.2">
      <c r="A24" s="896"/>
      <c r="B24" s="362">
        <v>0</v>
      </c>
      <c r="C24" s="362" t="s">
        <v>279</v>
      </c>
      <c r="D24" s="885"/>
      <c r="E24" s="886"/>
      <c r="F24" s="886"/>
      <c r="G24" s="886"/>
      <c r="H24" s="886"/>
      <c r="I24" s="887"/>
    </row>
    <row r="25" spans="1:9" s="334" customFormat="1" ht="11.25" customHeight="1" x14ac:dyDescent="0.2">
      <c r="A25" s="895"/>
      <c r="B25" s="360">
        <v>0</v>
      </c>
      <c r="C25" s="579">
        <v>9999</v>
      </c>
      <c r="D25" s="885"/>
      <c r="E25" s="886"/>
      <c r="F25" s="886"/>
      <c r="G25" s="886"/>
      <c r="H25" s="886"/>
      <c r="I25" s="887"/>
    </row>
    <row r="26" spans="1:9" s="334" customFormat="1" ht="11.25" customHeight="1" x14ac:dyDescent="0.2">
      <c r="A26" s="895"/>
      <c r="B26" s="362">
        <v>0</v>
      </c>
      <c r="C26" s="456">
        <v>9999</v>
      </c>
      <c r="D26" s="885"/>
      <c r="E26" s="886"/>
      <c r="F26" s="886"/>
      <c r="G26" s="886"/>
      <c r="H26" s="886"/>
      <c r="I26" s="887"/>
    </row>
    <row r="27" spans="1:9" s="334" customFormat="1" ht="11.25" customHeight="1" x14ac:dyDescent="0.2">
      <c r="A27" s="896"/>
      <c r="B27" s="362">
        <v>0</v>
      </c>
      <c r="C27" s="362" t="s">
        <v>279</v>
      </c>
      <c r="D27" s="885"/>
      <c r="E27" s="886"/>
      <c r="F27" s="886"/>
      <c r="G27" s="886"/>
      <c r="H27" s="886"/>
      <c r="I27" s="887"/>
    </row>
    <row r="28" spans="1:9" s="334" customFormat="1" ht="11.25" customHeight="1" x14ac:dyDescent="0.2">
      <c r="A28" s="883" t="s">
        <v>404</v>
      </c>
      <c r="B28" s="360">
        <v>0</v>
      </c>
      <c r="C28" s="579">
        <v>9999</v>
      </c>
      <c r="D28" s="885"/>
      <c r="E28" s="886"/>
      <c r="F28" s="886"/>
      <c r="G28" s="886"/>
      <c r="H28" s="886"/>
      <c r="I28" s="887"/>
    </row>
    <row r="29" spans="1:9" s="334" customFormat="1" ht="11.25" customHeight="1" x14ac:dyDescent="0.2">
      <c r="A29" s="884"/>
      <c r="B29" s="362">
        <v>0</v>
      </c>
      <c r="C29" s="456">
        <v>9999</v>
      </c>
      <c r="D29" s="885"/>
      <c r="E29" s="886"/>
      <c r="F29" s="886"/>
      <c r="G29" s="886"/>
      <c r="H29" s="886"/>
      <c r="I29" s="887"/>
    </row>
    <row r="30" spans="1:9" s="338" customFormat="1" ht="11.25" x14ac:dyDescent="0.2">
      <c r="A30" s="365" t="s">
        <v>90</v>
      </c>
      <c r="B30" s="366">
        <f>SUM(B22:B29)</f>
        <v>0</v>
      </c>
      <c r="C30" s="900"/>
      <c r="D30" s="900"/>
      <c r="E30" s="900"/>
      <c r="F30" s="900"/>
      <c r="G30" s="900"/>
      <c r="H30" s="900"/>
      <c r="I30" s="901"/>
    </row>
    <row r="31" spans="1:9" s="355" customFormat="1" ht="11.25" x14ac:dyDescent="0.2">
      <c r="C31" s="356"/>
    </row>
    <row r="32" spans="1:9" s="340" customFormat="1" ht="11.25" x14ac:dyDescent="0.2">
      <c r="A32" s="861" t="s">
        <v>140</v>
      </c>
      <c r="B32" s="861"/>
      <c r="C32" s="861"/>
      <c r="D32" s="861"/>
      <c r="E32" s="861"/>
      <c r="F32" s="861"/>
      <c r="G32" s="861"/>
      <c r="H32" s="861"/>
      <c r="I32" s="861"/>
    </row>
    <row r="33" spans="1:9" s="334" customFormat="1" ht="11.25" x14ac:dyDescent="0.2">
      <c r="A33" s="334" t="s">
        <v>405</v>
      </c>
      <c r="C33" s="339"/>
    </row>
    <row r="34" spans="1:9" s="334" customFormat="1" ht="11.25" x14ac:dyDescent="0.2">
      <c r="A34" s="335" t="s">
        <v>130</v>
      </c>
      <c r="B34" s="335" t="s">
        <v>16</v>
      </c>
      <c r="C34" s="357" t="s">
        <v>131</v>
      </c>
      <c r="D34" s="902" t="s">
        <v>141</v>
      </c>
      <c r="E34" s="902"/>
      <c r="F34" s="902"/>
      <c r="G34" s="902"/>
      <c r="H34" s="902"/>
      <c r="I34" s="903"/>
    </row>
    <row r="35" spans="1:9" s="334" customFormat="1" ht="11.25" customHeight="1" x14ac:dyDescent="0.2">
      <c r="A35" s="894"/>
      <c r="B35" s="358">
        <v>0</v>
      </c>
      <c r="C35" s="368">
        <v>9999</v>
      </c>
      <c r="D35" s="897"/>
      <c r="E35" s="898"/>
      <c r="F35" s="898"/>
      <c r="G35" s="898"/>
      <c r="H35" s="898"/>
      <c r="I35" s="899"/>
    </row>
    <row r="36" spans="1:9" s="334" customFormat="1" ht="11.25" customHeight="1" x14ac:dyDescent="0.2">
      <c r="A36" s="895"/>
      <c r="B36" s="362">
        <v>0</v>
      </c>
      <c r="C36" s="456">
        <v>9999</v>
      </c>
      <c r="D36" s="885"/>
      <c r="E36" s="886"/>
      <c r="F36" s="886"/>
      <c r="G36" s="886"/>
      <c r="H36" s="886"/>
      <c r="I36" s="887"/>
    </row>
    <row r="37" spans="1:9" s="334" customFormat="1" ht="11.25" customHeight="1" x14ac:dyDescent="0.2">
      <c r="A37" s="896"/>
      <c r="B37" s="362">
        <v>0</v>
      </c>
      <c r="C37" s="362" t="s">
        <v>279</v>
      </c>
      <c r="D37" s="885"/>
      <c r="E37" s="886"/>
      <c r="F37" s="886"/>
      <c r="G37" s="886"/>
      <c r="H37" s="886"/>
      <c r="I37" s="887"/>
    </row>
    <row r="38" spans="1:9" s="334" customFormat="1" ht="11.25" customHeight="1" x14ac:dyDescent="0.2">
      <c r="A38" s="895"/>
      <c r="B38" s="360">
        <v>0</v>
      </c>
      <c r="C38" s="579">
        <v>9999</v>
      </c>
      <c r="D38" s="885"/>
      <c r="E38" s="886"/>
      <c r="F38" s="886"/>
      <c r="G38" s="886"/>
      <c r="H38" s="886"/>
      <c r="I38" s="887"/>
    </row>
    <row r="39" spans="1:9" s="334" customFormat="1" ht="11.25" customHeight="1" x14ac:dyDescent="0.2">
      <c r="A39" s="895"/>
      <c r="B39" s="362">
        <v>0</v>
      </c>
      <c r="C39" s="456">
        <v>9999</v>
      </c>
      <c r="D39" s="885"/>
      <c r="E39" s="886"/>
      <c r="F39" s="886"/>
      <c r="G39" s="886"/>
      <c r="H39" s="886"/>
      <c r="I39" s="887"/>
    </row>
    <row r="40" spans="1:9" s="334" customFormat="1" ht="11.25" customHeight="1" x14ac:dyDescent="0.2">
      <c r="A40" s="896"/>
      <c r="B40" s="362">
        <v>0</v>
      </c>
      <c r="C40" s="362" t="s">
        <v>279</v>
      </c>
      <c r="D40" s="885"/>
      <c r="E40" s="886"/>
      <c r="F40" s="886"/>
      <c r="G40" s="886"/>
      <c r="H40" s="886"/>
      <c r="I40" s="887"/>
    </row>
    <row r="41" spans="1:9" s="334" customFormat="1" ht="11.25" customHeight="1" x14ac:dyDescent="0.2">
      <c r="A41" s="883" t="s">
        <v>279</v>
      </c>
      <c r="B41" s="360">
        <v>0</v>
      </c>
      <c r="C41" s="579">
        <v>9999</v>
      </c>
      <c r="D41" s="885"/>
      <c r="E41" s="886"/>
      <c r="F41" s="886"/>
      <c r="G41" s="886"/>
      <c r="H41" s="886"/>
      <c r="I41" s="887"/>
    </row>
    <row r="42" spans="1:9" s="334" customFormat="1" ht="11.25" customHeight="1" x14ac:dyDescent="0.2">
      <c r="A42" s="884"/>
      <c r="B42" s="362">
        <v>0</v>
      </c>
      <c r="C42" s="456">
        <v>9999</v>
      </c>
      <c r="D42" s="888"/>
      <c r="E42" s="889"/>
      <c r="F42" s="889"/>
      <c r="G42" s="889"/>
      <c r="H42" s="889"/>
      <c r="I42" s="890"/>
    </row>
    <row r="43" spans="1:9" s="338" customFormat="1" ht="10.5" x14ac:dyDescent="0.15">
      <c r="A43" s="365" t="s">
        <v>90</v>
      </c>
      <c r="B43" s="366">
        <f>SUM(B35:B42)</f>
        <v>0</v>
      </c>
      <c r="C43" s="891"/>
      <c r="D43" s="891"/>
      <c r="E43" s="891"/>
      <c r="F43" s="891"/>
      <c r="G43" s="891"/>
      <c r="H43" s="891"/>
      <c r="I43" s="891"/>
    </row>
    <row r="44" spans="1:9" s="334" customFormat="1" ht="11.25" x14ac:dyDescent="0.2">
      <c r="C44" s="339"/>
    </row>
    <row r="45" spans="1:9" s="340" customFormat="1" ht="11.25" x14ac:dyDescent="0.2">
      <c r="A45" s="861" t="s">
        <v>143</v>
      </c>
      <c r="B45" s="861"/>
      <c r="C45" s="861"/>
      <c r="D45" s="861"/>
      <c r="E45" s="861"/>
      <c r="F45" s="861"/>
      <c r="G45" s="861"/>
      <c r="H45" s="861"/>
      <c r="I45" s="861"/>
    </row>
    <row r="46" spans="1:9" s="334" customFormat="1" ht="11.25" x14ac:dyDescent="0.2">
      <c r="A46" s="334" t="s">
        <v>406</v>
      </c>
      <c r="C46" s="369"/>
    </row>
    <row r="47" spans="1:9" s="334" customFormat="1" ht="11.25" x14ac:dyDescent="0.2">
      <c r="A47" s="335" t="s">
        <v>144</v>
      </c>
      <c r="B47" s="357" t="s">
        <v>145</v>
      </c>
      <c r="C47" s="892" t="s">
        <v>146</v>
      </c>
      <c r="D47" s="892"/>
      <c r="E47" s="892"/>
      <c r="F47" s="892"/>
      <c r="G47" s="892"/>
      <c r="H47" s="892"/>
      <c r="I47" s="893"/>
    </row>
    <row r="48" spans="1:9" s="334" customFormat="1" ht="11.25" x14ac:dyDescent="0.2">
      <c r="A48" s="370">
        <v>0</v>
      </c>
      <c r="B48" s="370">
        <v>0</v>
      </c>
      <c r="C48" s="876"/>
      <c r="D48" s="876"/>
      <c r="E48" s="876"/>
      <c r="F48" s="876"/>
      <c r="G48" s="876"/>
      <c r="H48" s="876"/>
      <c r="I48" s="876"/>
    </row>
    <row r="49" spans="1:9" s="334" customFormat="1" ht="11.25" x14ac:dyDescent="0.2">
      <c r="A49" s="462">
        <v>0</v>
      </c>
      <c r="B49" s="462">
        <v>0</v>
      </c>
      <c r="C49" s="877"/>
      <c r="D49" s="877"/>
      <c r="E49" s="877"/>
      <c r="F49" s="877"/>
      <c r="G49" s="877"/>
      <c r="H49" s="877"/>
      <c r="I49" s="877"/>
    </row>
    <row r="50" spans="1:9" s="338" customFormat="1" ht="10.5" x14ac:dyDescent="0.15">
      <c r="A50" s="371">
        <f>SUM(A48:A49)</f>
        <v>0</v>
      </c>
      <c r="B50" s="371">
        <f>SUM(B48:B49)</f>
        <v>0</v>
      </c>
      <c r="C50" s="878" t="s">
        <v>90</v>
      </c>
      <c r="D50" s="879"/>
      <c r="E50" s="879"/>
      <c r="F50" s="879"/>
      <c r="G50" s="879"/>
      <c r="H50" s="879"/>
      <c r="I50" s="880"/>
    </row>
    <row r="51" spans="1:9" s="334" customFormat="1" ht="11.25" x14ac:dyDescent="0.2">
      <c r="C51" s="369"/>
    </row>
    <row r="52" spans="1:9" s="334" customFormat="1" ht="11.25" x14ac:dyDescent="0.2">
      <c r="A52" s="861" t="s">
        <v>148</v>
      </c>
      <c r="B52" s="865"/>
      <c r="C52" s="865"/>
      <c r="D52" s="865"/>
      <c r="E52" s="865"/>
      <c r="F52" s="865"/>
      <c r="G52" s="865"/>
      <c r="H52" s="865"/>
      <c r="I52" s="865"/>
    </row>
    <row r="53" spans="1:9" s="334" customFormat="1" ht="11.25" x14ac:dyDescent="0.2">
      <c r="C53" s="369"/>
    </row>
    <row r="54" spans="1:9" s="373" customFormat="1" ht="31.5" x14ac:dyDescent="0.25">
      <c r="A54" s="866" t="s">
        <v>149</v>
      </c>
      <c r="B54" s="867"/>
      <c r="C54" s="372" t="s">
        <v>150</v>
      </c>
      <c r="D54" s="372" t="s">
        <v>151</v>
      </c>
      <c r="E54" s="372" t="s">
        <v>152</v>
      </c>
      <c r="F54" s="372" t="s">
        <v>153</v>
      </c>
      <c r="G54" s="372" t="s">
        <v>154</v>
      </c>
    </row>
    <row r="55" spans="1:9" s="334" customFormat="1" ht="12" x14ac:dyDescent="0.2">
      <c r="A55" s="580" t="s">
        <v>407</v>
      </c>
      <c r="B55" s="580"/>
      <c r="C55" s="581" t="s">
        <v>284</v>
      </c>
      <c r="D55" s="582"/>
      <c r="E55" s="583">
        <v>-150000</v>
      </c>
      <c r="F55" s="584">
        <v>42902</v>
      </c>
      <c r="G55" s="584">
        <v>42902</v>
      </c>
    </row>
    <row r="56" spans="1:9" s="334" customFormat="1" ht="12" x14ac:dyDescent="0.2">
      <c r="A56" s="585" t="s">
        <v>408</v>
      </c>
      <c r="B56" s="585"/>
      <c r="C56" s="581" t="s">
        <v>409</v>
      </c>
      <c r="D56" s="582"/>
      <c r="E56" s="583">
        <v>150000</v>
      </c>
      <c r="F56" s="584">
        <v>42902</v>
      </c>
      <c r="G56" s="584">
        <v>42902</v>
      </c>
    </row>
    <row r="57" spans="1:9" s="334" customFormat="1" ht="12" x14ac:dyDescent="0.2">
      <c r="A57" s="580" t="s">
        <v>410</v>
      </c>
      <c r="B57" s="580"/>
      <c r="C57" s="581" t="s">
        <v>411</v>
      </c>
      <c r="D57" s="582"/>
      <c r="E57" s="583">
        <v>5000</v>
      </c>
      <c r="F57" s="584">
        <v>42916</v>
      </c>
      <c r="G57" s="584">
        <v>42916</v>
      </c>
    </row>
    <row r="58" spans="1:9" s="334" customFormat="1" ht="12" x14ac:dyDescent="0.2">
      <c r="A58" s="585" t="s">
        <v>412</v>
      </c>
      <c r="B58" s="585"/>
      <c r="C58" s="581" t="s">
        <v>413</v>
      </c>
      <c r="D58" s="582">
        <v>5000</v>
      </c>
      <c r="E58" s="583"/>
      <c r="F58" s="584">
        <v>42916</v>
      </c>
      <c r="G58" s="584">
        <v>42916</v>
      </c>
    </row>
    <row r="59" spans="1:9" s="334" customFormat="1" ht="12" x14ac:dyDescent="0.2">
      <c r="A59" s="580" t="s">
        <v>414</v>
      </c>
      <c r="B59" s="580"/>
      <c r="C59" s="581" t="s">
        <v>415</v>
      </c>
      <c r="D59" s="582"/>
      <c r="E59" s="583">
        <v>1250</v>
      </c>
      <c r="F59" s="584">
        <v>42916</v>
      </c>
      <c r="G59" s="584">
        <v>42916</v>
      </c>
    </row>
    <row r="60" spans="1:9" s="334" customFormat="1" ht="12" x14ac:dyDescent="0.2">
      <c r="A60" s="585" t="s">
        <v>416</v>
      </c>
      <c r="B60" s="585"/>
      <c r="C60" s="581" t="s">
        <v>417</v>
      </c>
      <c r="D60" s="582"/>
      <c r="E60" s="583">
        <v>450</v>
      </c>
      <c r="F60" s="584">
        <v>42916</v>
      </c>
      <c r="G60" s="584">
        <v>42916</v>
      </c>
    </row>
    <row r="61" spans="1:9" s="334" customFormat="1" ht="12" x14ac:dyDescent="0.2">
      <c r="A61" s="586" t="s">
        <v>418</v>
      </c>
      <c r="B61" s="586"/>
      <c r="C61" s="587" t="s">
        <v>419</v>
      </c>
      <c r="D61" s="588">
        <v>1700</v>
      </c>
      <c r="E61" s="589"/>
      <c r="F61" s="584">
        <v>42916</v>
      </c>
      <c r="G61" s="584">
        <v>42916</v>
      </c>
    </row>
    <row r="62" spans="1:9" s="334" customFormat="1" ht="11.25" x14ac:dyDescent="0.2">
      <c r="A62" s="872" t="s">
        <v>169</v>
      </c>
      <c r="B62" s="873"/>
      <c r="C62" s="387"/>
      <c r="D62" s="354">
        <f>SUM(D55:D61)</f>
        <v>6700</v>
      </c>
      <c r="E62" s="354">
        <f>SUM(E55:E61)</f>
        <v>6700</v>
      </c>
      <c r="F62" s="881"/>
      <c r="G62" s="882"/>
    </row>
    <row r="63" spans="1:9" s="334" customFormat="1" ht="11.25" x14ac:dyDescent="0.2">
      <c r="C63" s="369"/>
    </row>
    <row r="64" spans="1:9" s="334" customFormat="1" ht="11.25" x14ac:dyDescent="0.2">
      <c r="A64" s="865" t="s">
        <v>327</v>
      </c>
      <c r="B64" s="865"/>
      <c r="C64" s="865"/>
      <c r="D64" s="865"/>
      <c r="E64" s="865"/>
      <c r="F64" s="865"/>
      <c r="G64" s="865"/>
      <c r="H64" s="865"/>
      <c r="I64" s="865"/>
    </row>
    <row r="65" spans="1:9" s="334" customFormat="1" ht="11.25" x14ac:dyDescent="0.2">
      <c r="A65" s="334" t="s">
        <v>420</v>
      </c>
      <c r="C65" s="369"/>
    </row>
    <row r="66" spans="1:9" s="373" customFormat="1" ht="31.5" x14ac:dyDescent="0.25">
      <c r="A66" s="866" t="s">
        <v>149</v>
      </c>
      <c r="B66" s="867"/>
      <c r="C66" s="372" t="s">
        <v>150</v>
      </c>
      <c r="D66" s="372" t="s">
        <v>151</v>
      </c>
      <c r="E66" s="372" t="s">
        <v>152</v>
      </c>
      <c r="F66" s="372" t="s">
        <v>153</v>
      </c>
      <c r="G66" s="372" t="s">
        <v>154</v>
      </c>
    </row>
    <row r="67" spans="1:9" s="334" customFormat="1" ht="11.25" customHeight="1" x14ac:dyDescent="0.2">
      <c r="A67" s="868"/>
      <c r="B67" s="869"/>
      <c r="C67" s="388"/>
      <c r="D67" s="389"/>
      <c r="E67" s="389"/>
      <c r="F67" s="390"/>
      <c r="G67" s="390"/>
    </row>
    <row r="68" spans="1:9" s="334" customFormat="1" ht="11.25" customHeight="1" x14ac:dyDescent="0.2">
      <c r="A68" s="870"/>
      <c r="B68" s="871"/>
      <c r="C68" s="433"/>
      <c r="D68" s="434"/>
      <c r="E68" s="434"/>
      <c r="F68" s="435"/>
      <c r="G68" s="435"/>
    </row>
    <row r="69" spans="1:9" s="334" customFormat="1" ht="11.25" x14ac:dyDescent="0.2">
      <c r="A69" s="872" t="s">
        <v>169</v>
      </c>
      <c r="B69" s="873"/>
      <c r="C69" s="387"/>
      <c r="D69" s="354">
        <f>SUM(D67:D68)</f>
        <v>0</v>
      </c>
      <c r="E69" s="354">
        <f>SUM(E67:E68)</f>
        <v>0</v>
      </c>
      <c r="F69" s="874"/>
      <c r="G69" s="875"/>
    </row>
    <row r="70" spans="1:9" s="334" customFormat="1" ht="11.25" x14ac:dyDescent="0.2">
      <c r="C70" s="369"/>
    </row>
    <row r="71" spans="1:9" s="340" customFormat="1" ht="11.25" x14ac:dyDescent="0.2">
      <c r="A71" s="860" t="s">
        <v>172</v>
      </c>
      <c r="B71" s="860"/>
      <c r="C71" s="860"/>
      <c r="D71" s="860"/>
      <c r="E71" s="860"/>
      <c r="F71" s="860"/>
      <c r="G71" s="860"/>
      <c r="H71" s="860"/>
      <c r="I71" s="860"/>
    </row>
    <row r="72" spans="1:9" s="334" customFormat="1" ht="11.25" x14ac:dyDescent="0.2"/>
    <row r="73" spans="1:9" s="334" customFormat="1" ht="11.25" x14ac:dyDescent="0.2">
      <c r="A73" s="857" t="s">
        <v>421</v>
      </c>
      <c r="B73" s="858"/>
      <c r="C73" s="858"/>
      <c r="D73" s="858"/>
      <c r="E73" s="858"/>
      <c r="F73" s="858"/>
      <c r="G73" s="858"/>
      <c r="H73" s="858"/>
      <c r="I73" s="859"/>
    </row>
    <row r="74" spans="1:9" s="334" customFormat="1" ht="11.25" x14ac:dyDescent="0.2">
      <c r="A74" s="857"/>
      <c r="B74" s="858"/>
      <c r="C74" s="858"/>
      <c r="D74" s="858"/>
      <c r="E74" s="858"/>
      <c r="F74" s="858"/>
      <c r="G74" s="858"/>
      <c r="H74" s="858"/>
      <c r="I74" s="859"/>
    </row>
    <row r="75" spans="1:9" s="334" customFormat="1" ht="11.25" x14ac:dyDescent="0.2">
      <c r="A75" s="857"/>
      <c r="B75" s="858"/>
      <c r="C75" s="858"/>
      <c r="D75" s="858"/>
      <c r="E75" s="858"/>
      <c r="F75" s="858"/>
      <c r="G75" s="858"/>
      <c r="H75" s="858"/>
      <c r="I75" s="859"/>
    </row>
    <row r="76" spans="1:9" s="334" customFormat="1" ht="11.25" x14ac:dyDescent="0.2"/>
    <row r="77" spans="1:9" s="333" customFormat="1" ht="10.5" x14ac:dyDescent="0.15">
      <c r="A77" s="861" t="s">
        <v>175</v>
      </c>
      <c r="B77" s="861"/>
      <c r="C77" s="861"/>
      <c r="D77" s="861"/>
      <c r="E77" s="861"/>
      <c r="F77" s="861"/>
      <c r="G77" s="861"/>
      <c r="H77" s="861"/>
      <c r="I77" s="861"/>
    </row>
    <row r="78" spans="1:9" s="334" customFormat="1" ht="11.25" x14ac:dyDescent="0.2"/>
    <row r="79" spans="1:9" s="334" customFormat="1" ht="33.75" customHeight="1" x14ac:dyDescent="0.2">
      <c r="A79" s="862" t="s">
        <v>422</v>
      </c>
      <c r="B79" s="863"/>
      <c r="C79" s="863"/>
      <c r="D79" s="863"/>
      <c r="E79" s="863"/>
      <c r="F79" s="863"/>
      <c r="G79" s="863"/>
      <c r="H79" s="863"/>
      <c r="I79" s="864"/>
    </row>
    <row r="80" spans="1:9" s="334" customFormat="1" ht="11.25" x14ac:dyDescent="0.2">
      <c r="A80" s="857" t="s">
        <v>423</v>
      </c>
      <c r="B80" s="858"/>
      <c r="C80" s="858"/>
      <c r="D80" s="858"/>
      <c r="E80" s="858"/>
      <c r="F80" s="858"/>
      <c r="G80" s="858"/>
      <c r="H80" s="858"/>
      <c r="I80" s="859"/>
    </row>
    <row r="81" spans="1:9" s="334" customFormat="1" ht="11.25" x14ac:dyDescent="0.2">
      <c r="A81" s="857"/>
      <c r="B81" s="858"/>
      <c r="C81" s="858"/>
      <c r="D81" s="858"/>
      <c r="E81" s="858"/>
      <c r="F81" s="858"/>
      <c r="G81" s="858"/>
      <c r="H81" s="858"/>
      <c r="I81" s="859"/>
    </row>
    <row r="83" spans="1:9" ht="18.75" x14ac:dyDescent="0.3">
      <c r="A83" s="391"/>
    </row>
    <row r="84" spans="1:9" ht="18.75" x14ac:dyDescent="0.3">
      <c r="A84" s="590" t="s">
        <v>424</v>
      </c>
    </row>
  </sheetData>
  <mergeCells count="68">
    <mergeCell ref="A1:I1"/>
    <mergeCell ref="A3:I3"/>
    <mergeCell ref="A5:B5"/>
    <mergeCell ref="D5:I5"/>
    <mergeCell ref="A6:B6"/>
    <mergeCell ref="D6:I6"/>
    <mergeCell ref="A19:I19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D34:I34"/>
    <mergeCell ref="D21:I21"/>
    <mergeCell ref="A22:A24"/>
    <mergeCell ref="D22:I22"/>
    <mergeCell ref="D23:I23"/>
    <mergeCell ref="D24:I24"/>
    <mergeCell ref="A25:A27"/>
    <mergeCell ref="D25:I25"/>
    <mergeCell ref="D26:I26"/>
    <mergeCell ref="D27:I27"/>
    <mergeCell ref="A28:A29"/>
    <mergeCell ref="D28:I28"/>
    <mergeCell ref="D29:I29"/>
    <mergeCell ref="C30:I30"/>
    <mergeCell ref="A32:I32"/>
    <mergeCell ref="A35:A37"/>
    <mergeCell ref="D35:I35"/>
    <mergeCell ref="D36:I36"/>
    <mergeCell ref="D37:I37"/>
    <mergeCell ref="A38:A40"/>
    <mergeCell ref="D38:I38"/>
    <mergeCell ref="D39:I39"/>
    <mergeCell ref="D40:I40"/>
    <mergeCell ref="A62:B62"/>
    <mergeCell ref="F62:G62"/>
    <mergeCell ref="A41:A42"/>
    <mergeCell ref="D41:I41"/>
    <mergeCell ref="D42:I42"/>
    <mergeCell ref="C43:I43"/>
    <mergeCell ref="A45:I45"/>
    <mergeCell ref="C47:I47"/>
    <mergeCell ref="C48:I48"/>
    <mergeCell ref="C49:I49"/>
    <mergeCell ref="C50:I50"/>
    <mergeCell ref="A52:I52"/>
    <mergeCell ref="A54:B54"/>
    <mergeCell ref="A64:I64"/>
    <mergeCell ref="A66:B66"/>
    <mergeCell ref="A67:B67"/>
    <mergeCell ref="A68:B68"/>
    <mergeCell ref="A69:B69"/>
    <mergeCell ref="F69:G69"/>
    <mergeCell ref="A80:I80"/>
    <mergeCell ref="A81:I81"/>
    <mergeCell ref="A71:I71"/>
    <mergeCell ref="A73:I73"/>
    <mergeCell ref="A74:I74"/>
    <mergeCell ref="A75:I75"/>
    <mergeCell ref="A77:I77"/>
    <mergeCell ref="A79:I79"/>
  </mergeCells>
  <pageMargins left="0.70866141732283472" right="0.70866141732283472" top="0.78740157480314965" bottom="0.78740157480314965" header="0.31496062992125984" footer="0.31496062992125984"/>
  <pageSetup paperSize="9" scale="54" firstPageNumber="58" fitToHeight="3" orientation="portrait" useFirstPageNumber="1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5"/>
  <sheetViews>
    <sheetView workbookViewId="0">
      <selection sqref="A1:XFD1048576"/>
    </sheetView>
  </sheetViews>
  <sheetFormatPr defaultColWidth="9.140625"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8.75" x14ac:dyDescent="0.3">
      <c r="A1" s="983" t="s">
        <v>535</v>
      </c>
      <c r="B1" s="936"/>
      <c r="C1" s="936"/>
      <c r="D1" s="936"/>
      <c r="E1" s="936"/>
      <c r="F1" s="936"/>
      <c r="G1" s="936"/>
      <c r="H1" s="936"/>
      <c r="I1" s="936"/>
    </row>
    <row r="3" spans="1:14" s="333" customFormat="1" ht="23.25" customHeight="1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21.75" customHeight="1" x14ac:dyDescent="0.2">
      <c r="A5" s="920" t="s">
        <v>105</v>
      </c>
      <c r="B5" s="921"/>
      <c r="C5" s="335" t="s">
        <v>16</v>
      </c>
      <c r="D5" s="902" t="s">
        <v>536</v>
      </c>
      <c r="E5" s="902"/>
      <c r="F5" s="902"/>
      <c r="G5" s="902"/>
      <c r="H5" s="902"/>
      <c r="I5" s="902"/>
    </row>
    <row r="6" spans="1:14" s="334" customFormat="1" ht="19.5" customHeight="1" x14ac:dyDescent="0.2">
      <c r="A6" s="911" t="s">
        <v>107</v>
      </c>
      <c r="B6" s="912"/>
      <c r="C6" s="337">
        <v>1321484.1000000001</v>
      </c>
      <c r="D6" s="913" t="s">
        <v>537</v>
      </c>
      <c r="E6" s="913"/>
      <c r="F6" s="913"/>
      <c r="G6" s="913"/>
      <c r="H6" s="913"/>
      <c r="I6" s="913"/>
    </row>
    <row r="7" spans="1:14" s="338" customFormat="1" ht="18.75" customHeight="1" x14ac:dyDescent="0.15">
      <c r="A7" s="911" t="s">
        <v>92</v>
      </c>
      <c r="B7" s="912"/>
      <c r="C7" s="337">
        <v>62617.36</v>
      </c>
      <c r="D7" s="913" t="s">
        <v>538</v>
      </c>
      <c r="E7" s="913"/>
      <c r="F7" s="913"/>
      <c r="G7" s="913"/>
      <c r="H7" s="913"/>
      <c r="I7" s="913"/>
    </row>
    <row r="8" spans="1:14" s="338" customFormat="1" ht="19.5" customHeight="1" x14ac:dyDescent="0.15">
      <c r="A8" s="911" t="s">
        <v>110</v>
      </c>
      <c r="B8" s="912"/>
      <c r="C8" s="337">
        <v>0</v>
      </c>
      <c r="D8" s="915"/>
      <c r="E8" s="916"/>
      <c r="F8" s="916"/>
      <c r="G8" s="916"/>
      <c r="H8" s="916"/>
      <c r="I8" s="917"/>
    </row>
    <row r="9" spans="1:14" s="338" customFormat="1" ht="13.9" customHeight="1" x14ac:dyDescent="0.15">
      <c r="A9" s="1167" t="s">
        <v>539</v>
      </c>
      <c r="B9" s="1167"/>
      <c r="C9" s="1167"/>
      <c r="D9" s="1167"/>
      <c r="E9" s="1167"/>
      <c r="F9" s="1167"/>
      <c r="G9" s="1167"/>
      <c r="H9" s="1167"/>
      <c r="I9" s="1167"/>
    </row>
    <row r="10" spans="1:14" s="338" customFormat="1" ht="13.9" customHeight="1" x14ac:dyDescent="0.15">
      <c r="A10" s="1168" t="s">
        <v>540</v>
      </c>
      <c r="B10" s="1168"/>
      <c r="C10" s="1168"/>
      <c r="D10" s="1168"/>
      <c r="E10" s="1168"/>
      <c r="F10" s="1168"/>
      <c r="G10" s="1168"/>
      <c r="H10" s="1168"/>
      <c r="I10" s="1168"/>
    </row>
    <row r="11" spans="1:14" s="334" customFormat="1" ht="11.25" x14ac:dyDescent="0.2">
      <c r="C11" s="339"/>
    </row>
    <row r="12" spans="1:14" s="340" customFormat="1" ht="31.5" customHeight="1" x14ac:dyDescent="0.2">
      <c r="A12" s="861" t="s">
        <v>111</v>
      </c>
      <c r="B12" s="861"/>
      <c r="C12" s="861"/>
      <c r="D12" s="861"/>
      <c r="E12" s="861"/>
      <c r="F12" s="861"/>
      <c r="G12" s="861"/>
      <c r="H12" s="861"/>
      <c r="I12" s="861"/>
    </row>
    <row r="13" spans="1:14" s="342" customFormat="1" ht="19.5" x14ac:dyDescent="0.15">
      <c r="A13" s="341" t="s">
        <v>112</v>
      </c>
      <c r="B13" s="341" t="s">
        <v>113</v>
      </c>
      <c r="C13" s="341" t="s">
        <v>114</v>
      </c>
      <c r="D13" s="341" t="s">
        <v>115</v>
      </c>
      <c r="E13" s="341" t="s">
        <v>116</v>
      </c>
      <c r="F13" s="341" t="s">
        <v>541</v>
      </c>
      <c r="G13" s="918" t="s">
        <v>118</v>
      </c>
      <c r="H13" s="918"/>
      <c r="I13" s="918"/>
    </row>
    <row r="14" spans="1:14" s="334" customFormat="1" ht="23.45" customHeight="1" x14ac:dyDescent="0.2">
      <c r="A14" s="497" t="s">
        <v>542</v>
      </c>
      <c r="B14" s="649">
        <v>52771.97</v>
      </c>
      <c r="C14" s="649">
        <v>106610.15</v>
      </c>
      <c r="D14" s="649">
        <v>19990</v>
      </c>
      <c r="E14" s="649">
        <v>139392.12</v>
      </c>
      <c r="F14" s="650">
        <v>139392.12</v>
      </c>
      <c r="G14" s="904" t="s">
        <v>543</v>
      </c>
      <c r="H14" s="905"/>
      <c r="I14" s="1165"/>
    </row>
    <row r="15" spans="1:14" s="334" customFormat="1" ht="23.45" customHeight="1" x14ac:dyDescent="0.2">
      <c r="A15" s="497" t="s">
        <v>544</v>
      </c>
      <c r="B15" s="649">
        <v>0</v>
      </c>
      <c r="C15" s="649">
        <v>39900</v>
      </c>
      <c r="D15" s="649">
        <v>39900</v>
      </c>
      <c r="E15" s="649">
        <v>0</v>
      </c>
      <c r="F15" s="650">
        <v>0</v>
      </c>
      <c r="G15" s="1054" t="s">
        <v>545</v>
      </c>
      <c r="H15" s="863"/>
      <c r="I15" s="1166"/>
    </row>
    <row r="16" spans="1:14" s="334" customFormat="1" ht="33" customHeight="1" x14ac:dyDescent="0.2">
      <c r="A16" s="502" t="s">
        <v>214</v>
      </c>
      <c r="B16" s="651">
        <v>605471.02</v>
      </c>
      <c r="C16" s="651">
        <v>2008736</v>
      </c>
      <c r="D16" s="651">
        <v>565332</v>
      </c>
      <c r="E16" s="651">
        <v>2048875.02</v>
      </c>
      <c r="F16" s="652">
        <v>2048875.02</v>
      </c>
      <c r="G16" s="862" t="s">
        <v>546</v>
      </c>
      <c r="H16" s="863"/>
      <c r="I16" s="1166"/>
      <c r="N16" s="349"/>
    </row>
    <row r="17" spans="1:9" s="334" customFormat="1" ht="27" customHeight="1" x14ac:dyDescent="0.2">
      <c r="A17" s="502" t="s">
        <v>191</v>
      </c>
      <c r="B17" s="651">
        <v>60187</v>
      </c>
      <c r="C17" s="651">
        <v>10000</v>
      </c>
      <c r="D17" s="651">
        <v>7200</v>
      </c>
      <c r="E17" s="651">
        <v>62987</v>
      </c>
      <c r="F17" s="652">
        <v>62987</v>
      </c>
      <c r="G17" s="862" t="s">
        <v>547</v>
      </c>
      <c r="H17" s="863"/>
      <c r="I17" s="1166"/>
    </row>
    <row r="18" spans="1:9" s="334" customFormat="1" ht="43.5" customHeight="1" x14ac:dyDescent="0.2">
      <c r="A18" s="505" t="s">
        <v>193</v>
      </c>
      <c r="B18" s="653">
        <v>318744.03999999998</v>
      </c>
      <c r="C18" s="653">
        <v>273351</v>
      </c>
      <c r="D18" s="653">
        <v>177821</v>
      </c>
      <c r="E18" s="653">
        <v>414274.04</v>
      </c>
      <c r="F18" s="654">
        <v>365780.04</v>
      </c>
      <c r="G18" s="907" t="s">
        <v>548</v>
      </c>
      <c r="H18" s="908"/>
      <c r="I18" s="1163"/>
    </row>
    <row r="19" spans="1:9" s="334" customFormat="1" ht="18" customHeight="1" x14ac:dyDescent="0.2">
      <c r="A19" s="353" t="s">
        <v>90</v>
      </c>
      <c r="B19" s="354">
        <f>SUM(B14:B18)</f>
        <v>1037174.03</v>
      </c>
      <c r="C19" s="354">
        <f t="shared" ref="C19:F19" si="0">SUM(C14:C18)</f>
        <v>2438597.15</v>
      </c>
      <c r="D19" s="354">
        <f t="shared" si="0"/>
        <v>810243</v>
      </c>
      <c r="E19" s="354">
        <f t="shared" si="0"/>
        <v>2665528.1800000002</v>
      </c>
      <c r="F19" s="354">
        <f t="shared" si="0"/>
        <v>2617034.1800000002</v>
      </c>
      <c r="G19" s="910"/>
      <c r="H19" s="910"/>
      <c r="I19" s="910"/>
    </row>
    <row r="20" spans="1:9" s="334" customFormat="1" ht="11.25" x14ac:dyDescent="0.2">
      <c r="A20" s="655"/>
      <c r="B20" s="656"/>
      <c r="C20" s="656"/>
      <c r="D20" s="656"/>
      <c r="E20" s="656"/>
      <c r="F20" s="656"/>
      <c r="G20" s="657"/>
      <c r="H20" s="657"/>
      <c r="I20" s="657"/>
    </row>
    <row r="21" spans="1:9" s="334" customFormat="1" ht="11.25" x14ac:dyDescent="0.2">
      <c r="A21" s="1164" t="s">
        <v>549</v>
      </c>
      <c r="B21" s="1164"/>
      <c r="C21" s="1164"/>
      <c r="D21" s="1164"/>
      <c r="E21" s="1164"/>
      <c r="F21" s="1164"/>
      <c r="G21" s="1164"/>
      <c r="H21" s="1164"/>
      <c r="I21" s="1164"/>
    </row>
    <row r="22" spans="1:9" s="334" customFormat="1" ht="21" customHeight="1" x14ac:dyDescent="0.2">
      <c r="A22" s="1164" t="s">
        <v>550</v>
      </c>
      <c r="B22" s="1164"/>
      <c r="C22" s="1164"/>
      <c r="D22" s="1164"/>
      <c r="E22" s="1164"/>
      <c r="F22" s="1164"/>
      <c r="G22" s="1164"/>
      <c r="H22" s="1164"/>
      <c r="I22" s="1164"/>
    </row>
    <row r="23" spans="1:9" s="334" customFormat="1" ht="11.25" x14ac:dyDescent="0.2">
      <c r="A23" s="658" t="s">
        <v>551</v>
      </c>
      <c r="B23" s="659" t="s">
        <v>552</v>
      </c>
      <c r="C23" s="660"/>
      <c r="D23" s="660"/>
      <c r="E23" s="660"/>
      <c r="F23" s="660"/>
      <c r="G23" s="661"/>
      <c r="H23" s="661"/>
      <c r="I23" s="661"/>
    </row>
    <row r="24" spans="1:9" s="334" customFormat="1" ht="11.25" x14ac:dyDescent="0.2">
      <c r="A24" s="658" t="s">
        <v>553</v>
      </c>
      <c r="B24" s="659" t="s">
        <v>554</v>
      </c>
      <c r="C24" s="660"/>
      <c r="D24" s="660"/>
      <c r="E24" s="660"/>
      <c r="F24" s="660"/>
      <c r="G24" s="661"/>
      <c r="H24" s="661"/>
      <c r="I24" s="661"/>
    </row>
    <row r="25" spans="1:9" s="334" customFormat="1" ht="11.25" x14ac:dyDescent="0.2">
      <c r="A25" s="658"/>
      <c r="B25" s="659"/>
      <c r="C25" s="660"/>
      <c r="D25" s="660"/>
      <c r="E25" s="660"/>
      <c r="F25" s="660"/>
      <c r="G25" s="661"/>
      <c r="H25" s="661"/>
      <c r="I25" s="661"/>
    </row>
    <row r="26" spans="1:9" s="334" customFormat="1" ht="11.25" x14ac:dyDescent="0.2">
      <c r="A26" s="658"/>
      <c r="B26" s="659"/>
      <c r="C26" s="660"/>
      <c r="D26" s="660"/>
      <c r="E26" s="660"/>
      <c r="F26" s="660"/>
      <c r="G26" s="661"/>
      <c r="H26" s="661"/>
      <c r="I26" s="661"/>
    </row>
    <row r="27" spans="1:9" s="334" customFormat="1" ht="11.25" x14ac:dyDescent="0.2">
      <c r="A27" s="658"/>
      <c r="B27" s="659"/>
      <c r="C27" s="660"/>
      <c r="D27" s="660"/>
      <c r="E27" s="660"/>
      <c r="F27" s="660"/>
      <c r="G27" s="661"/>
      <c r="H27" s="661"/>
      <c r="I27" s="661"/>
    </row>
    <row r="28" spans="1:9" s="355" customFormat="1" ht="11.25" x14ac:dyDescent="0.2">
      <c r="C28" s="356"/>
    </row>
    <row r="29" spans="1:9" s="340" customFormat="1" ht="11.25" x14ac:dyDescent="0.2">
      <c r="A29" s="861" t="s">
        <v>129</v>
      </c>
      <c r="B29" s="861"/>
      <c r="C29" s="861"/>
      <c r="D29" s="861"/>
      <c r="E29" s="861"/>
      <c r="F29" s="861"/>
      <c r="G29" s="861"/>
      <c r="H29" s="861"/>
      <c r="I29" s="861"/>
    </row>
    <row r="30" spans="1:9" s="334" customFormat="1" ht="11.25" x14ac:dyDescent="0.2">
      <c r="C30" s="339"/>
    </row>
    <row r="31" spans="1:9" s="334" customFormat="1" ht="11.25" x14ac:dyDescent="0.2">
      <c r="A31" s="662" t="s">
        <v>130</v>
      </c>
      <c r="B31" s="335" t="s">
        <v>16</v>
      </c>
      <c r="C31" s="357" t="s">
        <v>131</v>
      </c>
      <c r="D31" s="902" t="s">
        <v>132</v>
      </c>
      <c r="E31" s="902"/>
      <c r="F31" s="902"/>
      <c r="G31" s="902"/>
      <c r="H31" s="902"/>
      <c r="I31" s="902"/>
    </row>
    <row r="32" spans="1:9" s="334" customFormat="1" ht="11.25" customHeight="1" x14ac:dyDescent="0.2">
      <c r="A32" s="1064" t="s">
        <v>555</v>
      </c>
      <c r="B32" s="358">
        <v>2483</v>
      </c>
      <c r="C32" s="663" t="s">
        <v>556</v>
      </c>
      <c r="D32" s="904" t="s">
        <v>557</v>
      </c>
      <c r="E32" s="905"/>
      <c r="F32" s="905"/>
      <c r="G32" s="905"/>
      <c r="H32" s="905"/>
      <c r="I32" s="906"/>
    </row>
    <row r="33" spans="1:10" s="334" customFormat="1" ht="11.25" customHeight="1" x14ac:dyDescent="0.2">
      <c r="A33" s="883"/>
      <c r="B33" s="362">
        <v>2218</v>
      </c>
      <c r="C33" s="664" t="s">
        <v>558</v>
      </c>
      <c r="D33" s="862" t="s">
        <v>559</v>
      </c>
      <c r="E33" s="863"/>
      <c r="F33" s="863"/>
      <c r="G33" s="863"/>
      <c r="H33" s="863"/>
      <c r="I33" s="864"/>
    </row>
    <row r="34" spans="1:10" s="334" customFormat="1" ht="11.25" customHeight="1" x14ac:dyDescent="0.2">
      <c r="A34" s="884"/>
      <c r="B34" s="362">
        <v>0</v>
      </c>
      <c r="C34" s="665"/>
      <c r="D34" s="1160" t="s">
        <v>560</v>
      </c>
      <c r="E34" s="1161"/>
      <c r="F34" s="1161"/>
      <c r="G34" s="1161"/>
      <c r="H34" s="1161"/>
      <c r="I34" s="1161"/>
      <c r="J34" s="1161"/>
    </row>
    <row r="35" spans="1:10" s="334" customFormat="1" ht="11.25" customHeight="1" x14ac:dyDescent="0.2">
      <c r="A35" s="666" t="s">
        <v>90</v>
      </c>
      <c r="B35" s="366">
        <f>SUM(B32:B34)</f>
        <v>4701</v>
      </c>
      <c r="C35" s="900"/>
      <c r="D35" s="900"/>
      <c r="E35" s="900"/>
      <c r="F35" s="900"/>
      <c r="G35" s="900"/>
      <c r="H35" s="900"/>
      <c r="I35" s="901"/>
    </row>
    <row r="36" spans="1:10" s="334" customFormat="1" ht="11.25" customHeight="1" x14ac:dyDescent="0.2">
      <c r="A36" s="667"/>
      <c r="B36" s="668"/>
      <c r="C36" s="669"/>
      <c r="D36" s="669"/>
      <c r="E36" s="669"/>
      <c r="F36" s="669"/>
      <c r="G36" s="669"/>
      <c r="H36" s="669"/>
      <c r="I36" s="669"/>
    </row>
    <row r="37" spans="1:10" s="334" customFormat="1" ht="11.25" customHeight="1" x14ac:dyDescent="0.2">
      <c r="A37" s="1162" t="s">
        <v>561</v>
      </c>
      <c r="B37" s="1162"/>
      <c r="C37" s="1162"/>
      <c r="D37" s="1162"/>
      <c r="E37" s="1162"/>
      <c r="F37" s="1162"/>
      <c r="G37" s="1162"/>
      <c r="H37" s="670"/>
      <c r="I37" s="670"/>
    </row>
    <row r="38" spans="1:10" s="334" customFormat="1" ht="11.25" customHeight="1" x14ac:dyDescent="0.2">
      <c r="A38" s="671"/>
      <c r="B38" s="672"/>
      <c r="C38" s="670"/>
      <c r="D38" s="670"/>
      <c r="E38" s="670"/>
      <c r="F38" s="670"/>
      <c r="G38" s="670"/>
      <c r="H38" s="670"/>
      <c r="I38" s="670"/>
    </row>
    <row r="39" spans="1:10" s="334" customFormat="1" ht="11.25" customHeight="1" x14ac:dyDescent="0.2">
      <c r="A39" s="355"/>
      <c r="B39" s="355"/>
      <c r="C39" s="356"/>
      <c r="D39" s="355"/>
      <c r="E39" s="355"/>
      <c r="F39" s="355"/>
      <c r="G39" s="355"/>
      <c r="H39" s="355"/>
      <c r="I39" s="355"/>
    </row>
    <row r="40" spans="1:10" s="334" customFormat="1" ht="11.25" customHeight="1" x14ac:dyDescent="0.2">
      <c r="A40" s="861" t="s">
        <v>140</v>
      </c>
      <c r="B40" s="861"/>
      <c r="C40" s="861"/>
      <c r="D40" s="861"/>
      <c r="E40" s="861"/>
      <c r="F40" s="861"/>
      <c r="G40" s="861"/>
      <c r="H40" s="861"/>
      <c r="I40" s="861"/>
    </row>
    <row r="41" spans="1:10" s="334" customFormat="1" ht="11.25" customHeight="1" x14ac:dyDescent="0.2">
      <c r="C41" s="339"/>
    </row>
    <row r="42" spans="1:10" s="334" customFormat="1" ht="11.25" customHeight="1" x14ac:dyDescent="0.2">
      <c r="A42" s="335" t="s">
        <v>130</v>
      </c>
      <c r="B42" s="335" t="s">
        <v>16</v>
      </c>
      <c r="C42" s="357" t="s">
        <v>131</v>
      </c>
      <c r="D42" s="902" t="s">
        <v>141</v>
      </c>
      <c r="E42" s="902"/>
      <c r="F42" s="902"/>
      <c r="G42" s="902"/>
      <c r="H42" s="902"/>
      <c r="I42" s="903"/>
    </row>
    <row r="43" spans="1:10" s="334" customFormat="1" ht="11.25" customHeight="1" x14ac:dyDescent="0.2">
      <c r="A43" s="673"/>
      <c r="B43" s="358"/>
      <c r="C43" s="368"/>
      <c r="D43" s="897"/>
      <c r="E43" s="898"/>
      <c r="F43" s="898"/>
      <c r="G43" s="898"/>
      <c r="H43" s="898"/>
      <c r="I43" s="1155"/>
    </row>
    <row r="44" spans="1:10" s="334" customFormat="1" ht="11.25" customHeight="1" x14ac:dyDescent="0.2">
      <c r="A44" s="1156" t="s">
        <v>382</v>
      </c>
      <c r="B44" s="1157"/>
      <c r="C44" s="1157"/>
      <c r="D44" s="1157"/>
      <c r="E44" s="1157"/>
      <c r="F44" s="1157"/>
      <c r="G44" s="1157"/>
      <c r="H44" s="1157"/>
      <c r="I44" s="1158"/>
    </row>
    <row r="45" spans="1:10" s="334" customFormat="1" ht="11.25" customHeight="1" x14ac:dyDescent="0.2">
      <c r="A45" s="674"/>
      <c r="B45" s="675"/>
      <c r="C45" s="675"/>
      <c r="D45" s="888"/>
      <c r="E45" s="889"/>
      <c r="F45" s="889"/>
      <c r="G45" s="889"/>
      <c r="H45" s="889"/>
      <c r="I45" s="1159"/>
    </row>
    <row r="46" spans="1:10" s="334" customFormat="1" ht="11.25" customHeight="1" x14ac:dyDescent="0.2">
      <c r="A46" s="365" t="s">
        <v>90</v>
      </c>
      <c r="B46" s="366">
        <f>SUM(B43:B45)</f>
        <v>0</v>
      </c>
      <c r="C46" s="891"/>
      <c r="D46" s="891"/>
      <c r="E46" s="891"/>
      <c r="F46" s="891"/>
      <c r="G46" s="891"/>
      <c r="H46" s="891"/>
      <c r="I46" s="891"/>
    </row>
    <row r="47" spans="1:10" s="334" customFormat="1" ht="11.25" customHeight="1" x14ac:dyDescent="0.2">
      <c r="C47" s="339"/>
    </row>
    <row r="48" spans="1:10" s="334" customFormat="1" ht="11.25" customHeight="1" x14ac:dyDescent="0.2">
      <c r="A48" s="861" t="s">
        <v>143</v>
      </c>
      <c r="B48" s="861"/>
      <c r="C48" s="861"/>
      <c r="D48" s="861"/>
      <c r="E48" s="861"/>
      <c r="F48" s="861"/>
      <c r="G48" s="861"/>
      <c r="H48" s="861"/>
      <c r="I48" s="861"/>
    </row>
    <row r="49" spans="1:9" s="338" customFormat="1" ht="11.25" x14ac:dyDescent="0.2">
      <c r="A49" s="334"/>
      <c r="B49" s="334"/>
      <c r="C49" s="369"/>
      <c r="D49" s="334"/>
      <c r="E49" s="334"/>
      <c r="F49" s="334"/>
      <c r="G49" s="334"/>
      <c r="H49" s="334"/>
      <c r="I49" s="334"/>
    </row>
    <row r="50" spans="1:9" s="334" customFormat="1" ht="11.25" customHeight="1" x14ac:dyDescent="0.2">
      <c r="A50" s="335" t="s">
        <v>562</v>
      </c>
      <c r="B50" s="357" t="s">
        <v>563</v>
      </c>
      <c r="C50" s="892" t="s">
        <v>146</v>
      </c>
      <c r="D50" s="892"/>
      <c r="E50" s="892"/>
      <c r="F50" s="892"/>
      <c r="G50" s="892"/>
      <c r="H50" s="892"/>
      <c r="I50" s="892"/>
    </row>
    <row r="51" spans="1:9" s="334" customFormat="1" ht="11.25" customHeight="1" x14ac:dyDescent="0.2">
      <c r="A51" s="676">
        <v>39900</v>
      </c>
      <c r="B51" s="370">
        <v>39900</v>
      </c>
      <c r="C51" s="934" t="s">
        <v>564</v>
      </c>
      <c r="D51" s="934"/>
      <c r="E51" s="934"/>
      <c r="F51" s="934"/>
      <c r="G51" s="934"/>
      <c r="H51" s="934"/>
      <c r="I51" s="1152"/>
    </row>
    <row r="52" spans="1:9" s="334" customFormat="1" ht="11.25" customHeight="1" x14ac:dyDescent="0.2">
      <c r="A52" s="677"/>
      <c r="B52" s="462"/>
      <c r="C52" s="1081"/>
      <c r="D52" s="877"/>
      <c r="E52" s="877"/>
      <c r="F52" s="877"/>
      <c r="G52" s="877"/>
      <c r="H52" s="877"/>
      <c r="I52" s="1153"/>
    </row>
    <row r="53" spans="1:9" s="334" customFormat="1" ht="11.25" customHeight="1" x14ac:dyDescent="0.2">
      <c r="A53" s="371">
        <f>SUM(A51:A52)</f>
        <v>39900</v>
      </c>
      <c r="B53" s="371">
        <f>SUM(B51:B52)</f>
        <v>39900</v>
      </c>
      <c r="C53" s="878" t="s">
        <v>90</v>
      </c>
      <c r="D53" s="879"/>
      <c r="E53" s="879"/>
      <c r="F53" s="879"/>
      <c r="G53" s="879"/>
      <c r="H53" s="879"/>
      <c r="I53" s="1154"/>
    </row>
    <row r="54" spans="1:9" s="334" customFormat="1" ht="11.25" customHeight="1" x14ac:dyDescent="0.2">
      <c r="C54" s="369"/>
    </row>
    <row r="55" spans="1:9" s="334" customFormat="1" ht="18.75" customHeight="1" x14ac:dyDescent="0.2">
      <c r="A55" s="861" t="s">
        <v>148</v>
      </c>
      <c r="B55" s="865"/>
      <c r="C55" s="865"/>
      <c r="D55" s="865"/>
      <c r="E55" s="865"/>
      <c r="F55" s="865"/>
      <c r="G55" s="865"/>
      <c r="H55" s="865"/>
      <c r="I55" s="865"/>
    </row>
    <row r="56" spans="1:9" s="334" customFormat="1" ht="11.25" customHeight="1" x14ac:dyDescent="0.2">
      <c r="C56" s="369"/>
    </row>
    <row r="57" spans="1:9" s="334" customFormat="1" ht="27" customHeight="1" x14ac:dyDescent="0.25">
      <c r="A57" s="866" t="s">
        <v>149</v>
      </c>
      <c r="B57" s="867"/>
      <c r="C57" s="372" t="s">
        <v>150</v>
      </c>
      <c r="D57" s="372" t="s">
        <v>151</v>
      </c>
      <c r="E57" s="372" t="s">
        <v>152</v>
      </c>
      <c r="F57" s="372" t="s">
        <v>153</v>
      </c>
      <c r="G57" s="372" t="s">
        <v>154</v>
      </c>
      <c r="H57" s="373"/>
      <c r="I57" s="373"/>
    </row>
    <row r="58" spans="1:9" s="334" customFormat="1" ht="11.25" customHeight="1" x14ac:dyDescent="0.2">
      <c r="A58" s="1095" t="s">
        <v>565</v>
      </c>
      <c r="B58" s="1139"/>
      <c r="C58" s="678" t="s">
        <v>566</v>
      </c>
      <c r="D58" s="679"/>
      <c r="E58" s="679">
        <v>9064</v>
      </c>
      <c r="F58" s="680">
        <v>42773</v>
      </c>
      <c r="G58" s="681">
        <v>42780</v>
      </c>
    </row>
    <row r="59" spans="1:9" s="334" customFormat="1" ht="11.25" customHeight="1" x14ac:dyDescent="0.2">
      <c r="A59" s="682"/>
      <c r="B59" s="683"/>
      <c r="C59" s="684" t="s">
        <v>567</v>
      </c>
      <c r="D59" s="685"/>
      <c r="E59" s="685">
        <v>936</v>
      </c>
      <c r="F59" s="686"/>
      <c r="G59" s="687"/>
    </row>
    <row r="60" spans="1:9" s="338" customFormat="1" ht="12" x14ac:dyDescent="0.2">
      <c r="A60" s="1144" t="s">
        <v>568</v>
      </c>
      <c r="B60" s="1145"/>
      <c r="C60" s="688" t="s">
        <v>569</v>
      </c>
      <c r="D60" s="689">
        <v>10000</v>
      </c>
      <c r="E60" s="689"/>
      <c r="F60" s="690"/>
      <c r="G60" s="691"/>
      <c r="H60" s="334"/>
      <c r="I60" s="334"/>
    </row>
    <row r="61" spans="1:9" s="334" customFormat="1" ht="12" x14ac:dyDescent="0.2">
      <c r="A61" s="1095" t="s">
        <v>565</v>
      </c>
      <c r="B61" s="1139"/>
      <c r="C61" s="678" t="s">
        <v>326</v>
      </c>
      <c r="D61" s="679"/>
      <c r="E61" s="679">
        <v>280000</v>
      </c>
      <c r="F61" s="680"/>
      <c r="G61" s="681"/>
    </row>
    <row r="62" spans="1:9" s="340" customFormat="1" ht="12" x14ac:dyDescent="0.2">
      <c r="A62" s="1140" t="s">
        <v>570</v>
      </c>
      <c r="B62" s="1141"/>
      <c r="C62" s="684" t="s">
        <v>569</v>
      </c>
      <c r="D62" s="685">
        <v>280000</v>
      </c>
      <c r="E62" s="685"/>
      <c r="F62" s="686">
        <v>42853</v>
      </c>
      <c r="G62" s="687">
        <v>42853</v>
      </c>
      <c r="H62" s="334"/>
      <c r="I62" s="334"/>
    </row>
    <row r="63" spans="1:9" s="334" customFormat="1" ht="12" x14ac:dyDescent="0.2">
      <c r="A63" s="682" t="s">
        <v>571</v>
      </c>
      <c r="B63" s="683"/>
      <c r="C63" s="688"/>
      <c r="D63" s="689"/>
      <c r="E63" s="689"/>
      <c r="F63" s="690"/>
      <c r="G63" s="691"/>
    </row>
    <row r="64" spans="1:9" s="334" customFormat="1" ht="12" x14ac:dyDescent="0.2">
      <c r="A64" s="1095" t="s">
        <v>565</v>
      </c>
      <c r="B64" s="1139"/>
      <c r="C64" s="678" t="s">
        <v>326</v>
      </c>
      <c r="D64" s="692"/>
      <c r="E64" s="693">
        <v>350000</v>
      </c>
      <c r="F64" s="680"/>
      <c r="G64" s="681"/>
    </row>
    <row r="65" spans="1:9" s="334" customFormat="1" ht="12" x14ac:dyDescent="0.2">
      <c r="A65" s="682" t="s">
        <v>572</v>
      </c>
      <c r="B65" s="683"/>
      <c r="C65" s="684" t="s">
        <v>200</v>
      </c>
      <c r="D65" s="503"/>
      <c r="E65" s="694">
        <v>30000</v>
      </c>
      <c r="F65" s="686"/>
      <c r="G65" s="687"/>
    </row>
    <row r="66" spans="1:9" s="334" customFormat="1" ht="12" x14ac:dyDescent="0.2">
      <c r="A66" s="1140" t="s">
        <v>573</v>
      </c>
      <c r="B66" s="1141"/>
      <c r="C66" s="684" t="s">
        <v>574</v>
      </c>
      <c r="D66" s="503"/>
      <c r="E66" s="694">
        <v>90000</v>
      </c>
      <c r="F66" s="686">
        <v>42878</v>
      </c>
      <c r="G66" s="687">
        <v>42891</v>
      </c>
    </row>
    <row r="67" spans="1:9" s="338" customFormat="1" ht="12" x14ac:dyDescent="0.2">
      <c r="A67" s="1149"/>
      <c r="B67" s="1150"/>
      <c r="C67" s="688" t="s">
        <v>569</v>
      </c>
      <c r="D67" s="695">
        <v>470000</v>
      </c>
      <c r="E67" s="696"/>
      <c r="F67" s="690"/>
      <c r="G67" s="691"/>
      <c r="H67" s="334"/>
      <c r="I67" s="334"/>
    </row>
    <row r="68" spans="1:9" s="334" customFormat="1" ht="12" x14ac:dyDescent="0.2">
      <c r="A68" s="1095" t="s">
        <v>565</v>
      </c>
      <c r="B68" s="1139"/>
      <c r="C68" s="678" t="s">
        <v>575</v>
      </c>
      <c r="D68" s="679"/>
      <c r="E68" s="697">
        <v>92000</v>
      </c>
      <c r="F68" s="680">
        <v>42892</v>
      </c>
      <c r="G68" s="681">
        <v>42893</v>
      </c>
    </row>
    <row r="69" spans="1:9" s="334" customFormat="1" ht="12" x14ac:dyDescent="0.2">
      <c r="A69" s="1140" t="s">
        <v>576</v>
      </c>
      <c r="B69" s="1141"/>
      <c r="C69" s="684" t="s">
        <v>569</v>
      </c>
      <c r="D69" s="685">
        <v>92000</v>
      </c>
      <c r="E69" s="698"/>
      <c r="F69" s="686"/>
      <c r="G69" s="687"/>
    </row>
    <row r="70" spans="1:9" s="334" customFormat="1" ht="12" x14ac:dyDescent="0.2">
      <c r="A70" s="1140"/>
      <c r="B70" s="1151"/>
      <c r="C70" s="699"/>
      <c r="D70" s="700"/>
      <c r="E70" s="701"/>
      <c r="F70" s="702"/>
      <c r="G70" s="703"/>
    </row>
    <row r="71" spans="1:9" s="373" customFormat="1" ht="15" x14ac:dyDescent="0.25">
      <c r="A71" s="1095" t="s">
        <v>577</v>
      </c>
      <c r="B71" s="1139"/>
      <c r="C71" s="678" t="s">
        <v>326</v>
      </c>
      <c r="D71" s="679"/>
      <c r="E71" s="697">
        <v>480000</v>
      </c>
      <c r="F71" s="680">
        <v>42892</v>
      </c>
      <c r="G71" s="681">
        <v>42893</v>
      </c>
      <c r="H71" s="334"/>
      <c r="I71" s="334"/>
    </row>
    <row r="72" spans="1:9" s="334" customFormat="1" ht="12" x14ac:dyDescent="0.2">
      <c r="A72" s="1140" t="s">
        <v>578</v>
      </c>
      <c r="B72" s="1148"/>
      <c r="C72" s="684" t="s">
        <v>569</v>
      </c>
      <c r="D72" s="685">
        <v>480000</v>
      </c>
      <c r="E72" s="698"/>
      <c r="F72" s="704"/>
      <c r="G72" s="705"/>
    </row>
    <row r="73" spans="1:9" s="334" customFormat="1" ht="12" x14ac:dyDescent="0.2">
      <c r="A73" s="1146" t="s">
        <v>579</v>
      </c>
      <c r="B73" s="1147"/>
      <c r="C73" s="688"/>
      <c r="D73" s="689"/>
      <c r="E73" s="706"/>
      <c r="F73" s="702"/>
      <c r="G73" s="703"/>
    </row>
    <row r="74" spans="1:9" s="334" customFormat="1" ht="12" x14ac:dyDescent="0.2">
      <c r="A74" s="1095" t="s">
        <v>577</v>
      </c>
      <c r="B74" s="1139"/>
      <c r="C74" s="678" t="s">
        <v>326</v>
      </c>
      <c r="D74" s="679"/>
      <c r="E74" s="697">
        <v>650000</v>
      </c>
      <c r="F74" s="680">
        <v>42913</v>
      </c>
      <c r="G74" s="681">
        <v>42916</v>
      </c>
    </row>
    <row r="75" spans="1:9" s="334" customFormat="1" ht="12" x14ac:dyDescent="0.2">
      <c r="A75" s="1140" t="s">
        <v>580</v>
      </c>
      <c r="B75" s="1141"/>
      <c r="C75" s="684" t="s">
        <v>569</v>
      </c>
      <c r="D75" s="685">
        <v>650000</v>
      </c>
      <c r="E75" s="698"/>
      <c r="F75" s="686"/>
      <c r="G75" s="687"/>
    </row>
    <row r="76" spans="1:9" s="334" customFormat="1" ht="12" customHeight="1" x14ac:dyDescent="0.2">
      <c r="A76" s="1144" t="s">
        <v>581</v>
      </c>
      <c r="B76" s="1145"/>
      <c r="C76" s="688"/>
      <c r="D76" s="689"/>
      <c r="E76" s="706"/>
      <c r="F76" s="690"/>
      <c r="G76" s="691"/>
    </row>
    <row r="77" spans="1:9" s="334" customFormat="1" ht="12" customHeight="1" x14ac:dyDescent="0.2">
      <c r="A77" s="1095" t="s">
        <v>582</v>
      </c>
      <c r="B77" s="1139"/>
      <c r="C77" s="678" t="s">
        <v>411</v>
      </c>
      <c r="D77" s="679">
        <v>7200</v>
      </c>
      <c r="E77" s="697">
        <v>7200</v>
      </c>
      <c r="F77" s="680">
        <v>42915</v>
      </c>
      <c r="G77" s="681">
        <v>42916</v>
      </c>
    </row>
    <row r="78" spans="1:9" s="334" customFormat="1" ht="12" customHeight="1" x14ac:dyDescent="0.2">
      <c r="A78" s="682"/>
      <c r="B78" s="683"/>
      <c r="C78" s="688" t="s">
        <v>583</v>
      </c>
      <c r="D78" s="689"/>
      <c r="E78" s="706"/>
      <c r="F78" s="690"/>
      <c r="G78" s="691"/>
    </row>
    <row r="79" spans="1:9" s="334" customFormat="1" ht="12" customHeight="1" x14ac:dyDescent="0.2">
      <c r="A79" s="1095" t="s">
        <v>584</v>
      </c>
      <c r="B79" s="1139"/>
      <c r="C79" s="678" t="s">
        <v>585</v>
      </c>
      <c r="D79" s="679"/>
      <c r="E79" s="697">
        <v>-500</v>
      </c>
      <c r="F79" s="680">
        <v>42916</v>
      </c>
      <c r="G79" s="681">
        <v>42916</v>
      </c>
    </row>
    <row r="80" spans="1:9" s="334" customFormat="1" ht="12" customHeight="1" x14ac:dyDescent="0.2">
      <c r="A80" s="1144" t="s">
        <v>586</v>
      </c>
      <c r="B80" s="1145"/>
      <c r="C80" s="688" t="s">
        <v>587</v>
      </c>
      <c r="D80" s="689"/>
      <c r="E80" s="706">
        <v>500</v>
      </c>
      <c r="F80" s="690"/>
      <c r="G80" s="691"/>
    </row>
    <row r="81" spans="1:9" s="334" customFormat="1" ht="12" customHeight="1" x14ac:dyDescent="0.2">
      <c r="A81" s="1140" t="s">
        <v>588</v>
      </c>
      <c r="B81" s="1141"/>
      <c r="C81" s="678" t="s">
        <v>290</v>
      </c>
      <c r="D81" s="679"/>
      <c r="E81" s="697">
        <v>-2600</v>
      </c>
      <c r="F81" s="680"/>
      <c r="G81" s="681"/>
    </row>
    <row r="82" spans="1:9" s="334" customFormat="1" ht="12" customHeight="1" x14ac:dyDescent="0.2">
      <c r="A82" s="1144" t="s">
        <v>589</v>
      </c>
      <c r="B82" s="1145"/>
      <c r="C82" s="688" t="s">
        <v>166</v>
      </c>
      <c r="D82" s="689"/>
      <c r="E82" s="706">
        <v>2600</v>
      </c>
      <c r="F82" s="690">
        <v>42916</v>
      </c>
      <c r="G82" s="691">
        <v>42916</v>
      </c>
    </row>
    <row r="83" spans="1:9" s="334" customFormat="1" ht="12" customHeight="1" x14ac:dyDescent="0.2">
      <c r="A83" s="1095" t="s">
        <v>590</v>
      </c>
      <c r="B83" s="1139"/>
      <c r="C83" s="678" t="s">
        <v>591</v>
      </c>
      <c r="D83" s="679">
        <v>39900</v>
      </c>
      <c r="E83" s="697"/>
      <c r="F83" s="680"/>
      <c r="G83" s="681"/>
    </row>
    <row r="84" spans="1:9" s="334" customFormat="1" ht="12" customHeight="1" x14ac:dyDescent="0.2">
      <c r="A84" s="1146" t="s">
        <v>592</v>
      </c>
      <c r="B84" s="1147"/>
      <c r="C84" s="688" t="s">
        <v>593</v>
      </c>
      <c r="D84" s="689"/>
      <c r="E84" s="706">
        <v>39900</v>
      </c>
      <c r="F84" s="690">
        <v>42916</v>
      </c>
      <c r="G84" s="691">
        <v>42916</v>
      </c>
    </row>
    <row r="85" spans="1:9" s="334" customFormat="1" ht="12" customHeight="1" x14ac:dyDescent="0.2">
      <c r="A85" s="1095" t="s">
        <v>594</v>
      </c>
      <c r="B85" s="1139"/>
      <c r="C85" s="707" t="s">
        <v>419</v>
      </c>
      <c r="D85" s="708">
        <v>19990</v>
      </c>
      <c r="E85" s="709"/>
      <c r="F85" s="710"/>
      <c r="G85" s="711"/>
    </row>
    <row r="86" spans="1:9" s="334" customFormat="1" ht="12" customHeight="1" x14ac:dyDescent="0.2">
      <c r="A86" s="1140"/>
      <c r="B86" s="1141"/>
      <c r="C86" s="688" t="s">
        <v>593</v>
      </c>
      <c r="D86" s="689"/>
      <c r="E86" s="706">
        <v>19990</v>
      </c>
      <c r="F86" s="690">
        <v>42916</v>
      </c>
      <c r="G86" s="691">
        <v>42916</v>
      </c>
      <c r="H86" s="712"/>
    </row>
    <row r="87" spans="1:9" s="334" customFormat="1" ht="12" customHeight="1" x14ac:dyDescent="0.2">
      <c r="A87" s="1142" t="s">
        <v>169</v>
      </c>
      <c r="B87" s="1143"/>
      <c r="C87" s="713"/>
      <c r="D87" s="508">
        <f>SUM(D58:D86)</f>
        <v>2049090</v>
      </c>
      <c r="E87" s="508">
        <f>SUM(E58:E86)</f>
        <v>2049090</v>
      </c>
      <c r="F87" s="714"/>
      <c r="G87" s="715"/>
    </row>
    <row r="88" spans="1:9" s="334" customFormat="1" ht="12" customHeight="1" x14ac:dyDescent="0.2">
      <c r="A88" s="716"/>
      <c r="B88" s="716"/>
      <c r="C88" s="717"/>
      <c r="D88" s="718"/>
      <c r="E88" s="718"/>
      <c r="F88" s="719"/>
      <c r="G88" s="720"/>
    </row>
    <row r="89" spans="1:9" s="334" customFormat="1" ht="12" customHeight="1" x14ac:dyDescent="0.2">
      <c r="A89" s="716"/>
      <c r="B89" s="716"/>
      <c r="C89" s="717"/>
      <c r="D89" s="718"/>
      <c r="E89" s="718"/>
      <c r="F89" s="719"/>
      <c r="G89" s="720"/>
    </row>
    <row r="90" spans="1:9" s="334" customFormat="1" ht="12" customHeight="1" x14ac:dyDescent="0.2">
      <c r="A90" s="716"/>
      <c r="B90" s="716"/>
      <c r="C90" s="717"/>
      <c r="D90" s="718"/>
      <c r="E90" s="718"/>
      <c r="F90" s="719"/>
      <c r="G90" s="720"/>
    </row>
    <row r="91" spans="1:9" s="334" customFormat="1" ht="12" customHeight="1" x14ac:dyDescent="0.2">
      <c r="A91" s="865" t="s">
        <v>170</v>
      </c>
      <c r="B91" s="865"/>
      <c r="C91" s="865"/>
      <c r="D91" s="865"/>
      <c r="E91" s="865"/>
      <c r="F91" s="865"/>
      <c r="G91" s="865"/>
      <c r="H91" s="865"/>
      <c r="I91" s="865"/>
    </row>
    <row r="92" spans="1:9" s="334" customFormat="1" ht="19.5" customHeight="1" x14ac:dyDescent="0.25">
      <c r="A92" s="866" t="s">
        <v>149</v>
      </c>
      <c r="B92" s="867"/>
      <c r="C92" s="372" t="s">
        <v>150</v>
      </c>
      <c r="D92" s="372" t="s">
        <v>151</v>
      </c>
      <c r="E92" s="372" t="s">
        <v>152</v>
      </c>
      <c r="F92" s="372" t="s">
        <v>153</v>
      </c>
      <c r="G92" s="372" t="s">
        <v>154</v>
      </c>
      <c r="H92" s="373"/>
      <c r="I92" s="373"/>
    </row>
    <row r="93" spans="1:9" s="334" customFormat="1" ht="12" customHeight="1" x14ac:dyDescent="0.2">
      <c r="A93" s="868"/>
      <c r="B93" s="869"/>
      <c r="C93" s="388"/>
      <c r="D93" s="389">
        <v>0</v>
      </c>
      <c r="E93" s="389">
        <v>0</v>
      </c>
      <c r="F93" s="390"/>
      <c r="G93" s="390"/>
    </row>
    <row r="94" spans="1:9" s="334" customFormat="1" ht="12" customHeight="1" x14ac:dyDescent="0.2">
      <c r="A94" s="870"/>
      <c r="B94" s="871"/>
      <c r="C94" s="433"/>
      <c r="D94" s="434">
        <v>0</v>
      </c>
      <c r="E94" s="434">
        <v>0</v>
      </c>
      <c r="F94" s="435"/>
      <c r="G94" s="435"/>
    </row>
    <row r="95" spans="1:9" s="334" customFormat="1" ht="32.25" customHeight="1" x14ac:dyDescent="0.2">
      <c r="A95" s="872" t="s">
        <v>169</v>
      </c>
      <c r="B95" s="873"/>
      <c r="C95" s="387"/>
      <c r="D95" s="354">
        <f>SUM(D93:D94)</f>
        <v>0</v>
      </c>
      <c r="E95" s="354">
        <f>SUM(E93:E94)</f>
        <v>0</v>
      </c>
      <c r="F95" s="874"/>
      <c r="G95" s="875"/>
    </row>
    <row r="96" spans="1:9" s="334" customFormat="1" ht="12" customHeight="1" x14ac:dyDescent="0.2">
      <c r="C96" s="369"/>
    </row>
    <row r="97" spans="1:9" s="334" customFormat="1" ht="12" customHeight="1" x14ac:dyDescent="0.2">
      <c r="A97" s="860" t="s">
        <v>292</v>
      </c>
      <c r="B97" s="860"/>
      <c r="C97" s="860"/>
      <c r="D97" s="860"/>
      <c r="E97" s="860"/>
      <c r="F97" s="860"/>
      <c r="G97" s="860"/>
      <c r="H97" s="860"/>
      <c r="I97" s="860"/>
    </row>
    <row r="98" spans="1:9" s="334" customFormat="1" ht="12" customHeight="1" x14ac:dyDescent="0.2"/>
    <row r="99" spans="1:9" s="334" customFormat="1" ht="11.25" x14ac:dyDescent="0.2">
      <c r="A99" s="1137" t="s">
        <v>595</v>
      </c>
      <c r="B99" s="1138"/>
      <c r="C99" s="1138"/>
      <c r="D99" s="1138"/>
      <c r="E99" s="1138"/>
      <c r="F99" s="1138"/>
      <c r="G99" s="1138"/>
      <c r="H99" s="1138"/>
      <c r="I99" s="1138"/>
    </row>
    <row r="100" spans="1:9" s="334" customFormat="1" ht="11.25" x14ac:dyDescent="0.2">
      <c r="A100" s="1137"/>
      <c r="B100" s="1138"/>
      <c r="C100" s="1138"/>
      <c r="D100" s="1138"/>
      <c r="E100" s="1138"/>
      <c r="F100" s="1138"/>
      <c r="G100" s="1138"/>
      <c r="H100" s="1138"/>
      <c r="I100" s="1138"/>
    </row>
    <row r="101" spans="1:9" s="334" customFormat="1" ht="11.25" x14ac:dyDescent="0.2">
      <c r="A101" s="608"/>
      <c r="B101" s="482"/>
      <c r="C101" s="482"/>
      <c r="D101" s="482"/>
      <c r="E101" s="482"/>
      <c r="F101" s="482"/>
      <c r="G101" s="482"/>
      <c r="H101" s="482"/>
      <c r="I101" s="482"/>
    </row>
    <row r="102" spans="1:9" s="334" customFormat="1" ht="11.25" x14ac:dyDescent="0.2">
      <c r="A102" s="608"/>
      <c r="B102" s="482"/>
      <c r="C102" s="482"/>
      <c r="D102" s="482"/>
      <c r="E102" s="482"/>
      <c r="F102" s="482"/>
      <c r="G102" s="482"/>
      <c r="H102" s="482"/>
      <c r="I102" s="482"/>
    </row>
    <row r="103" spans="1:9" s="334" customFormat="1" ht="11.25" x14ac:dyDescent="0.2">
      <c r="A103" s="608"/>
      <c r="B103" s="482"/>
      <c r="C103" s="482"/>
      <c r="D103" s="482"/>
      <c r="E103" s="482"/>
      <c r="F103" s="482"/>
      <c r="G103" s="482"/>
      <c r="H103" s="482"/>
      <c r="I103" s="482"/>
    </row>
    <row r="104" spans="1:9" s="334" customFormat="1" ht="11.25" x14ac:dyDescent="0.2">
      <c r="A104" s="608"/>
      <c r="B104" s="482"/>
      <c r="C104" s="482"/>
      <c r="D104" s="482"/>
      <c r="E104" s="482"/>
      <c r="F104" s="482"/>
      <c r="G104" s="482"/>
      <c r="H104" s="482"/>
      <c r="I104" s="482"/>
    </row>
    <row r="105" spans="1:9" s="334" customFormat="1" ht="11.25" x14ac:dyDescent="0.2">
      <c r="A105" s="1137"/>
      <c r="B105" s="1137"/>
      <c r="C105" s="1137"/>
      <c r="D105" s="1137"/>
      <c r="E105" s="1137"/>
      <c r="F105" s="1137"/>
      <c r="G105" s="1137"/>
      <c r="H105" s="1137"/>
      <c r="I105" s="1137"/>
    </row>
    <row r="106" spans="1:9" s="334" customFormat="1" ht="11.25" x14ac:dyDescent="0.2"/>
    <row r="107" spans="1:9" s="334" customFormat="1" ht="11.25" x14ac:dyDescent="0.2">
      <c r="A107" s="861" t="s">
        <v>175</v>
      </c>
      <c r="B107" s="861"/>
      <c r="C107" s="861"/>
      <c r="D107" s="861"/>
      <c r="E107" s="861"/>
      <c r="F107" s="861"/>
      <c r="G107" s="861"/>
      <c r="H107" s="861"/>
      <c r="I107" s="861"/>
    </row>
    <row r="108" spans="1:9" s="334" customFormat="1" ht="11.25" customHeight="1" x14ac:dyDescent="0.2"/>
    <row r="109" spans="1:9" s="334" customFormat="1" ht="11.25" customHeight="1" x14ac:dyDescent="0.2">
      <c r="A109" s="1137" t="s">
        <v>596</v>
      </c>
      <c r="B109" s="1137"/>
      <c r="C109" s="1137"/>
      <c r="D109" s="1137"/>
      <c r="E109" s="1137"/>
      <c r="F109" s="1137"/>
      <c r="G109" s="1137"/>
      <c r="H109" s="1137"/>
      <c r="I109" s="1137"/>
    </row>
    <row r="110" spans="1:9" s="334" customFormat="1" ht="11.25" x14ac:dyDescent="0.2">
      <c r="A110" s="1137" t="s">
        <v>597</v>
      </c>
      <c r="B110" s="1137"/>
      <c r="C110" s="1137"/>
      <c r="D110" s="1137"/>
      <c r="E110" s="1137"/>
      <c r="F110" s="1137"/>
      <c r="G110" s="1137"/>
      <c r="H110" s="1137"/>
      <c r="I110" s="1137"/>
    </row>
    <row r="111" spans="1:9" s="334" customFormat="1" ht="11.25" x14ac:dyDescent="0.2">
      <c r="A111" s="1137" t="s">
        <v>598</v>
      </c>
      <c r="B111" s="1137"/>
      <c r="C111" s="1137"/>
      <c r="D111" s="1137"/>
      <c r="E111" s="1137"/>
      <c r="F111" s="1137"/>
      <c r="G111" s="1137"/>
      <c r="H111" s="1137"/>
      <c r="I111" s="1137"/>
    </row>
    <row r="112" spans="1:9" s="334" customFormat="1" ht="11.25" x14ac:dyDescent="0.2">
      <c r="A112" s="1137"/>
      <c r="B112" s="1137"/>
      <c r="C112" s="1137"/>
      <c r="D112" s="1137"/>
      <c r="E112" s="1137"/>
      <c r="F112" s="1137"/>
      <c r="G112" s="1137"/>
      <c r="H112" s="1137"/>
      <c r="I112" s="1137"/>
    </row>
    <row r="113" spans="1:9" s="334" customFormat="1" x14ac:dyDescent="0.2">
      <c r="A113" s="392"/>
      <c r="B113" s="392"/>
      <c r="C113" s="392"/>
      <c r="D113" s="392"/>
      <c r="E113" s="392"/>
      <c r="F113" s="392"/>
      <c r="G113" s="392"/>
      <c r="H113" s="392"/>
      <c r="I113" s="392"/>
    </row>
    <row r="114" spans="1:9" s="373" customFormat="1" ht="13.9" customHeight="1" x14ac:dyDescent="0.25">
      <c r="A114" s="334" t="s">
        <v>599</v>
      </c>
      <c r="B114" s="392"/>
      <c r="C114" s="392"/>
      <c r="D114" s="392"/>
      <c r="E114" s="392" t="s">
        <v>600</v>
      </c>
      <c r="F114" s="392"/>
      <c r="G114" s="392"/>
      <c r="H114" s="392"/>
      <c r="I114" s="392"/>
    </row>
    <row r="115" spans="1:9" s="334" customFormat="1" ht="13.9" customHeight="1" x14ac:dyDescent="0.2">
      <c r="A115" s="392"/>
      <c r="B115" s="392"/>
      <c r="C115" s="392"/>
      <c r="D115" s="392"/>
      <c r="E115" s="392" t="s">
        <v>601</v>
      </c>
      <c r="F115" s="392"/>
      <c r="G115" s="392"/>
      <c r="H115" s="392"/>
      <c r="I115" s="392"/>
    </row>
    <row r="116" spans="1:9" s="334" customFormat="1" ht="13.9" customHeight="1" x14ac:dyDescent="0.2">
      <c r="A116" s="392" t="s">
        <v>602</v>
      </c>
      <c r="B116" s="392"/>
      <c r="C116" s="392"/>
      <c r="D116" s="392"/>
      <c r="E116" s="392"/>
      <c r="F116" s="392"/>
      <c r="G116" s="392"/>
      <c r="H116" s="392"/>
      <c r="I116" s="392"/>
    </row>
    <row r="117" spans="1:9" s="334" customFormat="1" ht="13.9" customHeight="1" x14ac:dyDescent="0.2">
      <c r="A117" s="392"/>
      <c r="B117" s="392"/>
      <c r="C117" s="392"/>
      <c r="D117" s="392"/>
      <c r="E117" s="392"/>
      <c r="F117" s="392"/>
      <c r="G117" s="392"/>
      <c r="H117" s="392"/>
      <c r="I117" s="392"/>
    </row>
    <row r="118" spans="1:9" s="334" customFormat="1" x14ac:dyDescent="0.2">
      <c r="A118" s="392"/>
      <c r="B118" s="392"/>
      <c r="C118" s="392"/>
      <c r="D118" s="392"/>
      <c r="E118" s="392"/>
      <c r="F118" s="392"/>
      <c r="G118" s="392"/>
      <c r="H118" s="392"/>
      <c r="I118" s="392"/>
    </row>
    <row r="119" spans="1:9" s="334" customFormat="1" ht="15" customHeight="1" x14ac:dyDescent="0.2">
      <c r="A119" s="392"/>
      <c r="B119" s="392"/>
      <c r="C119" s="392"/>
      <c r="D119" s="392"/>
      <c r="E119" s="392"/>
      <c r="F119" s="392"/>
      <c r="G119" s="392"/>
      <c r="H119" s="392"/>
      <c r="I119" s="392"/>
    </row>
    <row r="120" spans="1:9" s="334" customFormat="1" ht="15" customHeight="1" x14ac:dyDescent="0.2">
      <c r="A120" s="392"/>
      <c r="B120" s="392"/>
      <c r="C120" s="392"/>
      <c r="D120" s="392"/>
      <c r="E120" s="392"/>
      <c r="F120" s="392"/>
      <c r="G120" s="392"/>
      <c r="H120" s="392"/>
      <c r="I120" s="392"/>
    </row>
    <row r="121" spans="1:9" s="334" customFormat="1" ht="15" customHeight="1" x14ac:dyDescent="0.2">
      <c r="A121" s="392"/>
      <c r="B121" s="392"/>
      <c r="C121" s="392"/>
      <c r="D121" s="392"/>
      <c r="E121" s="392"/>
      <c r="F121" s="392"/>
      <c r="G121" s="392"/>
      <c r="H121" s="392"/>
      <c r="I121" s="392"/>
    </row>
    <row r="122" spans="1:9" s="334" customFormat="1" ht="15" customHeight="1" x14ac:dyDescent="0.2">
      <c r="A122" s="392"/>
      <c r="B122" s="392"/>
      <c r="C122" s="392"/>
      <c r="D122" s="392"/>
      <c r="E122" s="392"/>
      <c r="F122" s="392"/>
      <c r="G122" s="392"/>
      <c r="H122" s="392"/>
      <c r="I122" s="392"/>
    </row>
    <row r="123" spans="1:9" s="334" customFormat="1" x14ac:dyDescent="0.2">
      <c r="A123" s="392"/>
      <c r="B123" s="392"/>
      <c r="C123" s="392"/>
      <c r="D123" s="392"/>
      <c r="E123" s="392"/>
      <c r="F123" s="392"/>
      <c r="G123" s="392"/>
      <c r="H123" s="392"/>
      <c r="I123" s="392"/>
    </row>
    <row r="124" spans="1:9" s="340" customFormat="1" x14ac:dyDescent="0.2">
      <c r="A124" s="392"/>
      <c r="B124" s="392"/>
      <c r="C124" s="392"/>
      <c r="D124" s="392"/>
      <c r="E124" s="392"/>
      <c r="F124" s="392"/>
      <c r="G124" s="392"/>
      <c r="H124" s="392"/>
      <c r="I124" s="392"/>
    </row>
    <row r="125" spans="1:9" s="334" customFormat="1" ht="15.6" customHeight="1" x14ac:dyDescent="0.2">
      <c r="A125" s="392"/>
      <c r="B125" s="392"/>
      <c r="C125" s="392"/>
      <c r="D125" s="392"/>
      <c r="E125" s="392"/>
      <c r="F125" s="392"/>
      <c r="G125" s="392"/>
      <c r="H125" s="392"/>
      <c r="I125" s="392"/>
    </row>
    <row r="126" spans="1:9" s="334" customFormat="1" ht="15.6" customHeight="1" x14ac:dyDescent="0.2">
      <c r="A126" s="392"/>
      <c r="B126" s="392"/>
      <c r="C126" s="392"/>
      <c r="D126" s="392"/>
      <c r="E126" s="392"/>
      <c r="F126" s="392"/>
      <c r="G126" s="392"/>
      <c r="H126" s="392"/>
      <c r="I126" s="392"/>
    </row>
    <row r="127" spans="1:9" s="334" customFormat="1" ht="13.9" customHeight="1" x14ac:dyDescent="0.2">
      <c r="A127" s="392"/>
      <c r="B127" s="392"/>
      <c r="C127" s="392"/>
      <c r="D127" s="392"/>
      <c r="E127" s="392"/>
      <c r="F127" s="392"/>
      <c r="G127" s="392"/>
      <c r="H127" s="392"/>
      <c r="I127" s="392"/>
    </row>
    <row r="128" spans="1:9" s="334" customFormat="1" ht="13.9" customHeight="1" x14ac:dyDescent="0.2">
      <c r="A128" s="392"/>
      <c r="B128" s="392"/>
      <c r="C128" s="392"/>
      <c r="D128" s="392"/>
      <c r="E128" s="392"/>
      <c r="F128" s="392"/>
      <c r="G128" s="392"/>
      <c r="H128" s="392"/>
      <c r="I128" s="392"/>
    </row>
    <row r="129" spans="1:9" s="334" customFormat="1" ht="13.9" customHeight="1" x14ac:dyDescent="0.2">
      <c r="A129" s="392"/>
      <c r="B129" s="392"/>
      <c r="C129" s="392"/>
      <c r="D129" s="392"/>
      <c r="E129" s="392"/>
      <c r="F129" s="392"/>
      <c r="G129" s="392"/>
      <c r="H129" s="392"/>
      <c r="I129" s="392"/>
    </row>
    <row r="130" spans="1:9" s="334" customFormat="1" ht="13.9" customHeight="1" x14ac:dyDescent="0.2">
      <c r="A130" s="392"/>
      <c r="B130" s="392"/>
      <c r="C130" s="392"/>
      <c r="D130" s="392"/>
      <c r="E130" s="392"/>
      <c r="F130" s="392"/>
      <c r="G130" s="392"/>
      <c r="H130" s="392"/>
      <c r="I130" s="392"/>
    </row>
    <row r="131" spans="1:9" s="333" customFormat="1" x14ac:dyDescent="0.2">
      <c r="A131" s="392"/>
      <c r="B131" s="392"/>
      <c r="C131" s="392"/>
      <c r="D131" s="392"/>
      <c r="E131" s="392"/>
      <c r="F131" s="392"/>
      <c r="G131" s="392"/>
      <c r="H131" s="392"/>
      <c r="I131" s="392"/>
    </row>
    <row r="132" spans="1:9" s="334" customFormat="1" x14ac:dyDescent="0.2">
      <c r="A132" s="392"/>
      <c r="B132" s="392"/>
      <c r="C132" s="392"/>
      <c r="D132" s="392"/>
      <c r="E132" s="392"/>
      <c r="F132" s="392"/>
      <c r="G132" s="392"/>
      <c r="H132" s="392"/>
      <c r="I132" s="392"/>
    </row>
    <row r="133" spans="1:9" s="334" customFormat="1" ht="16.149999999999999" customHeight="1" x14ac:dyDescent="0.2">
      <c r="A133" s="392"/>
      <c r="B133" s="392"/>
      <c r="C133" s="392"/>
      <c r="D133" s="392"/>
      <c r="E133" s="392"/>
      <c r="F133" s="392"/>
      <c r="G133" s="392"/>
      <c r="H133" s="392"/>
      <c r="I133" s="392"/>
    </row>
    <row r="134" spans="1:9" s="334" customFormat="1" x14ac:dyDescent="0.2">
      <c r="A134" s="392"/>
      <c r="B134" s="392"/>
      <c r="C134" s="392"/>
      <c r="D134" s="392"/>
      <c r="E134" s="392"/>
      <c r="F134" s="392"/>
      <c r="G134" s="392"/>
      <c r="H134" s="392"/>
      <c r="I134" s="392"/>
    </row>
    <row r="135" spans="1:9" s="334" customFormat="1" x14ac:dyDescent="0.2">
      <c r="A135" s="392"/>
      <c r="B135" s="392"/>
      <c r="C135" s="392"/>
      <c r="D135" s="392"/>
      <c r="E135" s="392"/>
      <c r="F135" s="392"/>
      <c r="G135" s="392"/>
      <c r="H135" s="392"/>
      <c r="I135" s="392"/>
    </row>
  </sheetData>
  <mergeCells count="84">
    <mergeCell ref="A10:I10"/>
    <mergeCell ref="A1:I1"/>
    <mergeCell ref="A3:I3"/>
    <mergeCell ref="A5:B5"/>
    <mergeCell ref="D5:I5"/>
    <mergeCell ref="A6:B6"/>
    <mergeCell ref="D6:I6"/>
    <mergeCell ref="A7:B7"/>
    <mergeCell ref="D7:I7"/>
    <mergeCell ref="A8:B8"/>
    <mergeCell ref="D8:I8"/>
    <mergeCell ref="A9:I9"/>
    <mergeCell ref="D31:I31"/>
    <mergeCell ref="A12:I12"/>
    <mergeCell ref="G13:I13"/>
    <mergeCell ref="G14:I14"/>
    <mergeCell ref="G15:I15"/>
    <mergeCell ref="G16:I16"/>
    <mergeCell ref="G17:I17"/>
    <mergeCell ref="G18:I18"/>
    <mergeCell ref="G19:I19"/>
    <mergeCell ref="A21:I21"/>
    <mergeCell ref="A22:I22"/>
    <mergeCell ref="A29:I29"/>
    <mergeCell ref="C46:I46"/>
    <mergeCell ref="A32:A34"/>
    <mergeCell ref="D32:I32"/>
    <mergeCell ref="D33:I33"/>
    <mergeCell ref="D34:J34"/>
    <mergeCell ref="C35:I35"/>
    <mergeCell ref="A37:G37"/>
    <mergeCell ref="A40:I40"/>
    <mergeCell ref="D42:I42"/>
    <mergeCell ref="D43:I43"/>
    <mergeCell ref="A44:I44"/>
    <mergeCell ref="D45:I45"/>
    <mergeCell ref="A64:B64"/>
    <mergeCell ref="A48:I48"/>
    <mergeCell ref="C50:I50"/>
    <mergeCell ref="C51:I51"/>
    <mergeCell ref="C52:I52"/>
    <mergeCell ref="C53:I53"/>
    <mergeCell ref="A55:I55"/>
    <mergeCell ref="A57:B57"/>
    <mergeCell ref="A58:B58"/>
    <mergeCell ref="A60:B60"/>
    <mergeCell ref="A61:B61"/>
    <mergeCell ref="A62:B62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93:B93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91:I91"/>
    <mergeCell ref="A92:B92"/>
    <mergeCell ref="A112:I112"/>
    <mergeCell ref="A94:B94"/>
    <mergeCell ref="A95:B95"/>
    <mergeCell ref="F95:G95"/>
    <mergeCell ref="A97:I97"/>
    <mergeCell ref="A99:I99"/>
    <mergeCell ref="A100:I100"/>
    <mergeCell ref="A105:I105"/>
    <mergeCell ref="A107:I107"/>
    <mergeCell ref="A109:I109"/>
    <mergeCell ref="A110:I110"/>
    <mergeCell ref="A111:I111"/>
  </mergeCells>
  <pageMargins left="0.70866141732283472" right="0.70866141732283472" top="0.78740157480314965" bottom="0.78740157480314965" header="0.31496062992125984" footer="0.31496062992125984"/>
  <pageSetup paperSize="9" scale="58" firstPageNumber="79" fitToHeight="3" orientation="portrait" useFirstPageNumber="1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97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15781190</v>
      </c>
      <c r="F6" s="8">
        <f>SUM(F7:F9)</f>
        <v>16747943</v>
      </c>
      <c r="G6" s="8">
        <f>SUM(G7:G9)</f>
        <v>8866162.4299999997</v>
      </c>
      <c r="H6" s="9">
        <f t="shared" ref="H6:H29" si="0">G6/F6*100</f>
        <v>52.938814217363884</v>
      </c>
      <c r="I6" s="8">
        <f>SUM(I7:I9)</f>
        <v>7190665</v>
      </c>
      <c r="J6" s="8">
        <f>SUM(J7:J9)</f>
        <v>2743500</v>
      </c>
      <c r="K6" s="8">
        <f t="shared" ref="K6:X6" si="1">SUM(K7:K9)</f>
        <v>2790724</v>
      </c>
      <c r="L6" s="8">
        <f t="shared" si="1"/>
        <v>1428033.43</v>
      </c>
      <c r="M6" s="9">
        <f t="shared" ref="M6:M29" si="2">L6/K6*100</f>
        <v>51.170715197919968</v>
      </c>
      <c r="N6" s="8">
        <f t="shared" si="1"/>
        <v>1413065</v>
      </c>
      <c r="O6" s="8">
        <f t="shared" si="1"/>
        <v>13037690</v>
      </c>
      <c r="P6" s="8">
        <f t="shared" si="1"/>
        <v>13957219</v>
      </c>
      <c r="Q6" s="8">
        <f t="shared" si="1"/>
        <v>7438129</v>
      </c>
      <c r="R6" s="9">
        <f t="shared" ref="R6:R36" si="3">Q6/P6*100</f>
        <v>53.292342837065178</v>
      </c>
      <c r="S6" s="8">
        <f t="shared" si="1"/>
        <v>5777600</v>
      </c>
      <c r="T6" s="8">
        <f t="shared" si="1"/>
        <v>142500</v>
      </c>
      <c r="U6" s="8">
        <f t="shared" si="1"/>
        <v>142500</v>
      </c>
      <c r="V6" s="8">
        <f t="shared" si="1"/>
        <v>66215</v>
      </c>
      <c r="W6" s="9">
        <f t="shared" ref="W6:W36" si="4">V6/U6*100</f>
        <v>46.466666666666669</v>
      </c>
      <c r="X6" s="8">
        <f t="shared" si="1"/>
        <v>102080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5">SUM(J7,O7)</f>
        <v>73500</v>
      </c>
      <c r="F7" s="12">
        <f t="shared" si="5"/>
        <v>93724</v>
      </c>
      <c r="G7" s="12">
        <f t="shared" si="5"/>
        <v>65998</v>
      </c>
      <c r="H7" s="13">
        <f t="shared" si="0"/>
        <v>70.417395757756822</v>
      </c>
      <c r="I7" s="12">
        <f>SUM(N7,S7)</f>
        <v>50875</v>
      </c>
      <c r="J7" s="44">
        <v>73500</v>
      </c>
      <c r="K7" s="14">
        <v>93724</v>
      </c>
      <c r="L7" s="14">
        <v>65998</v>
      </c>
      <c r="M7" s="13">
        <f t="shared" si="2"/>
        <v>70.417395757756822</v>
      </c>
      <c r="N7" s="14">
        <v>50875</v>
      </c>
      <c r="O7" s="14">
        <v>0</v>
      </c>
      <c r="P7" s="14">
        <v>0</v>
      </c>
      <c r="Q7" s="14">
        <v>0</v>
      </c>
      <c r="R7" s="13">
        <v>0</v>
      </c>
      <c r="S7" s="14">
        <v>0</v>
      </c>
      <c r="T7" s="14">
        <v>142500</v>
      </c>
      <c r="U7" s="14">
        <v>142500</v>
      </c>
      <c r="V7" s="14">
        <v>66215</v>
      </c>
      <c r="W7" s="13">
        <f t="shared" si="4"/>
        <v>46.466666666666669</v>
      </c>
      <c r="X7" s="14">
        <v>102080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5"/>
        <v>0</v>
      </c>
      <c r="F8" s="12">
        <f t="shared" si="5"/>
        <v>0</v>
      </c>
      <c r="G8" s="12">
        <f t="shared" si="5"/>
        <v>35.43</v>
      </c>
      <c r="H8" s="13">
        <v>0</v>
      </c>
      <c r="I8" s="12">
        <f>SUM(N8,S8)</f>
        <v>25</v>
      </c>
      <c r="J8" s="45">
        <v>0</v>
      </c>
      <c r="K8" s="12">
        <v>0</v>
      </c>
      <c r="L8" s="12">
        <v>35.43</v>
      </c>
      <c r="M8" s="13">
        <v>0</v>
      </c>
      <c r="N8" s="12">
        <v>25</v>
      </c>
      <c r="O8" s="12">
        <v>0</v>
      </c>
      <c r="P8" s="12">
        <v>0</v>
      </c>
      <c r="Q8" s="12">
        <v>0</v>
      </c>
      <c r="R8" s="13">
        <v>0</v>
      </c>
      <c r="S8" s="12">
        <v>0</v>
      </c>
      <c r="T8" s="12">
        <v>0</v>
      </c>
      <c r="U8" s="12">
        <v>0</v>
      </c>
      <c r="V8" s="12"/>
      <c r="W8" s="13">
        <v>0</v>
      </c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5"/>
        <v>15707690</v>
      </c>
      <c r="F9" s="12">
        <f t="shared" si="5"/>
        <v>16654219</v>
      </c>
      <c r="G9" s="12">
        <f t="shared" si="5"/>
        <v>8800129</v>
      </c>
      <c r="H9" s="13">
        <f t="shared" si="0"/>
        <v>52.840238260347128</v>
      </c>
      <c r="I9" s="12">
        <f>SUM(N9,S9)</f>
        <v>7139765</v>
      </c>
      <c r="J9" s="45">
        <v>2670000</v>
      </c>
      <c r="K9" s="12">
        <v>2697000</v>
      </c>
      <c r="L9" s="12">
        <v>1362000</v>
      </c>
      <c r="M9" s="13">
        <f t="shared" si="2"/>
        <v>50.500556173526142</v>
      </c>
      <c r="N9" s="12">
        <v>1362165</v>
      </c>
      <c r="O9" s="12">
        <v>13037690</v>
      </c>
      <c r="P9" s="12">
        <v>13957219</v>
      </c>
      <c r="Q9" s="12">
        <v>7438129</v>
      </c>
      <c r="R9" s="13">
        <f t="shared" si="3"/>
        <v>53.292342837065178</v>
      </c>
      <c r="S9" s="12">
        <v>5777600</v>
      </c>
      <c r="T9" s="12">
        <v>0</v>
      </c>
      <c r="U9" s="12">
        <v>0</v>
      </c>
      <c r="V9" s="12"/>
      <c r="W9" s="13">
        <v>0</v>
      </c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5"/>
        <v>0</v>
      </c>
      <c r="F10" s="18">
        <f t="shared" si="5"/>
        <v>0</v>
      </c>
      <c r="G10" s="18">
        <f t="shared" si="5"/>
        <v>0</v>
      </c>
      <c r="H10" s="9">
        <v>0</v>
      </c>
      <c r="I10" s="18">
        <f>SUM(N10,S10)</f>
        <v>0</v>
      </c>
      <c r="J10" s="19"/>
      <c r="K10" s="18"/>
      <c r="L10" s="18"/>
      <c r="M10" s="9">
        <v>0</v>
      </c>
      <c r="N10" s="18"/>
      <c r="O10" s="18"/>
      <c r="P10" s="18"/>
      <c r="Q10" s="18"/>
      <c r="R10" s="9">
        <v>0</v>
      </c>
      <c r="S10" s="18"/>
      <c r="T10" s="18"/>
      <c r="U10" s="18"/>
      <c r="V10" s="18"/>
      <c r="W10" s="9" t="e">
        <f t="shared" si="4"/>
        <v>#DIV/0!</v>
      </c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15781190</v>
      </c>
      <c r="F11" s="8">
        <f>SUM(F12:F31)</f>
        <v>16747943</v>
      </c>
      <c r="G11" s="8">
        <f>SUM(G12:G31)</f>
        <v>8262509.9500000002</v>
      </c>
      <c r="H11" s="9">
        <f t="shared" si="0"/>
        <v>49.334476180149409</v>
      </c>
      <c r="I11" s="8">
        <f>SUM(I12:I31)</f>
        <v>6829540</v>
      </c>
      <c r="J11" s="8">
        <f>SUM(J12:J31)</f>
        <v>2743500</v>
      </c>
      <c r="K11" s="8">
        <f>SUM(K12:K31)</f>
        <v>2790724</v>
      </c>
      <c r="L11" s="8">
        <f>SUM(L12:L31)</f>
        <v>1225595.1099999999</v>
      </c>
      <c r="M11" s="9">
        <f t="shared" si="2"/>
        <v>43.916743827049892</v>
      </c>
      <c r="N11" s="8">
        <f>SUM(N12:N31)</f>
        <v>1232918</v>
      </c>
      <c r="O11" s="8">
        <f>SUM(O12:O31)</f>
        <v>13037690</v>
      </c>
      <c r="P11" s="8">
        <f>SUM(P12:P31)</f>
        <v>13957219</v>
      </c>
      <c r="Q11" s="8">
        <f>SUM(Q12:Q31)</f>
        <v>7036914.8399999999</v>
      </c>
      <c r="R11" s="9">
        <f t="shared" si="3"/>
        <v>50.417743248135608</v>
      </c>
      <c r="S11" s="8">
        <f>SUM(S12:S31)</f>
        <v>5596622</v>
      </c>
      <c r="T11" s="8">
        <f>SUM(T12:T31)</f>
        <v>112396</v>
      </c>
      <c r="U11" s="8">
        <f>SUM(U12:U31)</f>
        <v>112396</v>
      </c>
      <c r="V11" s="8">
        <f>SUM(V12:V31)</f>
        <v>52270</v>
      </c>
      <c r="W11" s="9">
        <f t="shared" si="4"/>
        <v>46.505213708672905</v>
      </c>
      <c r="X11" s="8">
        <f>SUM(X12:X31)</f>
        <v>73389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6">SUM(J12,O12)</f>
        <v>281110</v>
      </c>
      <c r="F12" s="12">
        <f t="shared" si="6"/>
        <v>350435</v>
      </c>
      <c r="G12" s="12">
        <f t="shared" si="6"/>
        <v>176525.3</v>
      </c>
      <c r="H12" s="13">
        <f t="shared" si="0"/>
        <v>50.373193316877597</v>
      </c>
      <c r="I12" s="12">
        <f t="shared" si="6"/>
        <v>102040</v>
      </c>
      <c r="J12" s="20">
        <v>178920</v>
      </c>
      <c r="K12" s="21">
        <v>233334</v>
      </c>
      <c r="L12" s="21">
        <v>113281.3</v>
      </c>
      <c r="M12" s="13">
        <f t="shared" si="2"/>
        <v>48.548989860028975</v>
      </c>
      <c r="N12" s="22">
        <v>62310</v>
      </c>
      <c r="O12" s="21">
        <v>102190</v>
      </c>
      <c r="P12" s="21">
        <v>117101</v>
      </c>
      <c r="Q12" s="21">
        <v>63244</v>
      </c>
      <c r="R12" s="13">
        <f t="shared" si="3"/>
        <v>54.008078496340758</v>
      </c>
      <c r="S12" s="21">
        <v>39730</v>
      </c>
      <c r="T12" s="21">
        <v>7364</v>
      </c>
      <c r="U12" s="21">
        <v>7364</v>
      </c>
      <c r="V12" s="21">
        <v>3483</v>
      </c>
      <c r="W12" s="13">
        <f t="shared" si="4"/>
        <v>47.297664312873437</v>
      </c>
      <c r="X12" s="22">
        <v>2608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6"/>
        <v>504968</v>
      </c>
      <c r="F13" s="12">
        <f t="shared" si="6"/>
        <v>504968</v>
      </c>
      <c r="G13" s="12">
        <f t="shared" si="6"/>
        <v>230959.11</v>
      </c>
      <c r="H13" s="13">
        <f t="shared" si="0"/>
        <v>45.737375437651487</v>
      </c>
      <c r="I13" s="12">
        <f t="shared" si="6"/>
        <v>304270</v>
      </c>
      <c r="J13" s="20">
        <v>504968</v>
      </c>
      <c r="K13" s="12">
        <v>504968</v>
      </c>
      <c r="L13" s="12">
        <v>230959.11</v>
      </c>
      <c r="M13" s="13">
        <f t="shared" si="2"/>
        <v>45.737375437651487</v>
      </c>
      <c r="N13" s="12">
        <v>304270</v>
      </c>
      <c r="O13" s="12">
        <v>0</v>
      </c>
      <c r="P13" s="12">
        <v>0</v>
      </c>
      <c r="Q13" s="12">
        <v>0</v>
      </c>
      <c r="R13" s="13">
        <v>0</v>
      </c>
      <c r="S13" s="12">
        <v>0</v>
      </c>
      <c r="T13" s="12">
        <v>105032</v>
      </c>
      <c r="U13" s="12">
        <v>105032</v>
      </c>
      <c r="V13" s="12">
        <v>48787</v>
      </c>
      <c r="W13" s="13">
        <f t="shared" si="4"/>
        <v>46.449653438951941</v>
      </c>
      <c r="X13" s="12">
        <v>70781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3">
        <v>0</v>
      </c>
      <c r="I14" s="12">
        <f t="shared" si="6"/>
        <v>0</v>
      </c>
      <c r="J14" s="20">
        <v>0</v>
      </c>
      <c r="K14" s="12">
        <v>0</v>
      </c>
      <c r="L14" s="12">
        <v>0</v>
      </c>
      <c r="M14" s="13">
        <v>0</v>
      </c>
      <c r="N14" s="12">
        <v>0</v>
      </c>
      <c r="O14" s="12">
        <v>0</v>
      </c>
      <c r="P14" s="12">
        <v>0</v>
      </c>
      <c r="Q14" s="12">
        <v>0</v>
      </c>
      <c r="R14" s="13">
        <v>0</v>
      </c>
      <c r="S14" s="12">
        <v>0</v>
      </c>
      <c r="T14" s="12">
        <v>0</v>
      </c>
      <c r="U14" s="12">
        <v>0</v>
      </c>
      <c r="V14" s="12">
        <v>0</v>
      </c>
      <c r="W14" s="13">
        <v>0</v>
      </c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6"/>
        <v>345840</v>
      </c>
      <c r="F15" s="12">
        <f t="shared" si="6"/>
        <v>345840</v>
      </c>
      <c r="G15" s="12">
        <f t="shared" si="6"/>
        <v>26604.28</v>
      </c>
      <c r="H15" s="13">
        <f t="shared" si="0"/>
        <v>7.6926555632662499</v>
      </c>
      <c r="I15" s="12">
        <f t="shared" si="6"/>
        <v>41385</v>
      </c>
      <c r="J15" s="20">
        <v>345840</v>
      </c>
      <c r="K15" s="12">
        <v>345840</v>
      </c>
      <c r="L15" s="12">
        <v>26604.28</v>
      </c>
      <c r="M15" s="13">
        <f t="shared" si="2"/>
        <v>7.6926555632662499</v>
      </c>
      <c r="N15" s="12">
        <v>41385</v>
      </c>
      <c r="O15" s="12">
        <v>0</v>
      </c>
      <c r="P15" s="12">
        <v>0</v>
      </c>
      <c r="Q15" s="12">
        <v>0</v>
      </c>
      <c r="R15" s="13">
        <v>0</v>
      </c>
      <c r="S15" s="12">
        <v>0</v>
      </c>
      <c r="T15" s="12">
        <v>0</v>
      </c>
      <c r="U15" s="12">
        <v>0</v>
      </c>
      <c r="V15" s="12">
        <v>0</v>
      </c>
      <c r="W15" s="13">
        <v>0</v>
      </c>
      <c r="X15" s="12"/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6"/>
        <v>32000</v>
      </c>
      <c r="F16" s="12">
        <f t="shared" si="6"/>
        <v>32000</v>
      </c>
      <c r="G16" s="12">
        <f t="shared" si="6"/>
        <v>12042</v>
      </c>
      <c r="H16" s="13">
        <f t="shared" si="0"/>
        <v>37.631250000000001</v>
      </c>
      <c r="I16" s="12">
        <f t="shared" si="6"/>
        <v>6820</v>
      </c>
      <c r="J16" s="20">
        <v>2000</v>
      </c>
      <c r="K16" s="12">
        <v>2000</v>
      </c>
      <c r="L16" s="12">
        <v>0</v>
      </c>
      <c r="M16" s="13">
        <f t="shared" si="2"/>
        <v>0</v>
      </c>
      <c r="N16" s="12">
        <v>268</v>
      </c>
      <c r="O16" s="12">
        <v>30000</v>
      </c>
      <c r="P16" s="12">
        <v>30000</v>
      </c>
      <c r="Q16" s="12">
        <v>12042</v>
      </c>
      <c r="R16" s="13">
        <f t="shared" si="3"/>
        <v>40.14</v>
      </c>
      <c r="S16" s="12">
        <v>6552</v>
      </c>
      <c r="T16" s="12">
        <v>0</v>
      </c>
      <c r="U16" s="12">
        <v>0</v>
      </c>
      <c r="V16" s="12">
        <v>0</v>
      </c>
      <c r="W16" s="13">
        <v>0</v>
      </c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6"/>
        <v>2000</v>
      </c>
      <c r="F17" s="12">
        <f t="shared" si="6"/>
        <v>2000</v>
      </c>
      <c r="G17" s="12">
        <f t="shared" si="6"/>
        <v>986</v>
      </c>
      <c r="H17" s="13">
        <f t="shared" si="0"/>
        <v>49.3</v>
      </c>
      <c r="I17" s="12">
        <f t="shared" si="6"/>
        <v>631</v>
      </c>
      <c r="J17" s="20">
        <v>2000</v>
      </c>
      <c r="K17" s="12">
        <v>2000</v>
      </c>
      <c r="L17" s="12">
        <v>986</v>
      </c>
      <c r="M17" s="13">
        <f t="shared" si="2"/>
        <v>49.3</v>
      </c>
      <c r="N17" s="12">
        <v>631</v>
      </c>
      <c r="O17" s="12">
        <v>0</v>
      </c>
      <c r="P17" s="12">
        <v>0</v>
      </c>
      <c r="Q17" s="12">
        <v>0</v>
      </c>
      <c r="R17" s="13">
        <v>0</v>
      </c>
      <c r="S17" s="12">
        <v>0</v>
      </c>
      <c r="T17" s="12">
        <v>0</v>
      </c>
      <c r="U17" s="12">
        <v>0</v>
      </c>
      <c r="V17" s="12">
        <v>0</v>
      </c>
      <c r="W17" s="13">
        <v>0</v>
      </c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6"/>
        <v>380000</v>
      </c>
      <c r="F18" s="12">
        <f t="shared" si="6"/>
        <v>380525</v>
      </c>
      <c r="G18" s="12">
        <f t="shared" si="6"/>
        <v>194886.42</v>
      </c>
      <c r="H18" s="13">
        <f t="shared" si="0"/>
        <v>51.215142237697918</v>
      </c>
      <c r="I18" s="12">
        <f t="shared" si="6"/>
        <v>160044</v>
      </c>
      <c r="J18" s="20">
        <v>280000</v>
      </c>
      <c r="K18" s="12">
        <v>280000</v>
      </c>
      <c r="L18" s="12">
        <v>134395.42000000001</v>
      </c>
      <c r="M18" s="13">
        <f t="shared" si="2"/>
        <v>47.998364285714288</v>
      </c>
      <c r="N18" s="12">
        <v>114493</v>
      </c>
      <c r="O18" s="12">
        <v>100000</v>
      </c>
      <c r="P18" s="12">
        <v>100525</v>
      </c>
      <c r="Q18" s="12">
        <v>60491</v>
      </c>
      <c r="R18" s="13">
        <f t="shared" si="3"/>
        <v>60.175080825665262</v>
      </c>
      <c r="S18" s="12">
        <v>45551</v>
      </c>
      <c r="T18" s="12">
        <v>0</v>
      </c>
      <c r="U18" s="12">
        <v>0</v>
      </c>
      <c r="V18" s="12">
        <v>0</v>
      </c>
      <c r="W18" s="13">
        <v>0</v>
      </c>
      <c r="X18" s="12"/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6"/>
        <v>9509020</v>
      </c>
      <c r="F19" s="12">
        <f t="shared" si="6"/>
        <v>10243189</v>
      </c>
      <c r="G19" s="12">
        <f t="shared" si="6"/>
        <v>5198473</v>
      </c>
      <c r="H19" s="13">
        <f t="shared" si="0"/>
        <v>50.750532866278263</v>
      </c>
      <c r="I19" s="12">
        <f t="shared" si="6"/>
        <v>4099946</v>
      </c>
      <c r="J19" s="23">
        <v>109420</v>
      </c>
      <c r="K19" s="12">
        <v>109420</v>
      </c>
      <c r="L19" s="12">
        <v>58104</v>
      </c>
      <c r="M19" s="13">
        <f t="shared" si="2"/>
        <v>53.101809541217328</v>
      </c>
      <c r="N19" s="12">
        <v>49103</v>
      </c>
      <c r="O19" s="12">
        <v>9399600</v>
      </c>
      <c r="P19" s="12">
        <v>10133769</v>
      </c>
      <c r="Q19" s="12">
        <v>5140369</v>
      </c>
      <c r="R19" s="13">
        <f t="shared" si="3"/>
        <v>50.725144810385949</v>
      </c>
      <c r="S19" s="12">
        <v>4050843</v>
      </c>
      <c r="T19" s="24">
        <v>0</v>
      </c>
      <c r="U19" s="24">
        <v>0</v>
      </c>
      <c r="V19" s="24">
        <v>0</v>
      </c>
      <c r="W19" s="13">
        <v>0</v>
      </c>
      <c r="X19" s="24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6"/>
        <v>3235448</v>
      </c>
      <c r="F20" s="12">
        <f t="shared" si="6"/>
        <v>3400204</v>
      </c>
      <c r="G20" s="12">
        <f t="shared" si="6"/>
        <v>1672715.84</v>
      </c>
      <c r="H20" s="13">
        <f t="shared" si="0"/>
        <v>49.194573031500468</v>
      </c>
      <c r="I20" s="12">
        <f t="shared" si="6"/>
        <v>1398587</v>
      </c>
      <c r="J20" s="20">
        <v>16540</v>
      </c>
      <c r="K20" s="12">
        <v>16540</v>
      </c>
      <c r="L20" s="12">
        <v>5476</v>
      </c>
      <c r="M20" s="13">
        <f t="shared" si="2"/>
        <v>33.107617896009671</v>
      </c>
      <c r="N20" s="12">
        <v>5763</v>
      </c>
      <c r="O20" s="12">
        <v>3218908</v>
      </c>
      <c r="P20" s="12">
        <v>3383664</v>
      </c>
      <c r="Q20" s="12">
        <v>1667239.84</v>
      </c>
      <c r="R20" s="13">
        <f t="shared" si="3"/>
        <v>49.273209160247596</v>
      </c>
      <c r="S20" s="12">
        <v>1392824</v>
      </c>
      <c r="T20" s="12">
        <v>0</v>
      </c>
      <c r="U20" s="12">
        <v>0</v>
      </c>
      <c r="V20" s="12">
        <v>0</v>
      </c>
      <c r="W20" s="13">
        <v>0</v>
      </c>
      <c r="X20" s="12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6"/>
        <v>224992</v>
      </c>
      <c r="F21" s="12">
        <f t="shared" si="6"/>
        <v>230160</v>
      </c>
      <c r="G21" s="12">
        <f t="shared" si="6"/>
        <v>115049</v>
      </c>
      <c r="H21" s="13">
        <f t="shared" si="0"/>
        <v>49.986531108793884</v>
      </c>
      <c r="I21" s="12">
        <f t="shared" si="6"/>
        <v>80336</v>
      </c>
      <c r="J21" s="20">
        <v>38000</v>
      </c>
      <c r="K21" s="12">
        <v>38000</v>
      </c>
      <c r="L21" s="12">
        <v>21520</v>
      </c>
      <c r="M21" s="13">
        <f t="shared" si="2"/>
        <v>56.631578947368425</v>
      </c>
      <c r="N21" s="12">
        <v>19214</v>
      </c>
      <c r="O21" s="12">
        <v>186992</v>
      </c>
      <c r="P21" s="12">
        <v>192160</v>
      </c>
      <c r="Q21" s="12">
        <v>93529</v>
      </c>
      <c r="R21" s="13">
        <f t="shared" si="3"/>
        <v>48.672460449625312</v>
      </c>
      <c r="S21" s="12">
        <v>61122</v>
      </c>
      <c r="T21" s="12">
        <v>0</v>
      </c>
      <c r="U21" s="12">
        <v>0</v>
      </c>
      <c r="V21" s="12">
        <v>0</v>
      </c>
      <c r="W21" s="13">
        <v>0</v>
      </c>
      <c r="X21" s="12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3">
        <v>0</v>
      </c>
      <c r="I22" s="12">
        <f t="shared" si="6"/>
        <v>0</v>
      </c>
      <c r="J22" s="20">
        <v>0</v>
      </c>
      <c r="K22" s="12">
        <v>0</v>
      </c>
      <c r="L22" s="12">
        <v>0</v>
      </c>
      <c r="M22" s="13">
        <v>0</v>
      </c>
      <c r="N22" s="12">
        <v>0</v>
      </c>
      <c r="O22" s="12">
        <v>0</v>
      </c>
      <c r="P22" s="12">
        <v>0</v>
      </c>
      <c r="Q22" s="12">
        <v>0</v>
      </c>
      <c r="R22" s="13">
        <v>0</v>
      </c>
      <c r="S22" s="12">
        <v>0</v>
      </c>
      <c r="T22" s="12">
        <v>0</v>
      </c>
      <c r="U22" s="12">
        <v>0</v>
      </c>
      <c r="V22" s="12">
        <v>0</v>
      </c>
      <c r="W22" s="13">
        <v>0</v>
      </c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6"/>
        <v>0</v>
      </c>
      <c r="F23" s="12">
        <f t="shared" si="6"/>
        <v>0</v>
      </c>
      <c r="G23" s="12">
        <f t="shared" si="6"/>
        <v>0</v>
      </c>
      <c r="H23" s="13">
        <v>0</v>
      </c>
      <c r="I23" s="12">
        <f t="shared" si="6"/>
        <v>0</v>
      </c>
      <c r="J23" s="20">
        <v>0</v>
      </c>
      <c r="K23" s="12">
        <v>0</v>
      </c>
      <c r="L23" s="12">
        <v>0</v>
      </c>
      <c r="M23" s="13">
        <v>0</v>
      </c>
      <c r="N23" s="12">
        <v>0</v>
      </c>
      <c r="O23" s="12">
        <v>0</v>
      </c>
      <c r="P23" s="12">
        <v>0</v>
      </c>
      <c r="Q23" s="12">
        <v>0</v>
      </c>
      <c r="R23" s="13">
        <v>0</v>
      </c>
      <c r="S23" s="12">
        <v>0</v>
      </c>
      <c r="T23" s="12">
        <v>0</v>
      </c>
      <c r="U23" s="12">
        <v>0</v>
      </c>
      <c r="V23" s="12">
        <v>0</v>
      </c>
      <c r="W23" s="13">
        <v>0</v>
      </c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3">
        <v>0</v>
      </c>
      <c r="I24" s="12">
        <f t="shared" si="6"/>
        <v>0</v>
      </c>
      <c r="J24" s="20">
        <v>0</v>
      </c>
      <c r="K24" s="12">
        <v>0</v>
      </c>
      <c r="L24" s="12">
        <v>0</v>
      </c>
      <c r="M24" s="13">
        <v>0</v>
      </c>
      <c r="N24" s="12">
        <v>0</v>
      </c>
      <c r="O24" s="12">
        <v>0</v>
      </c>
      <c r="P24" s="12">
        <v>0</v>
      </c>
      <c r="Q24" s="12">
        <v>0</v>
      </c>
      <c r="R24" s="13">
        <v>0</v>
      </c>
      <c r="S24" s="12">
        <v>0</v>
      </c>
      <c r="T24" s="12">
        <v>0</v>
      </c>
      <c r="U24" s="12">
        <v>0</v>
      </c>
      <c r="V24" s="12">
        <v>0</v>
      </c>
      <c r="W24" s="13">
        <v>0</v>
      </c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3">
        <v>0</v>
      </c>
      <c r="I25" s="12">
        <f t="shared" si="6"/>
        <v>303</v>
      </c>
      <c r="J25" s="20">
        <v>0</v>
      </c>
      <c r="K25" s="21">
        <v>0</v>
      </c>
      <c r="L25" s="21">
        <v>0</v>
      </c>
      <c r="M25" s="13">
        <v>0</v>
      </c>
      <c r="N25" s="22">
        <v>303</v>
      </c>
      <c r="O25" s="21">
        <v>0</v>
      </c>
      <c r="P25" s="21">
        <v>0</v>
      </c>
      <c r="Q25" s="21">
        <v>0</v>
      </c>
      <c r="R25" s="13">
        <v>0</v>
      </c>
      <c r="S25" s="21">
        <v>0</v>
      </c>
      <c r="T25" s="21">
        <v>0</v>
      </c>
      <c r="U25" s="21">
        <v>0</v>
      </c>
      <c r="V25" s="21">
        <v>0</v>
      </c>
      <c r="W25" s="13">
        <v>0</v>
      </c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6"/>
        <v>1248312</v>
      </c>
      <c r="F26" s="12">
        <f t="shared" si="6"/>
        <v>1248312</v>
      </c>
      <c r="G26" s="12">
        <f t="shared" si="6"/>
        <v>624156</v>
      </c>
      <c r="H26" s="26">
        <f>G26/F26*100</f>
        <v>50</v>
      </c>
      <c r="I26" s="12">
        <f>SUM(N26,S26)</f>
        <v>616602</v>
      </c>
      <c r="J26" s="20">
        <v>1248312</v>
      </c>
      <c r="K26" s="22">
        <v>1248312</v>
      </c>
      <c r="L26" s="22">
        <v>624156</v>
      </c>
      <c r="M26" s="13">
        <f>L26/K26*100</f>
        <v>50</v>
      </c>
      <c r="N26" s="22">
        <v>616602</v>
      </c>
      <c r="O26" s="22">
        <v>0</v>
      </c>
      <c r="P26" s="22">
        <v>0</v>
      </c>
      <c r="Q26" s="22">
        <v>0</v>
      </c>
      <c r="R26" s="13">
        <v>0</v>
      </c>
      <c r="S26" s="22">
        <v>0</v>
      </c>
      <c r="T26" s="268">
        <v>0</v>
      </c>
      <c r="U26" s="22">
        <v>0</v>
      </c>
      <c r="V26" s="22">
        <v>0</v>
      </c>
      <c r="W26" s="13">
        <v>0</v>
      </c>
      <c r="X26" s="47"/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6"/>
        <v>0</v>
      </c>
      <c r="F27" s="12">
        <f t="shared" si="6"/>
        <v>0</v>
      </c>
      <c r="G27" s="12">
        <f t="shared" si="6"/>
        <v>0</v>
      </c>
      <c r="H27" s="26">
        <v>0</v>
      </c>
      <c r="I27" s="12">
        <f t="shared" si="6"/>
        <v>0</v>
      </c>
      <c r="J27" s="20">
        <v>0</v>
      </c>
      <c r="K27" s="22">
        <v>0</v>
      </c>
      <c r="L27" s="22">
        <v>0</v>
      </c>
      <c r="M27" s="13">
        <v>0</v>
      </c>
      <c r="N27" s="12">
        <v>0</v>
      </c>
      <c r="O27" s="22">
        <v>0</v>
      </c>
      <c r="P27" s="22">
        <v>0</v>
      </c>
      <c r="Q27" s="22">
        <v>0</v>
      </c>
      <c r="R27" s="13">
        <v>0</v>
      </c>
      <c r="S27" s="22">
        <v>0</v>
      </c>
      <c r="T27" s="268">
        <v>0</v>
      </c>
      <c r="U27" s="22">
        <v>0</v>
      </c>
      <c r="V27" s="22">
        <v>0</v>
      </c>
      <c r="W27" s="13">
        <v>0</v>
      </c>
      <c r="X27" s="47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17000</v>
      </c>
      <c r="F28" s="12">
        <f>SUM(K28,P28)</f>
        <v>9810</v>
      </c>
      <c r="G28" s="12">
        <f>SUM(L28,Q28)</f>
        <v>9810</v>
      </c>
      <c r="H28" s="26">
        <f>G28/F28*100</f>
        <v>100</v>
      </c>
      <c r="I28" s="12">
        <f>SUM(N28,S28)</f>
        <v>18576</v>
      </c>
      <c r="J28" s="20">
        <v>17000</v>
      </c>
      <c r="K28" s="22">
        <v>9810</v>
      </c>
      <c r="L28" s="22">
        <v>9810</v>
      </c>
      <c r="M28" s="13">
        <f>L28/K28*100</f>
        <v>100</v>
      </c>
      <c r="N28" s="12">
        <v>18576</v>
      </c>
      <c r="O28" s="22">
        <v>0</v>
      </c>
      <c r="P28" s="22">
        <v>0</v>
      </c>
      <c r="Q28" s="22">
        <v>0</v>
      </c>
      <c r="R28" s="13">
        <v>0</v>
      </c>
      <c r="S28" s="22">
        <v>0</v>
      </c>
      <c r="T28" s="268">
        <v>0</v>
      </c>
      <c r="U28" s="22">
        <v>0</v>
      </c>
      <c r="V28" s="22">
        <v>0</v>
      </c>
      <c r="W28" s="13">
        <v>0</v>
      </c>
      <c r="X28" s="47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6"/>
        <v>500</v>
      </c>
      <c r="F29" s="12">
        <f t="shared" si="6"/>
        <v>500</v>
      </c>
      <c r="G29" s="12">
        <f t="shared" si="6"/>
        <v>303</v>
      </c>
      <c r="H29" s="26">
        <f t="shared" si="0"/>
        <v>60.6</v>
      </c>
      <c r="I29" s="12">
        <f t="shared" si="6"/>
        <v>0</v>
      </c>
      <c r="J29" s="20">
        <v>500</v>
      </c>
      <c r="K29" s="22">
        <v>500</v>
      </c>
      <c r="L29" s="22">
        <v>303</v>
      </c>
      <c r="M29" s="13">
        <f t="shared" si="2"/>
        <v>60.6</v>
      </c>
      <c r="N29" s="22">
        <v>0</v>
      </c>
      <c r="O29" s="22">
        <v>0</v>
      </c>
      <c r="P29" s="22">
        <v>0</v>
      </c>
      <c r="Q29" s="22">
        <v>0</v>
      </c>
      <c r="R29" s="13">
        <v>0</v>
      </c>
      <c r="S29" s="22">
        <v>0</v>
      </c>
      <c r="T29" s="268">
        <v>0</v>
      </c>
      <c r="U29" s="22">
        <v>0</v>
      </c>
      <c r="V29" s="22">
        <v>0</v>
      </c>
      <c r="W29" s="13">
        <v>0</v>
      </c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7">SUM(J30,O30)</f>
        <v>0</v>
      </c>
      <c r="F30" s="12">
        <f t="shared" si="7"/>
        <v>0</v>
      </c>
      <c r="G30" s="12">
        <f t="shared" si="7"/>
        <v>0</v>
      </c>
      <c r="H30" s="26">
        <v>0</v>
      </c>
      <c r="I30" s="12">
        <f>SUM(N30,S30)</f>
        <v>0</v>
      </c>
      <c r="J30" s="20">
        <v>0</v>
      </c>
      <c r="K30" s="22">
        <v>0</v>
      </c>
      <c r="L30" s="22">
        <v>0</v>
      </c>
      <c r="M30" s="13">
        <v>0</v>
      </c>
      <c r="N30" s="22">
        <v>0</v>
      </c>
      <c r="O30" s="22">
        <v>0</v>
      </c>
      <c r="P30" s="22">
        <v>0</v>
      </c>
      <c r="Q30" s="22">
        <v>0</v>
      </c>
      <c r="R30" s="13">
        <v>0</v>
      </c>
      <c r="S30" s="22">
        <v>0</v>
      </c>
      <c r="T30" s="268">
        <v>0</v>
      </c>
      <c r="U30" s="22">
        <v>0</v>
      </c>
      <c r="V30" s="22">
        <v>0</v>
      </c>
      <c r="W30" s="13">
        <v>0</v>
      </c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26">
        <v>0</v>
      </c>
      <c r="I31" s="12">
        <f>SUM(N31,S31)</f>
        <v>0</v>
      </c>
      <c r="J31" s="20">
        <v>0</v>
      </c>
      <c r="K31" s="29">
        <v>0</v>
      </c>
      <c r="L31" s="29">
        <v>0</v>
      </c>
      <c r="M31" s="13">
        <v>0</v>
      </c>
      <c r="N31" s="29">
        <v>0</v>
      </c>
      <c r="O31" s="29">
        <v>0</v>
      </c>
      <c r="P31" s="29">
        <v>0</v>
      </c>
      <c r="Q31" s="29">
        <v>0</v>
      </c>
      <c r="R31" s="13">
        <v>0</v>
      </c>
      <c r="S31" s="29">
        <v>0</v>
      </c>
      <c r="T31" s="30">
        <v>0</v>
      </c>
      <c r="U31" s="30">
        <v>0</v>
      </c>
      <c r="V31" s="30">
        <v>0</v>
      </c>
      <c r="W31" s="13">
        <v>0</v>
      </c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26">
        <v>0</v>
      </c>
      <c r="I32" s="12">
        <f>SUM(N32,S32)</f>
        <v>0</v>
      </c>
      <c r="J32" s="32">
        <v>0</v>
      </c>
      <c r="K32" s="30">
        <v>0</v>
      </c>
      <c r="L32" s="30">
        <v>0</v>
      </c>
      <c r="M32" s="13">
        <v>0</v>
      </c>
      <c r="N32" s="30">
        <v>0</v>
      </c>
      <c r="O32" s="30">
        <v>0</v>
      </c>
      <c r="P32" s="30">
        <v>0</v>
      </c>
      <c r="Q32" s="30">
        <v>0</v>
      </c>
      <c r="R32" s="13">
        <v>0</v>
      </c>
      <c r="S32" s="30">
        <v>0</v>
      </c>
      <c r="T32" s="30">
        <v>0</v>
      </c>
      <c r="U32" s="30">
        <v>0</v>
      </c>
      <c r="V32" s="30">
        <v>0</v>
      </c>
      <c r="W32" s="13">
        <v>0</v>
      </c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603652.47999999952</v>
      </c>
      <c r="H33" s="34">
        <v>0</v>
      </c>
      <c r="I33" s="8">
        <f>I6-I11</f>
        <v>361125</v>
      </c>
      <c r="J33" s="8">
        <f>J6-J11</f>
        <v>0</v>
      </c>
      <c r="K33" s="8">
        <f>K6-K11</f>
        <v>0</v>
      </c>
      <c r="L33" s="8">
        <f>L6-L11</f>
        <v>202438.32000000007</v>
      </c>
      <c r="M33" s="9">
        <v>0</v>
      </c>
      <c r="N33" s="8">
        <f>N6-N11</f>
        <v>180147</v>
      </c>
      <c r="O33" s="8">
        <f>O6-O11</f>
        <v>0</v>
      </c>
      <c r="P33" s="8">
        <f>P6-P11</f>
        <v>0</v>
      </c>
      <c r="Q33" s="8">
        <f>Q6-Q11</f>
        <v>401214.16000000015</v>
      </c>
      <c r="R33" s="9" t="e">
        <f t="shared" si="3"/>
        <v>#DIV/0!</v>
      </c>
      <c r="S33" s="8">
        <f>S6-S11</f>
        <v>180978</v>
      </c>
      <c r="T33" s="8">
        <f>T6-T11</f>
        <v>30104</v>
      </c>
      <c r="U33" s="8">
        <f>U6-U11</f>
        <v>30104</v>
      </c>
      <c r="V33" s="8">
        <f>V6-V11</f>
        <v>13945</v>
      </c>
      <c r="W33" s="9">
        <f t="shared" si="4"/>
        <v>46.322747807600315</v>
      </c>
      <c r="X33" s="8">
        <f>X6-X11</f>
        <v>28691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25364</v>
      </c>
      <c r="F34" s="37">
        <v>25364</v>
      </c>
      <c r="G34" s="37">
        <v>25474</v>
      </c>
      <c r="H34" s="26">
        <v>100.43</v>
      </c>
      <c r="I34" s="37">
        <v>24366</v>
      </c>
      <c r="J34" s="38"/>
      <c r="K34" s="38"/>
      <c r="L34" s="38"/>
      <c r="M34" s="9">
        <v>0</v>
      </c>
      <c r="N34" s="38"/>
      <c r="O34" s="38"/>
      <c r="P34" s="38"/>
      <c r="Q34" s="38"/>
      <c r="R34" s="9" t="e">
        <f t="shared" si="3"/>
        <v>#DIV/0!</v>
      </c>
      <c r="S34" s="38"/>
      <c r="T34" s="38"/>
      <c r="U34" s="38"/>
      <c r="V34" s="38"/>
      <c r="W34" s="9" t="e">
        <f t="shared" si="4"/>
        <v>#DIV/0!</v>
      </c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50">
        <v>30.72</v>
      </c>
      <c r="F35" s="50">
        <v>30.72</v>
      </c>
      <c r="G35" s="50">
        <v>28.599</v>
      </c>
      <c r="H35" s="26">
        <v>93.0989</v>
      </c>
      <c r="I35" s="50">
        <v>27.68</v>
      </c>
      <c r="J35" s="38"/>
      <c r="K35" s="49"/>
      <c r="L35" s="38"/>
      <c r="M35" s="9">
        <v>0</v>
      </c>
      <c r="N35" s="51"/>
      <c r="O35" s="38"/>
      <c r="P35" s="38"/>
      <c r="Q35" s="38"/>
      <c r="R35" s="9" t="e">
        <f t="shared" si="3"/>
        <v>#DIV/0!</v>
      </c>
      <c r="S35" s="38"/>
      <c r="T35" s="38"/>
      <c r="U35" s="38"/>
      <c r="V35" s="38"/>
      <c r="W35" s="9" t="e">
        <f t="shared" si="4"/>
        <v>#DIV/0!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34</v>
      </c>
      <c r="F36" s="37">
        <v>34</v>
      </c>
      <c r="G36" s="37">
        <v>34</v>
      </c>
      <c r="H36" s="26">
        <v>100</v>
      </c>
      <c r="I36" s="37">
        <v>32</v>
      </c>
      <c r="J36" s="38"/>
      <c r="K36" s="38"/>
      <c r="L36" s="38"/>
      <c r="M36" s="9">
        <v>0</v>
      </c>
      <c r="N36" s="38"/>
      <c r="O36" s="38"/>
      <c r="P36" s="38"/>
      <c r="Q36" s="38"/>
      <c r="R36" s="9" t="e">
        <f t="shared" si="3"/>
        <v>#DIV/0!</v>
      </c>
      <c r="S36" s="38"/>
      <c r="T36" s="38"/>
      <c r="U36" s="38"/>
      <c r="V36" s="38"/>
      <c r="W36" s="9" t="e">
        <f t="shared" si="4"/>
        <v>#DIV/0!</v>
      </c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81" orientation="landscape" useFirstPageNumber="1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8.75" x14ac:dyDescent="0.3">
      <c r="A1" s="919" t="s">
        <v>97</v>
      </c>
      <c r="B1" s="919"/>
      <c r="C1" s="919"/>
      <c r="D1" s="919"/>
      <c r="E1" s="919"/>
      <c r="F1" s="919"/>
      <c r="G1" s="919"/>
      <c r="H1" s="919"/>
      <c r="I1" s="919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185.25" customHeight="1" x14ac:dyDescent="0.2">
      <c r="A6" s="911" t="s">
        <v>107</v>
      </c>
      <c r="B6" s="912"/>
      <c r="C6" s="337">
        <v>202437.84</v>
      </c>
      <c r="D6" s="913" t="s">
        <v>639</v>
      </c>
      <c r="E6" s="913"/>
      <c r="F6" s="913"/>
      <c r="G6" s="913"/>
      <c r="H6" s="913"/>
      <c r="I6" s="913"/>
    </row>
    <row r="7" spans="1:14" s="338" customFormat="1" ht="42" customHeight="1" x14ac:dyDescent="0.15">
      <c r="A7" s="911" t="s">
        <v>92</v>
      </c>
      <c r="B7" s="912"/>
      <c r="C7" s="337">
        <v>13945</v>
      </c>
      <c r="D7" s="862" t="str">
        <f>[1]List2!$A$207</f>
        <v>Zřizovatelem máme schválený procentní výpočet nákladů doplňkové činnosti, který se odvíjí od výnosů. V roce 2017 jsme naplánovali 30.104,- Kč výsledek hospodaření, kterého s největší pravděpodobností ale nedosáhneme.</v>
      </c>
      <c r="E7" s="863"/>
      <c r="F7" s="863"/>
      <c r="G7" s="863"/>
      <c r="H7" s="863"/>
      <c r="I7" s="864"/>
    </row>
    <row r="8" spans="1:14" s="338" customFormat="1" ht="10.5" x14ac:dyDescent="0.15">
      <c r="A8" s="911" t="s">
        <v>110</v>
      </c>
      <c r="B8" s="912"/>
      <c r="C8" s="337">
        <v>401214.16</v>
      </c>
      <c r="D8" s="915"/>
      <c r="E8" s="916"/>
      <c r="F8" s="916"/>
      <c r="G8" s="916"/>
      <c r="H8" s="916"/>
      <c r="I8" s="917"/>
    </row>
    <row r="9" spans="1:14" s="334" customFormat="1" ht="8.25" customHeight="1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730" t="s">
        <v>112</v>
      </c>
      <c r="B12" s="730" t="s">
        <v>113</v>
      </c>
      <c r="C12" s="730" t="s">
        <v>114</v>
      </c>
      <c r="D12" s="730" t="s">
        <v>115</v>
      </c>
      <c r="E12" s="730" t="s">
        <v>116</v>
      </c>
      <c r="F12" s="730" t="s">
        <v>117</v>
      </c>
      <c r="G12" s="1186" t="s">
        <v>118</v>
      </c>
      <c r="H12" s="1186"/>
      <c r="I12" s="1186"/>
    </row>
    <row r="13" spans="1:14" s="334" customFormat="1" ht="251.25" customHeight="1" x14ac:dyDescent="0.2">
      <c r="A13" s="440" t="s">
        <v>187</v>
      </c>
      <c r="B13" s="441">
        <v>107476.52</v>
      </c>
      <c r="C13" s="441">
        <v>121085.56</v>
      </c>
      <c r="D13" s="441">
        <v>53579</v>
      </c>
      <c r="E13" s="441">
        <v>174983.08</v>
      </c>
      <c r="F13" s="731">
        <v>174983.08</v>
      </c>
      <c r="G13" s="913" t="str">
        <f>[1]List2!$A$220</f>
        <v>Rezervní fond: do fondu byl přidělen dosažený výsledek hospodaření z doplňkové činnosti roku 2016 ve výši 42.980,- Kč a část z HČ ve výši 19.750,56 Kč. Dále Zastupitelstvo města Prostějova rozhodlo o převodu finanční částky 43.355,- Kč (část výsledku hospodaření v hlavní činnosti) do rezervního fondu organizace, následně o převodu finanční částky 43.355,- Kč z rezervního fondu do fondu investic. Stav fondu na účtu 413 k 30. 6. je 149.087,99 Kč. Rada města Prostějova usnesením č. 7619 schválila čerpání rezervního fondu ve výši 70.000,- Kč na nákup nábytku do tříd (dokoupení lavic, židlí, nástěnek). Realizace proběhne ve 2. pololetí roku 2017. Na účet 414 byly přiděleny prostředky finančního daru Nadace SOVA ve výši 15.000,- Kč na materiální vybavení školních družin schválené usnesením 7150 ze dne 7. 2. 2017. V 1. pololetí se již vyčerpalo 10.224,- Kč. Stav k 30.6.2017 je 25.895,09 Kč.</v>
      </c>
      <c r="H13" s="913"/>
      <c r="I13" s="913"/>
    </row>
    <row r="14" spans="1:14" s="334" customFormat="1" ht="114.75" customHeight="1" x14ac:dyDescent="0.2">
      <c r="A14" s="440" t="s">
        <v>214</v>
      </c>
      <c r="B14" s="441">
        <v>21212</v>
      </c>
      <c r="C14" s="441">
        <v>667511</v>
      </c>
      <c r="D14" s="441">
        <v>659957</v>
      </c>
      <c r="E14" s="441">
        <v>28766</v>
      </c>
      <c r="F14" s="731">
        <v>28766</v>
      </c>
      <c r="G14" s="862" t="str">
        <f>[1]List2!$A$221</f>
        <v xml:space="preserve">Fond investic: v rámci finančního vypořádání roku 2016 byla do fondu převedena částka 43.355 Kč z rezervního fondu a následně tato částka byla odvedena na účet zřizovatele. Tvorba fondu ve výši odpisů byla za 1. pololetí 624.156,- Kč. Rada města Prostějova uložila ředitelce školy odvod zřizovateli z fondu investic ve výši odpisů budov, což činí 616.602,- Kč. Stav fondu k 30.6. je 28.766,- Kč. </v>
      </c>
      <c r="H14" s="863"/>
      <c r="I14" s="864"/>
      <c r="N14" s="349"/>
    </row>
    <row r="15" spans="1:14" s="334" customFormat="1" ht="93" customHeight="1" x14ac:dyDescent="0.2">
      <c r="A15" s="440" t="s">
        <v>191</v>
      </c>
      <c r="B15" s="441">
        <v>42335.98</v>
      </c>
      <c r="C15" s="441">
        <v>0</v>
      </c>
      <c r="D15" s="441">
        <v>0</v>
      </c>
      <c r="E15" s="441">
        <v>42335.98</v>
      </c>
      <c r="F15" s="731">
        <v>42335.98</v>
      </c>
      <c r="G15" s="862" t="str">
        <f>[1]List2!$A$218</f>
        <v>Fond odměn: RMP dne 27.6.2017 usnesením č. 7615 schválila přiznání mimořádné odměny pro ředitelku školy za podíl na zlepšeném výsledku hospodaření v doplňkové činnosti za kalendářní rok 2016 ve výši 3.400,-, která bude vyplacena v červencové výplatě. V 1. pololetí se z fondu odměn nečerpalo. Kč. Stav k 30.6. je 42.335,98 Kč.</v>
      </c>
      <c r="H15" s="863"/>
      <c r="I15" s="864"/>
    </row>
    <row r="16" spans="1:14" s="334" customFormat="1" ht="262.5" customHeight="1" x14ac:dyDescent="0.2">
      <c r="A16" s="443" t="s">
        <v>193</v>
      </c>
      <c r="B16" s="444">
        <v>100843.52</v>
      </c>
      <c r="C16" s="444">
        <v>93290</v>
      </c>
      <c r="D16" s="444">
        <v>53769</v>
      </c>
      <c r="E16" s="444">
        <v>140364.51999999999</v>
      </c>
      <c r="F16" s="732">
        <v>132039.60999999999</v>
      </c>
      <c r="G16" s="907" t="str">
        <f>[1]List2!$A$219</f>
        <v xml:space="preserve">F K S P - do fondu byly přiděleny 2 % z objemu hrubých prostředků, což činí 93.290,- Kč. Z fondu se přispívá v rámci individuálního příspěvku na rekreační a lázeňské pobyty, zájezdy a rehabilitace - za 1. pololetí zatím jen 2.000,- Kč. Dále se přispívá na stravování zaměstnanců - 27.800,- Kč (10,- Kč na jeden oběd, není zde zohledněn příspěvek zřizovatele za červen 3.840,- Kč), na kulturní představení, tělovýchovné akce, setkání s důchodci školy apod. - za 1. pololetí to bylo 23.969,- Kč. Rozdíl mezi účetním stavem (140.364,52 Kč) a finančním stavem (132.039,61 Kč) je 8.324,91 Kč. Je to rozdíl mezi přídělem z hrubých mezd za červen 2017 (15.685,- Kč), který do doby uzávěrky nemohl být připsán na účtě, předkontací neuhrazené faktury za obědy za červen 2017 ve výši 7.680,- Kč, dále mezi poplatky za červen (327,- Kč) a připsanými úroky za červen (7,09 Kč). Z FKSP se majetek nepořizoval. Stav fondu je k 30. 6. 2017 - 140.364,52 Kč. </v>
      </c>
      <c r="H16" s="908"/>
      <c r="I16" s="909"/>
    </row>
    <row r="17" spans="1:9" s="334" customFormat="1" ht="11.25" x14ac:dyDescent="0.2">
      <c r="A17" s="353" t="s">
        <v>90</v>
      </c>
      <c r="B17" s="354">
        <f>SUM(B13:B16)</f>
        <v>271868.02</v>
      </c>
      <c r="C17" s="354">
        <f t="shared" ref="C17:F17" si="0">SUM(C13:C16)</f>
        <v>881886.56</v>
      </c>
      <c r="D17" s="354">
        <f t="shared" si="0"/>
        <v>767305</v>
      </c>
      <c r="E17" s="354">
        <f t="shared" si="0"/>
        <v>386449.57999999996</v>
      </c>
      <c r="F17" s="354">
        <f t="shared" si="0"/>
        <v>378124.67</v>
      </c>
      <c r="G17" s="910"/>
      <c r="H17" s="910"/>
      <c r="I17" s="91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602" t="s">
        <v>640</v>
      </c>
      <c r="B22" s="358">
        <v>0</v>
      </c>
      <c r="C22" s="368"/>
      <c r="D22" s="897"/>
      <c r="E22" s="898"/>
      <c r="F22" s="898"/>
      <c r="G22" s="898"/>
      <c r="H22" s="898"/>
      <c r="I22" s="899"/>
    </row>
    <row r="23" spans="1:9" s="338" customFormat="1" ht="11.25" x14ac:dyDescent="0.2">
      <c r="A23" s="365" t="s">
        <v>90</v>
      </c>
      <c r="B23" s="366">
        <f>SUM(B22:B22)</f>
        <v>0</v>
      </c>
      <c r="C23" s="900"/>
      <c r="D23" s="900"/>
      <c r="E23" s="900"/>
      <c r="F23" s="900"/>
      <c r="G23" s="900"/>
      <c r="H23" s="900"/>
      <c r="I23" s="901"/>
    </row>
    <row r="24" spans="1:9" s="355" customFormat="1" ht="11.25" x14ac:dyDescent="0.2">
      <c r="C24" s="356"/>
    </row>
    <row r="25" spans="1:9" s="340" customFormat="1" ht="11.25" x14ac:dyDescent="0.2">
      <c r="A25" s="861" t="s">
        <v>140</v>
      </c>
      <c r="B25" s="861"/>
      <c r="C25" s="861"/>
      <c r="D25" s="861"/>
      <c r="E25" s="861"/>
      <c r="F25" s="861"/>
      <c r="G25" s="861"/>
      <c r="H25" s="861"/>
      <c r="I25" s="861"/>
    </row>
    <row r="26" spans="1:9" s="334" customFormat="1" ht="11.25" x14ac:dyDescent="0.2">
      <c r="C26" s="339"/>
    </row>
    <row r="27" spans="1:9" s="334" customFormat="1" ht="11.25" x14ac:dyDescent="0.2">
      <c r="A27" s="335" t="s">
        <v>130</v>
      </c>
      <c r="B27" s="335" t="s">
        <v>16</v>
      </c>
      <c r="C27" s="357" t="s">
        <v>131</v>
      </c>
      <c r="D27" s="902" t="s">
        <v>141</v>
      </c>
      <c r="E27" s="902"/>
      <c r="F27" s="902"/>
      <c r="G27" s="902"/>
      <c r="H27" s="902"/>
      <c r="I27" s="903"/>
    </row>
    <row r="28" spans="1:9" s="334" customFormat="1" ht="11.25" customHeight="1" x14ac:dyDescent="0.2">
      <c r="A28" s="602" t="s">
        <v>641</v>
      </c>
      <c r="B28" s="358">
        <v>0</v>
      </c>
      <c r="C28" s="368"/>
      <c r="D28" s="897"/>
      <c r="E28" s="898"/>
      <c r="F28" s="898"/>
      <c r="G28" s="898"/>
      <c r="H28" s="898"/>
      <c r="I28" s="899"/>
    </row>
    <row r="29" spans="1:9" s="338" customFormat="1" ht="10.5" x14ac:dyDescent="0.15">
      <c r="A29" s="365" t="s">
        <v>90</v>
      </c>
      <c r="B29" s="366">
        <f>SUM(B28:B28)</f>
        <v>0</v>
      </c>
      <c r="C29" s="891"/>
      <c r="D29" s="891"/>
      <c r="E29" s="891"/>
      <c r="F29" s="891"/>
      <c r="G29" s="891"/>
      <c r="H29" s="891"/>
      <c r="I29" s="891"/>
    </row>
    <row r="30" spans="1:9" s="334" customFormat="1" ht="11.25" x14ac:dyDescent="0.2">
      <c r="C30" s="339"/>
    </row>
    <row r="31" spans="1:9" s="340" customFormat="1" ht="11.25" x14ac:dyDescent="0.2">
      <c r="A31" s="861" t="s">
        <v>143</v>
      </c>
      <c r="B31" s="861"/>
      <c r="C31" s="861"/>
      <c r="D31" s="861"/>
      <c r="E31" s="861"/>
      <c r="F31" s="861"/>
      <c r="G31" s="861"/>
      <c r="H31" s="861"/>
      <c r="I31" s="861"/>
    </row>
    <row r="32" spans="1:9" s="334" customFormat="1" ht="11.25" x14ac:dyDescent="0.2">
      <c r="C32" s="369"/>
    </row>
    <row r="33" spans="1:9" s="334" customFormat="1" ht="11.25" x14ac:dyDescent="0.2">
      <c r="A33" s="335" t="s">
        <v>144</v>
      </c>
      <c r="B33" s="357" t="s">
        <v>145</v>
      </c>
      <c r="C33" s="892" t="s">
        <v>146</v>
      </c>
      <c r="D33" s="892"/>
      <c r="E33" s="892"/>
      <c r="F33" s="892"/>
      <c r="G33" s="892"/>
      <c r="H33" s="892"/>
      <c r="I33" s="893"/>
    </row>
    <row r="34" spans="1:9" s="334" customFormat="1" ht="11.25" x14ac:dyDescent="0.2">
      <c r="A34" s="733">
        <v>15000</v>
      </c>
      <c r="B34" s="733">
        <v>10224</v>
      </c>
      <c r="C34" s="934" t="s">
        <v>642</v>
      </c>
      <c r="D34" s="934"/>
      <c r="E34" s="934"/>
      <c r="F34" s="934"/>
      <c r="G34" s="934"/>
      <c r="H34" s="934"/>
      <c r="I34" s="934"/>
    </row>
    <row r="35" spans="1:9" s="334" customFormat="1" ht="11.25" x14ac:dyDescent="0.2">
      <c r="A35" s="734">
        <v>10000</v>
      </c>
      <c r="B35" s="734">
        <v>10000</v>
      </c>
      <c r="C35" s="1081" t="s">
        <v>643</v>
      </c>
      <c r="D35" s="877"/>
      <c r="E35" s="877"/>
      <c r="F35" s="877"/>
      <c r="G35" s="877"/>
      <c r="H35" s="877"/>
      <c r="I35" s="877"/>
    </row>
    <row r="36" spans="1:9" s="338" customFormat="1" ht="10.5" x14ac:dyDescent="0.15">
      <c r="A36" s="735">
        <f>SUM(A34:A35)</f>
        <v>25000</v>
      </c>
      <c r="B36" s="735">
        <f>SUM(B34:B35)</f>
        <v>20224</v>
      </c>
      <c r="C36" s="878" t="s">
        <v>90</v>
      </c>
      <c r="D36" s="879"/>
      <c r="E36" s="879"/>
      <c r="F36" s="879"/>
      <c r="G36" s="879"/>
      <c r="H36" s="879"/>
      <c r="I36" s="880"/>
    </row>
    <row r="37" spans="1:9" s="334" customFormat="1" ht="9.75" customHeight="1" x14ac:dyDescent="0.2">
      <c r="C37" s="369"/>
    </row>
    <row r="38" spans="1:9" s="334" customFormat="1" ht="11.25" x14ac:dyDescent="0.2">
      <c r="A38" s="861" t="s">
        <v>148</v>
      </c>
      <c r="B38" s="865"/>
      <c r="C38" s="865"/>
      <c r="D38" s="865"/>
      <c r="E38" s="865"/>
      <c r="F38" s="865"/>
      <c r="G38" s="865"/>
      <c r="H38" s="865"/>
      <c r="I38" s="865"/>
    </row>
    <row r="39" spans="1:9" s="334" customFormat="1" ht="6.75" customHeight="1" x14ac:dyDescent="0.2">
      <c r="C39" s="369"/>
    </row>
    <row r="40" spans="1:9" s="373" customFormat="1" ht="31.5" x14ac:dyDescent="0.25">
      <c r="A40" s="866" t="s">
        <v>149</v>
      </c>
      <c r="B40" s="867"/>
      <c r="C40" s="372" t="s">
        <v>150</v>
      </c>
      <c r="D40" s="372" t="s">
        <v>151</v>
      </c>
      <c r="E40" s="372" t="s">
        <v>152</v>
      </c>
      <c r="F40" s="372" t="s">
        <v>153</v>
      </c>
      <c r="G40" s="372" t="s">
        <v>154</v>
      </c>
    </row>
    <row r="41" spans="1:9" s="334" customFormat="1" ht="11.25" x14ac:dyDescent="0.2">
      <c r="A41" s="933" t="s">
        <v>644</v>
      </c>
      <c r="B41" s="905"/>
      <c r="C41" s="736" t="s">
        <v>168</v>
      </c>
      <c r="D41" s="737">
        <v>10224</v>
      </c>
      <c r="E41" s="737"/>
      <c r="F41" s="738">
        <v>42773</v>
      </c>
      <c r="G41" s="739"/>
    </row>
    <row r="42" spans="1:9" s="334" customFormat="1" ht="11.25" x14ac:dyDescent="0.2">
      <c r="A42" s="870" t="s">
        <v>645</v>
      </c>
      <c r="B42" s="871"/>
      <c r="C42" s="736" t="s">
        <v>646</v>
      </c>
      <c r="D42" s="737"/>
      <c r="E42" s="737">
        <v>9375</v>
      </c>
      <c r="F42" s="740"/>
      <c r="G42" s="738">
        <v>42846</v>
      </c>
    </row>
    <row r="43" spans="1:9" s="334" customFormat="1" ht="12.75" customHeight="1" x14ac:dyDescent="0.2">
      <c r="A43" s="1180"/>
      <c r="B43" s="1181"/>
      <c r="C43" s="736" t="s">
        <v>574</v>
      </c>
      <c r="D43" s="737"/>
      <c r="E43" s="737">
        <v>849</v>
      </c>
      <c r="F43" s="740"/>
      <c r="G43" s="738">
        <v>42846</v>
      </c>
    </row>
    <row r="44" spans="1:9" s="334" customFormat="1" ht="15" x14ac:dyDescent="0.2">
      <c r="A44" s="1182" t="s">
        <v>647</v>
      </c>
      <c r="B44" s="1183"/>
      <c r="C44" s="1183"/>
      <c r="D44" s="1183"/>
      <c r="E44" s="1183"/>
      <c r="F44" s="1183"/>
      <c r="G44" s="1184"/>
    </row>
    <row r="45" spans="1:9" s="334" customFormat="1" ht="15" x14ac:dyDescent="0.2">
      <c r="A45" s="1180" t="s">
        <v>648</v>
      </c>
      <c r="B45" s="1181"/>
      <c r="C45" s="736" t="s">
        <v>649</v>
      </c>
      <c r="D45" s="737">
        <v>10000</v>
      </c>
      <c r="E45" s="737"/>
      <c r="F45" s="738">
        <v>42878</v>
      </c>
      <c r="G45" s="738"/>
    </row>
    <row r="46" spans="1:9" s="334" customFormat="1" ht="15" x14ac:dyDescent="0.2">
      <c r="A46" s="1180" t="s">
        <v>650</v>
      </c>
      <c r="B46" s="1181"/>
      <c r="C46" s="736" t="s">
        <v>646</v>
      </c>
      <c r="D46" s="737"/>
      <c r="E46" s="737">
        <v>10000</v>
      </c>
      <c r="F46" s="740"/>
      <c r="G46" s="738">
        <v>42887</v>
      </c>
    </row>
    <row r="47" spans="1:9" s="334" customFormat="1" ht="15" x14ac:dyDescent="0.2">
      <c r="A47" s="1182" t="s">
        <v>651</v>
      </c>
      <c r="B47" s="1185"/>
      <c r="C47" s="1183"/>
      <c r="D47" s="1183"/>
      <c r="E47" s="1183"/>
      <c r="F47" s="1183"/>
      <c r="G47" s="1184"/>
    </row>
    <row r="48" spans="1:9" s="334" customFormat="1" ht="15" x14ac:dyDescent="0.2">
      <c r="A48" s="1180" t="s">
        <v>652</v>
      </c>
      <c r="B48" s="1181"/>
      <c r="C48" s="736" t="s">
        <v>569</v>
      </c>
      <c r="D48" s="737">
        <v>27000</v>
      </c>
      <c r="E48" s="737"/>
      <c r="F48" s="738">
        <v>42878</v>
      </c>
      <c r="G48" s="738"/>
    </row>
    <row r="49" spans="1:9" s="334" customFormat="1" ht="15" x14ac:dyDescent="0.2">
      <c r="A49" s="1180" t="s">
        <v>653</v>
      </c>
      <c r="B49" s="1181"/>
      <c r="C49" s="736" t="s">
        <v>585</v>
      </c>
      <c r="D49" s="737"/>
      <c r="E49" s="737">
        <v>27000</v>
      </c>
      <c r="F49" s="740"/>
      <c r="G49" s="738">
        <v>42916</v>
      </c>
    </row>
    <row r="50" spans="1:9" s="334" customFormat="1" ht="15" x14ac:dyDescent="0.2">
      <c r="A50" s="1182" t="s">
        <v>654</v>
      </c>
      <c r="B50" s="1183"/>
      <c r="C50" s="1183"/>
      <c r="D50" s="1183"/>
      <c r="E50" s="1183"/>
      <c r="F50" s="1183"/>
      <c r="G50" s="1184"/>
    </row>
    <row r="51" spans="1:9" s="334" customFormat="1" ht="15" x14ac:dyDescent="0.2">
      <c r="A51" s="1180" t="s">
        <v>655</v>
      </c>
      <c r="B51" s="1181"/>
      <c r="C51" s="736" t="s">
        <v>200</v>
      </c>
      <c r="D51" s="737"/>
      <c r="E51" s="737">
        <v>-7189.5</v>
      </c>
      <c r="F51" s="738">
        <v>42871</v>
      </c>
      <c r="G51" s="738"/>
    </row>
    <row r="52" spans="1:9" s="334" customFormat="1" ht="15" x14ac:dyDescent="0.2">
      <c r="A52" s="1180" t="s">
        <v>656</v>
      </c>
      <c r="B52" s="1181"/>
      <c r="C52" s="736" t="s">
        <v>574</v>
      </c>
      <c r="D52" s="737"/>
      <c r="E52" s="737">
        <v>7189.5</v>
      </c>
      <c r="F52" s="740"/>
      <c r="G52" s="738">
        <v>42871</v>
      </c>
    </row>
    <row r="53" spans="1:9" s="334" customFormat="1" ht="23.25" customHeight="1" x14ac:dyDescent="0.2">
      <c r="A53" s="1182" t="s">
        <v>657</v>
      </c>
      <c r="B53" s="1183"/>
      <c r="C53" s="1183"/>
      <c r="D53" s="1183"/>
      <c r="E53" s="1183"/>
      <c r="F53" s="1183"/>
      <c r="G53" s="1184"/>
    </row>
    <row r="54" spans="1:9" s="334" customFormat="1" ht="11.25" x14ac:dyDescent="0.2">
      <c r="A54" s="872" t="s">
        <v>169</v>
      </c>
      <c r="B54" s="873"/>
      <c r="C54" s="387"/>
      <c r="D54" s="354">
        <v>47224</v>
      </c>
      <c r="E54" s="354">
        <v>47224</v>
      </c>
      <c r="F54" s="881"/>
      <c r="G54" s="882"/>
    </row>
    <row r="55" spans="1:9" s="334" customFormat="1" ht="11.25" x14ac:dyDescent="0.2">
      <c r="C55" s="369"/>
    </row>
    <row r="56" spans="1:9" s="334" customFormat="1" ht="11.25" x14ac:dyDescent="0.2">
      <c r="A56" s="865" t="s">
        <v>170</v>
      </c>
      <c r="B56" s="865"/>
      <c r="C56" s="865"/>
      <c r="D56" s="865"/>
      <c r="E56" s="865"/>
      <c r="F56" s="865"/>
      <c r="G56" s="865"/>
      <c r="H56" s="865"/>
      <c r="I56" s="865"/>
    </row>
    <row r="57" spans="1:9" s="334" customFormat="1" ht="3.75" customHeight="1" x14ac:dyDescent="0.2">
      <c r="C57" s="369"/>
    </row>
    <row r="58" spans="1:9" s="373" customFormat="1" ht="31.5" x14ac:dyDescent="0.25">
      <c r="A58" s="866" t="s">
        <v>149</v>
      </c>
      <c r="B58" s="867"/>
      <c r="C58" s="372" t="s">
        <v>150</v>
      </c>
      <c r="D58" s="372" t="s">
        <v>151</v>
      </c>
      <c r="E58" s="372" t="s">
        <v>152</v>
      </c>
      <c r="F58" s="372" t="s">
        <v>153</v>
      </c>
      <c r="G58" s="372" t="s">
        <v>154</v>
      </c>
    </row>
    <row r="59" spans="1:9" s="334" customFormat="1" ht="25.5" customHeight="1" x14ac:dyDescent="0.2">
      <c r="A59" s="1173" t="s">
        <v>658</v>
      </c>
      <c r="B59" s="1174"/>
      <c r="C59" s="1175"/>
      <c r="D59" s="1175"/>
      <c r="E59" s="1175"/>
      <c r="F59" s="1175"/>
      <c r="G59" s="1176"/>
    </row>
    <row r="60" spans="1:9" s="334" customFormat="1" ht="11.25" x14ac:dyDescent="0.2">
      <c r="A60" s="872" t="s">
        <v>169</v>
      </c>
      <c r="B60" s="873"/>
      <c r="C60" s="387"/>
      <c r="D60" s="354">
        <f>SUM(D59:D59)</f>
        <v>0</v>
      </c>
      <c r="E60" s="354">
        <f>SUM(E59:E59)</f>
        <v>0</v>
      </c>
      <c r="F60" s="874"/>
      <c r="G60" s="875"/>
    </row>
    <row r="61" spans="1:9" s="334" customFormat="1" ht="5.25" customHeight="1" x14ac:dyDescent="0.2">
      <c r="C61" s="369"/>
    </row>
    <row r="62" spans="1:9" s="340" customFormat="1" ht="11.25" x14ac:dyDescent="0.2">
      <c r="A62" s="860" t="s">
        <v>172</v>
      </c>
      <c r="B62" s="860"/>
      <c r="C62" s="860"/>
      <c r="D62" s="860"/>
      <c r="E62" s="860"/>
      <c r="F62" s="860"/>
      <c r="G62" s="860"/>
      <c r="H62" s="860"/>
      <c r="I62" s="860"/>
    </row>
    <row r="63" spans="1:9" s="334" customFormat="1" ht="11.25" customHeight="1" x14ac:dyDescent="0.2">
      <c r="A63" s="1177" t="s">
        <v>659</v>
      </c>
      <c r="B63" s="1178"/>
      <c r="C63" s="1178"/>
      <c r="D63" s="1178"/>
      <c r="E63" s="1178"/>
      <c r="F63" s="1178"/>
      <c r="G63" s="1178"/>
      <c r="H63" s="1178"/>
      <c r="I63" s="1179"/>
    </row>
    <row r="64" spans="1:9" s="334" customFormat="1" ht="11.25" x14ac:dyDescent="0.2">
      <c r="A64" s="857"/>
      <c r="B64" s="858"/>
      <c r="C64" s="858"/>
      <c r="D64" s="858"/>
      <c r="E64" s="858"/>
      <c r="F64" s="858"/>
      <c r="G64" s="858"/>
      <c r="H64" s="858"/>
      <c r="I64" s="859"/>
    </row>
    <row r="65" spans="1:9" s="333" customFormat="1" ht="10.5" x14ac:dyDescent="0.15">
      <c r="A65" s="861" t="s">
        <v>175</v>
      </c>
      <c r="B65" s="861"/>
      <c r="C65" s="861"/>
      <c r="D65" s="861"/>
      <c r="E65" s="861"/>
      <c r="F65" s="861"/>
      <c r="G65" s="861"/>
      <c r="H65" s="861"/>
      <c r="I65" s="861"/>
    </row>
    <row r="66" spans="1:9" s="334" customFormat="1" ht="11.25" x14ac:dyDescent="0.2"/>
    <row r="67" spans="1:9" s="334" customFormat="1" ht="23.25" customHeight="1" x14ac:dyDescent="0.2">
      <c r="A67" s="862" t="s">
        <v>660</v>
      </c>
      <c r="B67" s="863"/>
      <c r="C67" s="863"/>
      <c r="D67" s="863"/>
      <c r="E67" s="863"/>
      <c r="F67" s="863"/>
      <c r="G67" s="863"/>
      <c r="H67" s="863"/>
      <c r="I67" s="864"/>
    </row>
    <row r="69" spans="1:9" ht="15" x14ac:dyDescent="0.2">
      <c r="A69" s="436" t="s">
        <v>661</v>
      </c>
      <c r="C69" s="1169" t="s">
        <v>662</v>
      </c>
      <c r="D69" s="1170"/>
    </row>
    <row r="70" spans="1:9" ht="15.75" customHeight="1" x14ac:dyDescent="0.3">
      <c r="A70" s="391"/>
      <c r="C70" s="1171" t="s">
        <v>663</v>
      </c>
      <c r="D70" s="1172"/>
    </row>
  </sheetData>
  <mergeCells count="59">
    <mergeCell ref="A1:I1"/>
    <mergeCell ref="A3:I3"/>
    <mergeCell ref="A5:B5"/>
    <mergeCell ref="D5:I5"/>
    <mergeCell ref="A6:B6"/>
    <mergeCell ref="D6:I6"/>
    <mergeCell ref="A19:I19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C36:I36"/>
    <mergeCell ref="D21:I21"/>
    <mergeCell ref="D22:I22"/>
    <mergeCell ref="C23:I23"/>
    <mergeCell ref="A25:I25"/>
    <mergeCell ref="D27:I27"/>
    <mergeCell ref="D28:I28"/>
    <mergeCell ref="C29:I29"/>
    <mergeCell ref="A31:I31"/>
    <mergeCell ref="C33:I33"/>
    <mergeCell ref="C34:I34"/>
    <mergeCell ref="C35:I35"/>
    <mergeCell ref="A50:G50"/>
    <mergeCell ref="A38:I38"/>
    <mergeCell ref="A40:B40"/>
    <mergeCell ref="A41:B41"/>
    <mergeCell ref="A42:B42"/>
    <mergeCell ref="A43:B43"/>
    <mergeCell ref="A44:G44"/>
    <mergeCell ref="A45:B45"/>
    <mergeCell ref="A46:B46"/>
    <mergeCell ref="A47:G47"/>
    <mergeCell ref="A48:B48"/>
    <mergeCell ref="A49:B49"/>
    <mergeCell ref="A63:I63"/>
    <mergeCell ref="A51:B51"/>
    <mergeCell ref="A52:B52"/>
    <mergeCell ref="A53:G53"/>
    <mergeCell ref="A54:B54"/>
    <mergeCell ref="F54:G54"/>
    <mergeCell ref="A56:I56"/>
    <mergeCell ref="A58:B58"/>
    <mergeCell ref="A59:G59"/>
    <mergeCell ref="A60:B60"/>
    <mergeCell ref="F60:G60"/>
    <mergeCell ref="A62:I62"/>
    <mergeCell ref="A64:I64"/>
    <mergeCell ref="A65:I65"/>
    <mergeCell ref="A67:I67"/>
    <mergeCell ref="C69:D69"/>
    <mergeCell ref="C70:D70"/>
  </mergeCells>
  <pageMargins left="0.70866141732283472" right="0.70866141732283472" top="0.78740157480314965" bottom="0.78740157480314965" header="0.31496062992125984" footer="0.31496062992125984"/>
  <pageSetup paperSize="9" scale="61" firstPageNumber="82" fitToHeight="3" orientation="portrait" useFirstPageNumber="1" r:id="rId1"/>
  <headerFooter>
    <oddFooter>&amp;C&amp;P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0.85546875" style="43" customWidth="1"/>
    <col min="4" max="4" width="5" style="43" customWidth="1"/>
    <col min="5" max="7" width="5.7109375" style="43" customWidth="1"/>
    <col min="8" max="8" width="4.42578125" style="43" customWidth="1"/>
    <col min="9" max="12" width="5.7109375" style="43" customWidth="1"/>
    <col min="13" max="13" width="4.28515625" style="43" customWidth="1"/>
    <col min="14" max="17" width="5.7109375" style="43" customWidth="1"/>
    <col min="18" max="18" width="4.85546875" style="43" customWidth="1"/>
    <col min="19" max="22" width="5.7109375" style="43" customWidth="1"/>
    <col min="23" max="23" width="4.140625" style="43" customWidth="1"/>
    <col min="24" max="24" width="5.7109375" style="43" customWidth="1"/>
    <col min="25" max="25" width="5.7109375" style="43" bestFit="1" customWidth="1"/>
    <col min="26" max="16384" width="3.7109375" style="43"/>
  </cols>
  <sheetData>
    <row r="1" spans="1:24" s="1" customFormat="1" ht="15.75" x14ac:dyDescent="0.25">
      <c r="A1" s="853" t="s">
        <v>89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x14ac:dyDescent="0.2">
      <c r="A3" s="1199" t="s">
        <v>1</v>
      </c>
      <c r="B3" s="1210" t="s">
        <v>2</v>
      </c>
      <c r="C3" s="1211"/>
      <c r="D3" s="1216" t="s">
        <v>3</v>
      </c>
      <c r="E3" s="1219" t="s">
        <v>90</v>
      </c>
      <c r="F3" s="1220"/>
      <c r="G3" s="1220"/>
      <c r="H3" s="1220"/>
      <c r="I3" s="1221"/>
      <c r="J3" s="1219" t="s">
        <v>5</v>
      </c>
      <c r="K3" s="1220"/>
      <c r="L3" s="1220"/>
      <c r="M3" s="1220"/>
      <c r="N3" s="1221"/>
      <c r="O3" s="1219" t="s">
        <v>91</v>
      </c>
      <c r="P3" s="1220"/>
      <c r="Q3" s="1220"/>
      <c r="R3" s="1220"/>
      <c r="S3" s="1221"/>
      <c r="T3" s="1219" t="s">
        <v>92</v>
      </c>
      <c r="U3" s="1220"/>
      <c r="V3" s="1220"/>
      <c r="W3" s="1220"/>
      <c r="X3" s="1221"/>
    </row>
    <row r="4" spans="1:24" s="3" customFormat="1" ht="9.75" x14ac:dyDescent="0.2">
      <c r="A4" s="1208"/>
      <c r="B4" s="1212"/>
      <c r="C4" s="1213"/>
      <c r="D4" s="1217"/>
      <c r="E4" s="1201" t="s">
        <v>8</v>
      </c>
      <c r="F4" s="1203" t="s">
        <v>9</v>
      </c>
      <c r="G4" s="1204"/>
      <c r="H4" s="1205"/>
      <c r="I4" s="1199" t="s">
        <v>10</v>
      </c>
      <c r="J4" s="1201" t="s">
        <v>8</v>
      </c>
      <c r="K4" s="1203" t="s">
        <v>9</v>
      </c>
      <c r="L4" s="1204"/>
      <c r="M4" s="1205"/>
      <c r="N4" s="1199" t="s">
        <v>10</v>
      </c>
      <c r="O4" s="1201" t="s">
        <v>8</v>
      </c>
      <c r="P4" s="1203" t="s">
        <v>9</v>
      </c>
      <c r="Q4" s="1204"/>
      <c r="R4" s="1205"/>
      <c r="S4" s="1199" t="s">
        <v>10</v>
      </c>
      <c r="T4" s="1201" t="s">
        <v>8</v>
      </c>
      <c r="U4" s="1203" t="s">
        <v>9</v>
      </c>
      <c r="V4" s="1204"/>
      <c r="W4" s="1205"/>
      <c r="X4" s="1199" t="s">
        <v>10</v>
      </c>
    </row>
    <row r="5" spans="1:24" s="5" customFormat="1" ht="9.75" customHeight="1" x14ac:dyDescent="0.2">
      <c r="A5" s="1209"/>
      <c r="B5" s="1214"/>
      <c r="C5" s="1215"/>
      <c r="D5" s="1218"/>
      <c r="E5" s="1202"/>
      <c r="F5" s="143" t="s">
        <v>11</v>
      </c>
      <c r="G5" s="144" t="s">
        <v>12</v>
      </c>
      <c r="H5" s="143" t="s">
        <v>13</v>
      </c>
      <c r="I5" s="1200"/>
      <c r="J5" s="1202"/>
      <c r="K5" s="143" t="s">
        <v>11</v>
      </c>
      <c r="L5" s="144" t="s">
        <v>12</v>
      </c>
      <c r="M5" s="143" t="s">
        <v>13</v>
      </c>
      <c r="N5" s="1200"/>
      <c r="O5" s="1202"/>
      <c r="P5" s="143" t="s">
        <v>11</v>
      </c>
      <c r="Q5" s="144" t="s">
        <v>12</v>
      </c>
      <c r="R5" s="143" t="s">
        <v>13</v>
      </c>
      <c r="S5" s="1200"/>
      <c r="T5" s="1202"/>
      <c r="U5" s="143" t="s">
        <v>11</v>
      </c>
      <c r="V5" s="144" t="s">
        <v>12</v>
      </c>
      <c r="W5" s="143" t="s">
        <v>13</v>
      </c>
      <c r="X5" s="1200"/>
    </row>
    <row r="6" spans="1:24" s="2" customFormat="1" ht="9.75" customHeight="1" x14ac:dyDescent="0.2">
      <c r="A6" s="145" t="s">
        <v>14</v>
      </c>
      <c r="B6" s="1088" t="s">
        <v>15</v>
      </c>
      <c r="C6" s="1088"/>
      <c r="D6" s="146" t="s">
        <v>16</v>
      </c>
      <c r="E6" s="147">
        <f>SUM(E7:E9)</f>
        <v>42890542</v>
      </c>
      <c r="F6" s="147">
        <f>SUM(F7:F9)</f>
        <v>43716818</v>
      </c>
      <c r="G6" s="147">
        <f>SUM(G7:G9)</f>
        <v>23224310.900000002</v>
      </c>
      <c r="H6" s="148">
        <f t="shared" ref="H6:H36" si="0">G6/F6*100</f>
        <v>53.124431197165357</v>
      </c>
      <c r="I6" s="147">
        <f>SUM(I7:I9)</f>
        <v>25146858</v>
      </c>
      <c r="J6" s="147">
        <f>SUM(J7:J9)</f>
        <v>13126400</v>
      </c>
      <c r="K6" s="147">
        <f t="shared" ref="K6:X6" si="1">SUM(K7:K9)</f>
        <v>13952676</v>
      </c>
      <c r="L6" s="147">
        <f t="shared" si="1"/>
        <v>7830108.9000000013</v>
      </c>
      <c r="M6" s="148">
        <f t="shared" ref="M6:M32" si="2">L6/K6*100</f>
        <v>56.119047700957161</v>
      </c>
      <c r="N6" s="149">
        <f>SUM(N7:N9)</f>
        <v>7504558</v>
      </c>
      <c r="O6" s="147">
        <f t="shared" si="1"/>
        <v>29764142</v>
      </c>
      <c r="P6" s="147">
        <f t="shared" si="1"/>
        <v>29764142</v>
      </c>
      <c r="Q6" s="147">
        <f t="shared" si="1"/>
        <v>15394202</v>
      </c>
      <c r="R6" s="148">
        <f t="shared" ref="R6:R32" si="3">Q6/P6*100</f>
        <v>51.720630818116639</v>
      </c>
      <c r="S6" s="147">
        <f t="shared" si="1"/>
        <v>17642300</v>
      </c>
      <c r="T6" s="147">
        <f t="shared" si="1"/>
        <v>1680000</v>
      </c>
      <c r="U6" s="147">
        <f t="shared" si="1"/>
        <v>1680000</v>
      </c>
      <c r="V6" s="147">
        <f t="shared" si="1"/>
        <v>630697.05000000005</v>
      </c>
      <c r="W6" s="148">
        <f t="shared" ref="W6:W32" si="4">V6/U6*100</f>
        <v>37.541491071428574</v>
      </c>
      <c r="X6" s="147">
        <f t="shared" si="1"/>
        <v>1112642</v>
      </c>
    </row>
    <row r="7" spans="1:24" s="2" customFormat="1" ht="9.75" x14ac:dyDescent="0.2">
      <c r="A7" s="150" t="s">
        <v>17</v>
      </c>
      <c r="B7" s="1206" t="s">
        <v>18</v>
      </c>
      <c r="C7" s="1207"/>
      <c r="D7" s="151" t="s">
        <v>16</v>
      </c>
      <c r="E7" s="152">
        <f t="shared" ref="E7:G10" si="5">SUM(J7,O7)</f>
        <v>7423900</v>
      </c>
      <c r="F7" s="153">
        <f t="shared" si="5"/>
        <v>7592176</v>
      </c>
      <c r="G7" s="153">
        <f>SUM(L7,Q7)</f>
        <v>4321967.830000001</v>
      </c>
      <c r="H7" s="154">
        <f t="shared" si="0"/>
        <v>56.926602202056444</v>
      </c>
      <c r="I7" s="155">
        <f>SUM(N7,S7)</f>
        <v>3924031</v>
      </c>
      <c r="J7" s="156">
        <v>7423900</v>
      </c>
      <c r="K7" s="157">
        <f>7423900+15000+13515+59161+35700+39900+5000</f>
        <v>7592176</v>
      </c>
      <c r="L7" s="158">
        <f>4322108.9-75.89-65.18</f>
        <v>4321967.830000001</v>
      </c>
      <c r="M7" s="154">
        <f t="shared" si="2"/>
        <v>56.926602202056444</v>
      </c>
      <c r="N7" s="159">
        <v>3924031</v>
      </c>
      <c r="O7" s="160"/>
      <c r="P7" s="158"/>
      <c r="Q7" s="158"/>
      <c r="R7" s="154" t="e">
        <f t="shared" si="3"/>
        <v>#DIV/0!</v>
      </c>
      <c r="S7" s="159"/>
      <c r="T7" s="160">
        <v>1680000</v>
      </c>
      <c r="U7" s="158">
        <v>1680000</v>
      </c>
      <c r="V7" s="158">
        <v>630697.05000000005</v>
      </c>
      <c r="W7" s="154">
        <f t="shared" si="4"/>
        <v>37.541491071428574</v>
      </c>
      <c r="X7" s="161">
        <v>1112642</v>
      </c>
    </row>
    <row r="8" spans="1:24" s="2" customFormat="1" ht="9.75" x14ac:dyDescent="0.2">
      <c r="A8" s="162" t="s">
        <v>19</v>
      </c>
      <c r="B8" s="1195" t="s">
        <v>20</v>
      </c>
      <c r="C8" s="1196"/>
      <c r="D8" s="163" t="s">
        <v>16</v>
      </c>
      <c r="E8" s="164">
        <f t="shared" si="5"/>
        <v>2500</v>
      </c>
      <c r="F8" s="165">
        <f t="shared" si="5"/>
        <v>2500</v>
      </c>
      <c r="G8" s="165">
        <f t="shared" si="5"/>
        <v>141.07</v>
      </c>
      <c r="H8" s="166">
        <f t="shared" si="0"/>
        <v>5.6428000000000003</v>
      </c>
      <c r="I8" s="167">
        <f>SUM(N8,S8)</f>
        <v>785</v>
      </c>
      <c r="J8" s="168">
        <v>2500</v>
      </c>
      <c r="K8" s="169">
        <v>2500</v>
      </c>
      <c r="L8" s="170">
        <f>75.89+65.18</f>
        <v>141.07</v>
      </c>
      <c r="M8" s="166">
        <f t="shared" si="2"/>
        <v>5.6428000000000003</v>
      </c>
      <c r="N8" s="171">
        <v>785</v>
      </c>
      <c r="O8" s="164"/>
      <c r="P8" s="170"/>
      <c r="Q8" s="170"/>
      <c r="R8" s="166" t="e">
        <f t="shared" si="3"/>
        <v>#DIV/0!</v>
      </c>
      <c r="S8" s="171"/>
      <c r="T8" s="164"/>
      <c r="U8" s="165"/>
      <c r="V8" s="165"/>
      <c r="W8" s="166" t="e">
        <f t="shared" si="4"/>
        <v>#DIV/0!</v>
      </c>
      <c r="X8" s="172"/>
    </row>
    <row r="9" spans="1:24" s="2" customFormat="1" ht="9.75" x14ac:dyDescent="0.2">
      <c r="A9" s="173" t="s">
        <v>21</v>
      </c>
      <c r="B9" s="174" t="s">
        <v>22</v>
      </c>
      <c r="C9" s="175"/>
      <c r="D9" s="176" t="s">
        <v>16</v>
      </c>
      <c r="E9" s="177">
        <f t="shared" si="5"/>
        <v>35464142</v>
      </c>
      <c r="F9" s="178">
        <f t="shared" si="5"/>
        <v>36122142</v>
      </c>
      <c r="G9" s="178">
        <f>SUM(L9,Q9)</f>
        <v>18902202</v>
      </c>
      <c r="H9" s="179">
        <f t="shared" si="0"/>
        <v>52.328574534699527</v>
      </c>
      <c r="I9" s="180">
        <f>SUM(N9,S9)</f>
        <v>21222042</v>
      </c>
      <c r="J9" s="181">
        <v>5700000</v>
      </c>
      <c r="K9" s="182">
        <f>5700000+600000+58000</f>
        <v>6358000</v>
      </c>
      <c r="L9" s="183">
        <v>3508000</v>
      </c>
      <c r="M9" s="179">
        <f t="shared" si="2"/>
        <v>55.174583202264863</v>
      </c>
      <c r="N9" s="184">
        <v>3579742</v>
      </c>
      <c r="O9" s="177">
        <f>28739190+1024952</f>
        <v>29764142</v>
      </c>
      <c r="P9" s="185">
        <f>28739190+1024952</f>
        <v>29764142</v>
      </c>
      <c r="Q9" s="183">
        <f>14369250+1024952</f>
        <v>15394202</v>
      </c>
      <c r="R9" s="179">
        <f t="shared" si="3"/>
        <v>51.720630818116639</v>
      </c>
      <c r="S9" s="184">
        <v>17642300</v>
      </c>
      <c r="T9" s="177"/>
      <c r="U9" s="178"/>
      <c r="V9" s="178"/>
      <c r="W9" s="179" t="e">
        <f t="shared" si="4"/>
        <v>#DIV/0!</v>
      </c>
      <c r="X9" s="186"/>
    </row>
    <row r="10" spans="1:24" s="2" customFormat="1" ht="9.75" x14ac:dyDescent="0.2">
      <c r="A10" s="145" t="s">
        <v>23</v>
      </c>
      <c r="B10" s="1088" t="s">
        <v>24</v>
      </c>
      <c r="C10" s="1088"/>
      <c r="D10" s="187" t="s">
        <v>16</v>
      </c>
      <c r="E10" s="188">
        <f t="shared" si="5"/>
        <v>0</v>
      </c>
      <c r="F10" s="188">
        <f t="shared" si="5"/>
        <v>0</v>
      </c>
      <c r="G10" s="188">
        <f t="shared" si="5"/>
        <v>0</v>
      </c>
      <c r="H10" s="148" t="e">
        <f t="shared" si="0"/>
        <v>#DIV/0!</v>
      </c>
      <c r="I10" s="189">
        <f>SUM(N10,S10)</f>
        <v>0</v>
      </c>
      <c r="J10" s="190"/>
      <c r="K10" s="191"/>
      <c r="L10" s="191"/>
      <c r="M10" s="192" t="e">
        <f t="shared" si="2"/>
        <v>#DIV/0!</v>
      </c>
      <c r="N10" s="189"/>
      <c r="O10" s="188"/>
      <c r="P10" s="188"/>
      <c r="Q10" s="188"/>
      <c r="R10" s="148" t="e">
        <f t="shared" si="3"/>
        <v>#DIV/0!</v>
      </c>
      <c r="S10" s="193"/>
      <c r="T10" s="188"/>
      <c r="U10" s="188"/>
      <c r="V10" s="188"/>
      <c r="W10" s="148" t="e">
        <f t="shared" si="4"/>
        <v>#DIV/0!</v>
      </c>
      <c r="X10" s="188"/>
    </row>
    <row r="11" spans="1:24" s="2" customFormat="1" ht="9.75" x14ac:dyDescent="0.2">
      <c r="A11" s="145" t="s">
        <v>25</v>
      </c>
      <c r="B11" s="1088" t="s">
        <v>26</v>
      </c>
      <c r="C11" s="1088"/>
      <c r="D11" s="187" t="s">
        <v>16</v>
      </c>
      <c r="E11" s="147">
        <f>SUM(E12:E31)</f>
        <v>41865590</v>
      </c>
      <c r="F11" s="147">
        <f>SUM(F12:F31)</f>
        <v>42691866</v>
      </c>
      <c r="G11" s="147">
        <f>SUM(G12:G32)</f>
        <v>21764092.070000004</v>
      </c>
      <c r="H11" s="148">
        <f t="shared" si="0"/>
        <v>50.979481829161564</v>
      </c>
      <c r="I11" s="149">
        <f>SUM(I12:I31)</f>
        <v>19370620</v>
      </c>
      <c r="J11" s="194">
        <f>SUM(J12:J31)</f>
        <v>13126400</v>
      </c>
      <c r="K11" s="194">
        <f>SUM(K12:K31)</f>
        <v>13952676</v>
      </c>
      <c r="L11" s="194">
        <f>SUM(L12:L32)</f>
        <v>7462029.5299999993</v>
      </c>
      <c r="M11" s="192">
        <f t="shared" si="2"/>
        <v>53.480991961685341</v>
      </c>
      <c r="N11" s="195">
        <f>SUM(N12:N32)</f>
        <v>5833241</v>
      </c>
      <c r="O11" s="147">
        <f>SUM(O12:O31)</f>
        <v>28739190</v>
      </c>
      <c r="P11" s="147">
        <f>SUM(P12:P31)</f>
        <v>28739190</v>
      </c>
      <c r="Q11" s="147">
        <f>SUM(Q12:Q31)</f>
        <v>14302062.540000001</v>
      </c>
      <c r="R11" s="148">
        <f t="shared" si="3"/>
        <v>49.765016133022542</v>
      </c>
      <c r="S11" s="149">
        <f>SUM(S12:S31)</f>
        <v>13547829</v>
      </c>
      <c r="T11" s="147">
        <f>SUM(T12:T31)</f>
        <v>1655150</v>
      </c>
      <c r="U11" s="147">
        <f>SUM(U12:U31)</f>
        <v>1655150</v>
      </c>
      <c r="V11" s="147">
        <f>SUM(V12:V31)</f>
        <v>536568.67999999993</v>
      </c>
      <c r="W11" s="148">
        <f t="shared" si="4"/>
        <v>32.418130078844811</v>
      </c>
      <c r="X11" s="147">
        <f>SUM(X12:X31)</f>
        <v>1003867</v>
      </c>
    </row>
    <row r="12" spans="1:24" s="2" customFormat="1" ht="9.75" x14ac:dyDescent="0.2">
      <c r="A12" s="196" t="s">
        <v>27</v>
      </c>
      <c r="B12" s="1197" t="s">
        <v>28</v>
      </c>
      <c r="C12" s="1198"/>
      <c r="D12" s="197" t="s">
        <v>16</v>
      </c>
      <c r="E12" s="152">
        <f t="shared" ref="E12:I28" si="6">SUM(J12,O12)</f>
        <v>5450000</v>
      </c>
      <c r="F12" s="153">
        <f t="shared" si="6"/>
        <v>5548467</v>
      </c>
      <c r="G12" s="153">
        <f>SUM(L12,Q12)</f>
        <v>3410418.88</v>
      </c>
      <c r="H12" s="154">
        <f t="shared" si="0"/>
        <v>61.46596672558384</v>
      </c>
      <c r="I12" s="155">
        <f>SUM(N12,S12)</f>
        <v>3182028</v>
      </c>
      <c r="J12" s="198">
        <v>5450000</v>
      </c>
      <c r="K12" s="199">
        <v>5548467</v>
      </c>
      <c r="L12" s="158">
        <v>3317920.88</v>
      </c>
      <c r="M12" s="154">
        <f t="shared" si="2"/>
        <v>59.798875617355208</v>
      </c>
      <c r="N12" s="200">
        <v>2988793</v>
      </c>
      <c r="O12" s="201"/>
      <c r="P12" s="158"/>
      <c r="Q12" s="158">
        <f>65926+26572</f>
        <v>92498</v>
      </c>
      <c r="R12" s="154" t="e">
        <f t="shared" si="3"/>
        <v>#DIV/0!</v>
      </c>
      <c r="S12" s="159">
        <v>193235</v>
      </c>
      <c r="T12" s="201">
        <v>872000</v>
      </c>
      <c r="U12" s="158">
        <v>872000</v>
      </c>
      <c r="V12" s="158">
        <v>194721.05</v>
      </c>
      <c r="W12" s="154">
        <f t="shared" si="4"/>
        <v>22.330395642201832</v>
      </c>
      <c r="X12" s="202">
        <v>489941</v>
      </c>
    </row>
    <row r="13" spans="1:24" s="2" customFormat="1" ht="9.75" x14ac:dyDescent="0.2">
      <c r="A13" s="203" t="s">
        <v>29</v>
      </c>
      <c r="B13" s="1187" t="s">
        <v>30</v>
      </c>
      <c r="C13" s="1188"/>
      <c r="D13" s="163" t="s">
        <v>16</v>
      </c>
      <c r="E13" s="164">
        <f t="shared" si="6"/>
        <v>2348000</v>
      </c>
      <c r="F13" s="165">
        <f t="shared" si="6"/>
        <v>2048000</v>
      </c>
      <c r="G13" s="165">
        <f t="shared" si="6"/>
        <v>862475.9</v>
      </c>
      <c r="H13" s="166">
        <f t="shared" si="0"/>
        <v>42.113081054687498</v>
      </c>
      <c r="I13" s="167">
        <f t="shared" si="6"/>
        <v>652706</v>
      </c>
      <c r="J13" s="204">
        <v>2348000</v>
      </c>
      <c r="K13" s="205">
        <v>2048000</v>
      </c>
      <c r="L13" s="170">
        <v>862475.9</v>
      </c>
      <c r="M13" s="166">
        <f t="shared" si="2"/>
        <v>42.113081054687498</v>
      </c>
      <c r="N13" s="171">
        <v>652706</v>
      </c>
      <c r="O13" s="164"/>
      <c r="P13" s="170"/>
      <c r="Q13" s="170"/>
      <c r="R13" s="166" t="e">
        <f t="shared" si="3"/>
        <v>#DIV/0!</v>
      </c>
      <c r="S13" s="171"/>
      <c r="T13" s="164">
        <v>225000</v>
      </c>
      <c r="U13" s="170">
        <v>225000</v>
      </c>
      <c r="V13" s="170">
        <v>200386.42</v>
      </c>
      <c r="W13" s="166">
        <f t="shared" si="4"/>
        <v>89.060631111111121</v>
      </c>
      <c r="X13" s="172">
        <v>175965</v>
      </c>
    </row>
    <row r="14" spans="1:24" s="2" customFormat="1" ht="9.75" x14ac:dyDescent="0.2">
      <c r="A14" s="203" t="s">
        <v>31</v>
      </c>
      <c r="B14" s="206" t="s">
        <v>32</v>
      </c>
      <c r="C14" s="207"/>
      <c r="D14" s="163" t="s">
        <v>16</v>
      </c>
      <c r="E14" s="164">
        <f t="shared" si="6"/>
        <v>0</v>
      </c>
      <c r="F14" s="165">
        <f t="shared" si="6"/>
        <v>0</v>
      </c>
      <c r="G14" s="165">
        <f t="shared" si="6"/>
        <v>0</v>
      </c>
      <c r="H14" s="166" t="e">
        <f t="shared" si="0"/>
        <v>#DIV/0!</v>
      </c>
      <c r="I14" s="167">
        <f t="shared" si="6"/>
        <v>0</v>
      </c>
      <c r="J14" s="204"/>
      <c r="K14" s="205"/>
      <c r="L14" s="170"/>
      <c r="M14" s="166" t="e">
        <f t="shared" si="2"/>
        <v>#DIV/0!</v>
      </c>
      <c r="N14" s="171"/>
      <c r="O14" s="164"/>
      <c r="P14" s="170"/>
      <c r="Q14" s="170"/>
      <c r="R14" s="166" t="e">
        <f t="shared" si="3"/>
        <v>#DIV/0!</v>
      </c>
      <c r="S14" s="171"/>
      <c r="T14" s="164"/>
      <c r="U14" s="170"/>
      <c r="V14" s="170"/>
      <c r="W14" s="166" t="e">
        <f t="shared" si="4"/>
        <v>#DIV/0!</v>
      </c>
      <c r="X14" s="172"/>
    </row>
    <row r="15" spans="1:24" s="2" customFormat="1" ht="9.75" x14ac:dyDescent="0.2">
      <c r="A15" s="203" t="s">
        <v>33</v>
      </c>
      <c r="B15" s="1187" t="s">
        <v>34</v>
      </c>
      <c r="C15" s="1188"/>
      <c r="D15" s="163" t="s">
        <v>16</v>
      </c>
      <c r="E15" s="164">
        <f t="shared" si="6"/>
        <v>490000</v>
      </c>
      <c r="F15" s="165">
        <f t="shared" si="6"/>
        <v>1212437</v>
      </c>
      <c r="G15" s="165">
        <f t="shared" si="6"/>
        <v>667205.68999999994</v>
      </c>
      <c r="H15" s="166">
        <f t="shared" si="0"/>
        <v>55.030132699678411</v>
      </c>
      <c r="I15" s="167">
        <f t="shared" si="6"/>
        <v>202778</v>
      </c>
      <c r="J15" s="204">
        <v>490000</v>
      </c>
      <c r="K15" s="205">
        <v>1212437</v>
      </c>
      <c r="L15" s="170">
        <v>667205.68999999994</v>
      </c>
      <c r="M15" s="166">
        <f t="shared" si="2"/>
        <v>55.030132699678411</v>
      </c>
      <c r="N15" s="171">
        <v>202778</v>
      </c>
      <c r="O15" s="164"/>
      <c r="P15" s="170"/>
      <c r="Q15" s="170"/>
      <c r="R15" s="166" t="e">
        <f t="shared" si="3"/>
        <v>#DIV/0!</v>
      </c>
      <c r="S15" s="171"/>
      <c r="T15" s="164">
        <v>47500</v>
      </c>
      <c r="U15" s="170">
        <v>47500</v>
      </c>
      <c r="V15" s="170">
        <v>15595.42</v>
      </c>
      <c r="W15" s="166">
        <f t="shared" si="4"/>
        <v>32.832463157894736</v>
      </c>
      <c r="X15" s="172">
        <v>17296</v>
      </c>
    </row>
    <row r="16" spans="1:24" s="2" customFormat="1" ht="9.75" x14ac:dyDescent="0.2">
      <c r="A16" s="203" t="s">
        <v>35</v>
      </c>
      <c r="B16" s="1187" t="s">
        <v>36</v>
      </c>
      <c r="C16" s="1188"/>
      <c r="D16" s="163" t="s">
        <v>16</v>
      </c>
      <c r="E16" s="164">
        <f t="shared" si="6"/>
        <v>10000</v>
      </c>
      <c r="F16" s="165">
        <f t="shared" si="6"/>
        <v>10000</v>
      </c>
      <c r="G16" s="165">
        <f t="shared" si="6"/>
        <v>33199</v>
      </c>
      <c r="H16" s="166">
        <f t="shared" si="0"/>
        <v>331.99</v>
      </c>
      <c r="I16" s="167">
        <f t="shared" si="6"/>
        <v>28640</v>
      </c>
      <c r="J16" s="204">
        <v>10000</v>
      </c>
      <c r="K16" s="205">
        <v>10000</v>
      </c>
      <c r="L16" s="170">
        <v>2671</v>
      </c>
      <c r="M16" s="166">
        <f t="shared" si="2"/>
        <v>26.71</v>
      </c>
      <c r="N16" s="171">
        <v>959</v>
      </c>
      <c r="O16" s="164"/>
      <c r="P16" s="170"/>
      <c r="Q16" s="170">
        <f>28544+1984</f>
        <v>30528</v>
      </c>
      <c r="R16" s="166" t="e">
        <f t="shared" si="3"/>
        <v>#DIV/0!</v>
      </c>
      <c r="S16" s="171">
        <v>27681</v>
      </c>
      <c r="T16" s="164"/>
      <c r="U16" s="170"/>
      <c r="V16" s="170">
        <v>7</v>
      </c>
      <c r="W16" s="166" t="e">
        <f t="shared" si="4"/>
        <v>#DIV/0!</v>
      </c>
      <c r="X16" s="172"/>
    </row>
    <row r="17" spans="1:24" s="2" customFormat="1" ht="9.75" x14ac:dyDescent="0.2">
      <c r="A17" s="203" t="s">
        <v>37</v>
      </c>
      <c r="B17" s="206" t="s">
        <v>38</v>
      </c>
      <c r="C17" s="207"/>
      <c r="D17" s="163" t="s">
        <v>16</v>
      </c>
      <c r="E17" s="164">
        <f t="shared" si="6"/>
        <v>5000</v>
      </c>
      <c r="F17" s="165">
        <f t="shared" si="6"/>
        <v>5000</v>
      </c>
      <c r="G17" s="165">
        <f t="shared" si="6"/>
        <v>750</v>
      </c>
      <c r="H17" s="166">
        <f t="shared" si="0"/>
        <v>15</v>
      </c>
      <c r="I17" s="167">
        <f t="shared" si="6"/>
        <v>329</v>
      </c>
      <c r="J17" s="204">
        <v>5000</v>
      </c>
      <c r="K17" s="205">
        <v>5000</v>
      </c>
      <c r="L17" s="170">
        <v>750</v>
      </c>
      <c r="M17" s="166">
        <f t="shared" si="2"/>
        <v>15</v>
      </c>
      <c r="N17" s="171">
        <v>329</v>
      </c>
      <c r="O17" s="164"/>
      <c r="P17" s="170"/>
      <c r="Q17" s="170"/>
      <c r="R17" s="166" t="e">
        <f t="shared" si="3"/>
        <v>#DIV/0!</v>
      </c>
      <c r="S17" s="171"/>
      <c r="T17" s="164"/>
      <c r="U17" s="170"/>
      <c r="V17" s="170"/>
      <c r="W17" s="166" t="e">
        <f t="shared" si="4"/>
        <v>#DIV/0!</v>
      </c>
      <c r="X17" s="172"/>
    </row>
    <row r="18" spans="1:24" s="2" customFormat="1" ht="9.75" x14ac:dyDescent="0.2">
      <c r="A18" s="203" t="s">
        <v>39</v>
      </c>
      <c r="B18" s="1187" t="s">
        <v>40</v>
      </c>
      <c r="C18" s="1188"/>
      <c r="D18" s="163" t="s">
        <v>16</v>
      </c>
      <c r="E18" s="164">
        <f t="shared" si="6"/>
        <v>915000</v>
      </c>
      <c r="F18" s="165">
        <f t="shared" si="6"/>
        <v>915000</v>
      </c>
      <c r="G18" s="165">
        <f>SUM(L18,Q18)</f>
        <v>553160.63</v>
      </c>
      <c r="H18" s="166">
        <f t="shared" si="0"/>
        <v>60.454713661202184</v>
      </c>
      <c r="I18" s="167">
        <f t="shared" si="6"/>
        <v>437882</v>
      </c>
      <c r="J18" s="204">
        <v>915000</v>
      </c>
      <c r="K18" s="205">
        <v>915000</v>
      </c>
      <c r="L18" s="170">
        <v>419552.63</v>
      </c>
      <c r="M18" s="166">
        <f t="shared" si="2"/>
        <v>45.85274644808743</v>
      </c>
      <c r="N18" s="171">
        <v>344174</v>
      </c>
      <c r="O18" s="164"/>
      <c r="P18" s="170"/>
      <c r="Q18" s="170">
        <f>24854+108754</f>
        <v>133608</v>
      </c>
      <c r="R18" s="166" t="e">
        <f>Q18/P18*100</f>
        <v>#DIV/0!</v>
      </c>
      <c r="S18" s="171">
        <v>93708</v>
      </c>
      <c r="T18" s="164">
        <v>23500</v>
      </c>
      <c r="U18" s="170">
        <v>23500</v>
      </c>
      <c r="V18" s="170">
        <v>2219.44</v>
      </c>
      <c r="W18" s="166">
        <f t="shared" si="4"/>
        <v>9.4444255319148933</v>
      </c>
      <c r="X18" s="172">
        <v>10819</v>
      </c>
    </row>
    <row r="19" spans="1:24" s="25" customFormat="1" ht="9.75" x14ac:dyDescent="0.2">
      <c r="A19" s="203" t="s">
        <v>41</v>
      </c>
      <c r="B19" s="1187" t="s">
        <v>42</v>
      </c>
      <c r="C19" s="1188"/>
      <c r="D19" s="163" t="s">
        <v>16</v>
      </c>
      <c r="E19" s="164">
        <f t="shared" si="6"/>
        <v>21971700</v>
      </c>
      <c r="F19" s="165">
        <f t="shared" si="6"/>
        <v>21971700</v>
      </c>
      <c r="G19" s="165">
        <f t="shared" si="6"/>
        <v>10870392</v>
      </c>
      <c r="H19" s="166">
        <f t="shared" si="0"/>
        <v>49.474514944223706</v>
      </c>
      <c r="I19" s="167">
        <f t="shared" si="6"/>
        <v>10263173</v>
      </c>
      <c r="J19" s="208">
        <v>1403900</v>
      </c>
      <c r="K19" s="209">
        <v>1403900</v>
      </c>
      <c r="L19" s="170">
        <v>663959</v>
      </c>
      <c r="M19" s="166">
        <f t="shared" si="2"/>
        <v>47.293895576608023</v>
      </c>
      <c r="N19" s="171">
        <v>553859</v>
      </c>
      <c r="O19" s="164">
        <f>20534800+33000</f>
        <v>20567800</v>
      </c>
      <c r="P19" s="210">
        <f>20534800+33000</f>
        <v>20567800</v>
      </c>
      <c r="Q19" s="170">
        <f>10058199+148234</f>
        <v>10206433</v>
      </c>
      <c r="R19" s="166">
        <f t="shared" si="3"/>
        <v>49.623357870068745</v>
      </c>
      <c r="S19" s="171">
        <v>9709314</v>
      </c>
      <c r="T19" s="211">
        <v>275000</v>
      </c>
      <c r="U19" s="212">
        <v>275000</v>
      </c>
      <c r="V19" s="212">
        <v>61491</v>
      </c>
      <c r="W19" s="166">
        <f t="shared" si="4"/>
        <v>22.360363636363637</v>
      </c>
      <c r="X19" s="213">
        <v>189064</v>
      </c>
    </row>
    <row r="20" spans="1:24" s="2" customFormat="1" ht="9.75" x14ac:dyDescent="0.2">
      <c r="A20" s="203" t="s">
        <v>43</v>
      </c>
      <c r="B20" s="1187" t="s">
        <v>44</v>
      </c>
      <c r="C20" s="1188"/>
      <c r="D20" s="163" t="s">
        <v>16</v>
      </c>
      <c r="E20" s="164">
        <f t="shared" si="6"/>
        <v>7952700</v>
      </c>
      <c r="F20" s="165">
        <f t="shared" si="6"/>
        <v>7952700</v>
      </c>
      <c r="G20" s="165">
        <f>SUM(L20,Q20)</f>
        <v>3670666.2600000002</v>
      </c>
      <c r="H20" s="166">
        <f t="shared" si="0"/>
        <v>46.156226941793356</v>
      </c>
      <c r="I20" s="167">
        <f t="shared" si="6"/>
        <v>3488534</v>
      </c>
      <c r="J20" s="204">
        <v>549000</v>
      </c>
      <c r="K20" s="205">
        <v>549000</v>
      </c>
      <c r="L20" s="170">
        <v>206509.1</v>
      </c>
      <c r="M20" s="166">
        <f t="shared" si="2"/>
        <v>37.61550091074681</v>
      </c>
      <c r="N20" s="171">
        <v>159661</v>
      </c>
      <c r="O20" s="164">
        <v>7403700</v>
      </c>
      <c r="P20" s="210">
        <v>7403700</v>
      </c>
      <c r="Q20" s="170">
        <f>3432276.16+31881</f>
        <v>3464157.16</v>
      </c>
      <c r="R20" s="166">
        <f t="shared" si="3"/>
        <v>46.789539824682258</v>
      </c>
      <c r="S20" s="171">
        <v>3328873</v>
      </c>
      <c r="T20" s="164">
        <v>97150</v>
      </c>
      <c r="U20" s="170">
        <v>97150</v>
      </c>
      <c r="V20" s="170">
        <v>18923.52</v>
      </c>
      <c r="W20" s="166">
        <f t="shared" si="4"/>
        <v>19.478661863098303</v>
      </c>
      <c r="X20" s="172">
        <v>63041</v>
      </c>
    </row>
    <row r="21" spans="1:24" s="2" customFormat="1" ht="9.75" x14ac:dyDescent="0.2">
      <c r="A21" s="203" t="s">
        <v>45</v>
      </c>
      <c r="B21" s="1187" t="s">
        <v>46</v>
      </c>
      <c r="C21" s="1188"/>
      <c r="D21" s="163" t="s">
        <v>16</v>
      </c>
      <c r="E21" s="164">
        <f t="shared" si="6"/>
        <v>58000</v>
      </c>
      <c r="F21" s="165">
        <f t="shared" si="6"/>
        <v>58000</v>
      </c>
      <c r="G21" s="165">
        <f t="shared" si="6"/>
        <v>221429.76000000001</v>
      </c>
      <c r="H21" s="166">
        <f t="shared" si="0"/>
        <v>381.77544827586212</v>
      </c>
      <c r="I21" s="167">
        <f t="shared" si="6"/>
        <v>168805</v>
      </c>
      <c r="J21" s="204">
        <v>58000</v>
      </c>
      <c r="K21" s="205">
        <v>58000</v>
      </c>
      <c r="L21" s="170">
        <v>15970.38</v>
      </c>
      <c r="M21" s="166">
        <f t="shared" si="2"/>
        <v>27.53513793103448</v>
      </c>
      <c r="N21" s="171">
        <v>16177</v>
      </c>
      <c r="O21" s="164"/>
      <c r="P21" s="170"/>
      <c r="Q21" s="170">
        <f>204072.38+1387</f>
        <v>205459.38</v>
      </c>
      <c r="R21" s="166" t="e">
        <f t="shared" si="3"/>
        <v>#DIV/0!</v>
      </c>
      <c r="S21" s="171">
        <v>152628</v>
      </c>
      <c r="T21" s="164">
        <v>7000</v>
      </c>
      <c r="U21" s="170">
        <v>7000</v>
      </c>
      <c r="V21" s="170">
        <v>1057.42</v>
      </c>
      <c r="W21" s="166">
        <f t="shared" si="4"/>
        <v>15.106</v>
      </c>
      <c r="X21" s="172">
        <v>3022</v>
      </c>
    </row>
    <row r="22" spans="1:24" s="2" customFormat="1" ht="9.75" x14ac:dyDescent="0.2">
      <c r="A22" s="203" t="s">
        <v>47</v>
      </c>
      <c r="B22" s="1187" t="s">
        <v>48</v>
      </c>
      <c r="C22" s="1188"/>
      <c r="D22" s="163" t="s">
        <v>16</v>
      </c>
      <c r="E22" s="164">
        <f t="shared" si="6"/>
        <v>0</v>
      </c>
      <c r="F22" s="165">
        <f t="shared" si="6"/>
        <v>0</v>
      </c>
      <c r="G22" s="165">
        <f t="shared" si="6"/>
        <v>0</v>
      </c>
      <c r="H22" s="166" t="e">
        <f t="shared" si="0"/>
        <v>#DIV/0!</v>
      </c>
      <c r="I22" s="167">
        <f t="shared" si="6"/>
        <v>0</v>
      </c>
      <c r="J22" s="204"/>
      <c r="K22" s="205"/>
      <c r="L22" s="170"/>
      <c r="M22" s="166" t="e">
        <f t="shared" si="2"/>
        <v>#DIV/0!</v>
      </c>
      <c r="N22" s="171"/>
      <c r="O22" s="164"/>
      <c r="P22" s="170"/>
      <c r="Q22" s="170"/>
      <c r="R22" s="166" t="e">
        <f t="shared" si="3"/>
        <v>#DIV/0!</v>
      </c>
      <c r="S22" s="171"/>
      <c r="T22" s="164">
        <v>3500</v>
      </c>
      <c r="U22" s="170">
        <v>3500</v>
      </c>
      <c r="V22" s="170"/>
      <c r="W22" s="166">
        <f t="shared" si="4"/>
        <v>0</v>
      </c>
      <c r="X22" s="172">
        <v>2500</v>
      </c>
    </row>
    <row r="23" spans="1:24" s="2" customFormat="1" ht="9.75" x14ac:dyDescent="0.2">
      <c r="A23" s="203" t="s">
        <v>49</v>
      </c>
      <c r="B23" s="206" t="s">
        <v>93</v>
      </c>
      <c r="C23" s="207"/>
      <c r="D23" s="163" t="s">
        <v>16</v>
      </c>
      <c r="E23" s="164">
        <f t="shared" si="6"/>
        <v>0</v>
      </c>
      <c r="F23" s="165">
        <f t="shared" si="6"/>
        <v>0</v>
      </c>
      <c r="G23" s="165">
        <f t="shared" si="6"/>
        <v>0</v>
      </c>
      <c r="H23" s="166" t="e">
        <f t="shared" si="0"/>
        <v>#DIV/0!</v>
      </c>
      <c r="I23" s="167">
        <f t="shared" si="6"/>
        <v>11850</v>
      </c>
      <c r="J23" s="204"/>
      <c r="K23" s="205"/>
      <c r="L23" s="170"/>
      <c r="M23" s="166" t="e">
        <f t="shared" si="2"/>
        <v>#DIV/0!</v>
      </c>
      <c r="N23" s="171">
        <v>11850</v>
      </c>
      <c r="O23" s="164"/>
      <c r="P23" s="170"/>
      <c r="Q23" s="170"/>
      <c r="R23" s="166" t="e">
        <f t="shared" si="3"/>
        <v>#DIV/0!</v>
      </c>
      <c r="S23" s="171"/>
      <c r="T23" s="164"/>
      <c r="U23" s="170"/>
      <c r="V23" s="170"/>
      <c r="W23" s="166" t="e">
        <f t="shared" si="4"/>
        <v>#DIV/0!</v>
      </c>
      <c r="X23" s="172"/>
    </row>
    <row r="24" spans="1:24" s="2" customFormat="1" ht="9.75" x14ac:dyDescent="0.2">
      <c r="A24" s="203" t="s">
        <v>51</v>
      </c>
      <c r="B24" s="206" t="s">
        <v>52</v>
      </c>
      <c r="C24" s="207"/>
      <c r="D24" s="163" t="s">
        <v>16</v>
      </c>
      <c r="E24" s="164">
        <f t="shared" si="6"/>
        <v>0</v>
      </c>
      <c r="F24" s="165">
        <f t="shared" si="6"/>
        <v>0</v>
      </c>
      <c r="G24" s="165">
        <f t="shared" si="6"/>
        <v>0</v>
      </c>
      <c r="H24" s="166" t="e">
        <f t="shared" si="0"/>
        <v>#DIV/0!</v>
      </c>
      <c r="I24" s="167">
        <f t="shared" si="6"/>
        <v>0</v>
      </c>
      <c r="J24" s="204"/>
      <c r="K24" s="205"/>
      <c r="L24" s="170"/>
      <c r="M24" s="166" t="e">
        <f t="shared" si="2"/>
        <v>#DIV/0!</v>
      </c>
      <c r="N24" s="171"/>
      <c r="O24" s="164"/>
      <c r="P24" s="170"/>
      <c r="Q24" s="170"/>
      <c r="R24" s="166" t="e">
        <f t="shared" si="3"/>
        <v>#DIV/0!</v>
      </c>
      <c r="S24" s="171"/>
      <c r="T24" s="164"/>
      <c r="U24" s="170"/>
      <c r="V24" s="170"/>
      <c r="W24" s="166" t="e">
        <f t="shared" si="4"/>
        <v>#DIV/0!</v>
      </c>
      <c r="X24" s="172"/>
    </row>
    <row r="25" spans="1:24" s="2" customFormat="1" ht="9.75" x14ac:dyDescent="0.2">
      <c r="A25" s="214" t="s">
        <v>53</v>
      </c>
      <c r="B25" s="215" t="s">
        <v>54</v>
      </c>
      <c r="C25" s="216"/>
      <c r="D25" s="163" t="s">
        <v>16</v>
      </c>
      <c r="E25" s="164">
        <f t="shared" si="6"/>
        <v>3000</v>
      </c>
      <c r="F25" s="165">
        <f t="shared" si="6"/>
        <v>3000</v>
      </c>
      <c r="G25" s="165">
        <f t="shared" si="6"/>
        <v>0</v>
      </c>
      <c r="H25" s="166">
        <f t="shared" si="0"/>
        <v>0</v>
      </c>
      <c r="I25" s="167">
        <f t="shared" si="6"/>
        <v>0</v>
      </c>
      <c r="J25" s="204">
        <v>3000</v>
      </c>
      <c r="K25" s="205">
        <v>3000</v>
      </c>
      <c r="L25" s="217">
        <v>0</v>
      </c>
      <c r="M25" s="166">
        <f t="shared" si="2"/>
        <v>0</v>
      </c>
      <c r="N25" s="171"/>
      <c r="O25" s="218"/>
      <c r="P25" s="217"/>
      <c r="Q25" s="217"/>
      <c r="R25" s="166" t="e">
        <f t="shared" si="3"/>
        <v>#DIV/0!</v>
      </c>
      <c r="S25" s="219"/>
      <c r="T25" s="218"/>
      <c r="U25" s="217"/>
      <c r="V25" s="217"/>
      <c r="W25" s="166" t="e">
        <f t="shared" si="4"/>
        <v>#DIV/0!</v>
      </c>
      <c r="X25" s="220"/>
    </row>
    <row r="26" spans="1:24" s="27" customFormat="1" ht="9.75" x14ac:dyDescent="0.2">
      <c r="A26" s="203" t="s">
        <v>55</v>
      </c>
      <c r="B26" s="1187" t="s">
        <v>56</v>
      </c>
      <c r="C26" s="1188"/>
      <c r="D26" s="163" t="s">
        <v>16</v>
      </c>
      <c r="E26" s="164">
        <f t="shared" si="6"/>
        <v>1500000</v>
      </c>
      <c r="F26" s="165">
        <f t="shared" si="6"/>
        <v>1500000</v>
      </c>
      <c r="G26" s="165">
        <f t="shared" si="6"/>
        <v>694634.54</v>
      </c>
      <c r="H26" s="221">
        <f t="shared" si="0"/>
        <v>46.308969333333337</v>
      </c>
      <c r="I26" s="167">
        <f>SUM(N26,S26)</f>
        <v>751829</v>
      </c>
      <c r="J26" s="204">
        <v>1500000</v>
      </c>
      <c r="K26" s="205">
        <v>1500000</v>
      </c>
      <c r="L26" s="170">
        <v>694634.54</v>
      </c>
      <c r="M26" s="166">
        <f t="shared" si="2"/>
        <v>46.308969333333337</v>
      </c>
      <c r="N26" s="171">
        <v>751829</v>
      </c>
      <c r="O26" s="210"/>
      <c r="P26" s="170"/>
      <c r="Q26" s="170"/>
      <c r="R26" s="166" t="e">
        <f t="shared" si="3"/>
        <v>#DIV/0!</v>
      </c>
      <c r="S26" s="171"/>
      <c r="T26" s="222">
        <v>100000</v>
      </c>
      <c r="U26" s="223">
        <v>100000</v>
      </c>
      <c r="V26" s="223">
        <v>41429.46</v>
      </c>
      <c r="W26" s="166">
        <f t="shared" si="4"/>
        <v>41.429459999999999</v>
      </c>
      <c r="X26" s="224">
        <v>49651</v>
      </c>
    </row>
    <row r="27" spans="1:24" s="28" customFormat="1" ht="9.75" x14ac:dyDescent="0.2">
      <c r="A27" s="203" t="s">
        <v>57</v>
      </c>
      <c r="B27" s="206" t="s">
        <v>58</v>
      </c>
      <c r="C27" s="207"/>
      <c r="D27" s="163" t="s">
        <v>16</v>
      </c>
      <c r="E27" s="164">
        <f t="shared" si="6"/>
        <v>5000</v>
      </c>
      <c r="F27" s="165">
        <f t="shared" si="6"/>
        <v>5000</v>
      </c>
      <c r="G27" s="165">
        <f t="shared" si="6"/>
        <v>0</v>
      </c>
      <c r="H27" s="221">
        <f t="shared" si="0"/>
        <v>0</v>
      </c>
      <c r="I27" s="167">
        <f t="shared" si="6"/>
        <v>0</v>
      </c>
      <c r="J27" s="204">
        <v>5000</v>
      </c>
      <c r="K27" s="205">
        <v>5000</v>
      </c>
      <c r="L27" s="170">
        <v>0</v>
      </c>
      <c r="M27" s="166">
        <f t="shared" si="2"/>
        <v>0</v>
      </c>
      <c r="N27" s="171"/>
      <c r="O27" s="210"/>
      <c r="P27" s="170"/>
      <c r="Q27" s="170"/>
      <c r="R27" s="166" t="e">
        <f t="shared" si="3"/>
        <v>#DIV/0!</v>
      </c>
      <c r="S27" s="171"/>
      <c r="T27" s="222"/>
      <c r="U27" s="223"/>
      <c r="V27" s="223"/>
      <c r="W27" s="166" t="e">
        <f t="shared" si="4"/>
        <v>#DIV/0!</v>
      </c>
      <c r="X27" s="224"/>
    </row>
    <row r="28" spans="1:24" s="28" customFormat="1" ht="9.75" x14ac:dyDescent="0.2">
      <c r="A28" s="203" t="s">
        <v>59</v>
      </c>
      <c r="B28" s="206" t="s">
        <v>60</v>
      </c>
      <c r="C28" s="207"/>
      <c r="D28" s="163" t="s">
        <v>16</v>
      </c>
      <c r="E28" s="164">
        <f t="shared" si="6"/>
        <v>270000</v>
      </c>
      <c r="F28" s="165">
        <f t="shared" si="6"/>
        <v>575372</v>
      </c>
      <c r="G28" s="165">
        <f t="shared" si="6"/>
        <v>630690.18999999994</v>
      </c>
      <c r="H28" s="221">
        <f t="shared" si="0"/>
        <v>109.61433472605549</v>
      </c>
      <c r="I28" s="167">
        <f t="shared" si="6"/>
        <v>173044</v>
      </c>
      <c r="J28" s="204">
        <v>270000</v>
      </c>
      <c r="K28" s="205">
        <v>575372</v>
      </c>
      <c r="L28" s="170">
        <v>461311.19</v>
      </c>
      <c r="M28" s="166">
        <f t="shared" si="2"/>
        <v>80.176162552227083</v>
      </c>
      <c r="N28" s="171">
        <v>130654</v>
      </c>
      <c r="O28" s="210"/>
      <c r="P28" s="170"/>
      <c r="Q28" s="170">
        <f>157389+11990</f>
        <v>169379</v>
      </c>
      <c r="R28" s="166" t="e">
        <f t="shared" si="3"/>
        <v>#DIV/0!</v>
      </c>
      <c r="S28" s="171">
        <v>42390</v>
      </c>
      <c r="T28" s="222">
        <v>2500</v>
      </c>
      <c r="U28" s="223">
        <v>2500</v>
      </c>
      <c r="V28" s="223">
        <v>274.95</v>
      </c>
      <c r="W28" s="166">
        <f t="shared" si="4"/>
        <v>10.997999999999999</v>
      </c>
      <c r="X28" s="224">
        <v>1331</v>
      </c>
    </row>
    <row r="29" spans="1:24" s="27" customFormat="1" ht="9.75" x14ac:dyDescent="0.2">
      <c r="A29" s="203" t="s">
        <v>61</v>
      </c>
      <c r="B29" s="1187" t="s">
        <v>62</v>
      </c>
      <c r="C29" s="1188"/>
      <c r="D29" s="163" t="s">
        <v>16</v>
      </c>
      <c r="E29" s="164">
        <f t="shared" ref="E29:G31" si="7">SUM(J29,O29)</f>
        <v>119500</v>
      </c>
      <c r="F29" s="165">
        <f t="shared" si="7"/>
        <v>119500</v>
      </c>
      <c r="G29" s="165">
        <f t="shared" si="7"/>
        <v>149069.22</v>
      </c>
      <c r="H29" s="221">
        <f t="shared" si="0"/>
        <v>124.7441171548117</v>
      </c>
      <c r="I29" s="167">
        <f>SUM(N29,S29)</f>
        <v>9022</v>
      </c>
      <c r="J29" s="204">
        <v>119500</v>
      </c>
      <c r="K29" s="205">
        <v>119500</v>
      </c>
      <c r="L29" s="170">
        <v>149069.22</v>
      </c>
      <c r="M29" s="166">
        <f t="shared" si="2"/>
        <v>124.7441171548117</v>
      </c>
      <c r="N29" s="171">
        <v>9022</v>
      </c>
      <c r="O29" s="210"/>
      <c r="P29" s="170"/>
      <c r="Q29" s="170"/>
      <c r="R29" s="166" t="e">
        <f>Q29/P29*100</f>
        <v>#DIV/0!</v>
      </c>
      <c r="S29" s="171"/>
      <c r="T29" s="222">
        <v>2000</v>
      </c>
      <c r="U29" s="223">
        <v>2000</v>
      </c>
      <c r="V29" s="223">
        <v>463</v>
      </c>
      <c r="W29" s="166">
        <f t="shared" si="4"/>
        <v>23.150000000000002</v>
      </c>
      <c r="X29" s="224">
        <v>1237</v>
      </c>
    </row>
    <row r="30" spans="1:24" s="2" customFormat="1" ht="9.75" x14ac:dyDescent="0.2">
      <c r="A30" s="203" t="s">
        <v>63</v>
      </c>
      <c r="B30" s="206" t="s">
        <v>64</v>
      </c>
      <c r="C30" s="207"/>
      <c r="D30" s="163" t="s">
        <v>16</v>
      </c>
      <c r="E30" s="164">
        <f t="shared" si="7"/>
        <v>0</v>
      </c>
      <c r="F30" s="165">
        <f t="shared" si="7"/>
        <v>0</v>
      </c>
      <c r="G30" s="165">
        <f t="shared" si="7"/>
        <v>0</v>
      </c>
      <c r="H30" s="221" t="e">
        <f t="shared" si="0"/>
        <v>#DIV/0!</v>
      </c>
      <c r="I30" s="167">
        <f>SUM(N30,S30)</f>
        <v>0</v>
      </c>
      <c r="J30" s="204"/>
      <c r="K30" s="170"/>
      <c r="L30" s="170"/>
      <c r="M30" s="166" t="e">
        <f t="shared" si="2"/>
        <v>#DIV/0!</v>
      </c>
      <c r="N30" s="171"/>
      <c r="O30" s="210"/>
      <c r="P30" s="170"/>
      <c r="Q30" s="170"/>
      <c r="R30" s="166" t="e">
        <f t="shared" si="3"/>
        <v>#DIV/0!</v>
      </c>
      <c r="S30" s="171"/>
      <c r="T30" s="225"/>
      <c r="U30" s="226"/>
      <c r="V30" s="226"/>
      <c r="W30" s="166" t="e">
        <f t="shared" si="4"/>
        <v>#DIV/0!</v>
      </c>
      <c r="X30" s="227"/>
    </row>
    <row r="31" spans="1:24" s="31" customFormat="1" ht="9.75" x14ac:dyDescent="0.2">
      <c r="A31" s="203" t="s">
        <v>65</v>
      </c>
      <c r="B31" s="228" t="s">
        <v>66</v>
      </c>
      <c r="C31" s="229"/>
      <c r="D31" s="163" t="s">
        <v>16</v>
      </c>
      <c r="E31" s="164">
        <f t="shared" si="7"/>
        <v>767690</v>
      </c>
      <c r="F31" s="165">
        <f t="shared" si="7"/>
        <v>767690</v>
      </c>
      <c r="G31" s="165">
        <f t="shared" si="7"/>
        <v>0</v>
      </c>
      <c r="H31" s="221">
        <f t="shared" si="0"/>
        <v>0</v>
      </c>
      <c r="I31" s="167">
        <f>SUM(N31,S31)</f>
        <v>0</v>
      </c>
      <c r="J31" s="204"/>
      <c r="K31" s="230"/>
      <c r="L31" s="230"/>
      <c r="M31" s="166" t="e">
        <f t="shared" si="2"/>
        <v>#DIV/0!</v>
      </c>
      <c r="N31" s="231"/>
      <c r="O31" s="232">
        <v>767690</v>
      </c>
      <c r="P31" s="233">
        <v>767690</v>
      </c>
      <c r="Q31" s="230"/>
      <c r="R31" s="166">
        <f t="shared" si="3"/>
        <v>0</v>
      </c>
      <c r="S31" s="231"/>
      <c r="T31" s="234"/>
      <c r="U31" s="235"/>
      <c r="V31" s="235"/>
      <c r="W31" s="166" t="e">
        <f t="shared" si="4"/>
        <v>#DIV/0!</v>
      </c>
      <c r="X31" s="236"/>
    </row>
    <row r="32" spans="1:24" s="31" customFormat="1" ht="9.75" x14ac:dyDescent="0.2">
      <c r="A32" s="237" t="s">
        <v>67</v>
      </c>
      <c r="B32" s="238" t="s">
        <v>68</v>
      </c>
      <c r="C32" s="239"/>
      <c r="D32" s="240" t="s">
        <v>16</v>
      </c>
      <c r="E32" s="177">
        <f>SUM(J32,O32)</f>
        <v>0</v>
      </c>
      <c r="F32" s="178">
        <f>SUM(K32,P32)</f>
        <v>0</v>
      </c>
      <c r="G32" s="178">
        <f>SUM(L32,Q32)</f>
        <v>0</v>
      </c>
      <c r="H32" s="241" t="e">
        <f t="shared" si="0"/>
        <v>#DIV/0!</v>
      </c>
      <c r="I32" s="180">
        <f>SUM(N32,S32)</f>
        <v>10450</v>
      </c>
      <c r="J32" s="242"/>
      <c r="K32" s="243"/>
      <c r="L32" s="243"/>
      <c r="M32" s="179" t="e">
        <f t="shared" si="2"/>
        <v>#DIV/0!</v>
      </c>
      <c r="N32" s="244">
        <v>10450</v>
      </c>
      <c r="O32" s="245"/>
      <c r="P32" s="243"/>
      <c r="Q32" s="243"/>
      <c r="R32" s="179" t="e">
        <f t="shared" si="3"/>
        <v>#DIV/0!</v>
      </c>
      <c r="S32" s="244"/>
      <c r="T32" s="245"/>
      <c r="U32" s="243"/>
      <c r="V32" s="243"/>
      <c r="W32" s="179" t="e">
        <f t="shared" si="4"/>
        <v>#DIV/0!</v>
      </c>
      <c r="X32" s="246"/>
    </row>
    <row r="33" spans="1:24" s="31" customFormat="1" ht="9.75" x14ac:dyDescent="0.2">
      <c r="A33" s="145" t="s">
        <v>69</v>
      </c>
      <c r="B33" s="247" t="s">
        <v>94</v>
      </c>
      <c r="C33" s="248"/>
      <c r="D33" s="146" t="s">
        <v>16</v>
      </c>
      <c r="E33" s="147">
        <f>E6-E11</f>
        <v>1024952</v>
      </c>
      <c r="F33" s="147">
        <f>F6-F11</f>
        <v>1024952</v>
      </c>
      <c r="G33" s="147">
        <f>G6-G11</f>
        <v>1460218.8299999982</v>
      </c>
      <c r="H33" s="249">
        <f t="shared" si="0"/>
        <v>142.46704528602299</v>
      </c>
      <c r="I33" s="147">
        <f>I6-I11</f>
        <v>5776238</v>
      </c>
      <c r="J33" s="147">
        <f>J6-J11</f>
        <v>0</v>
      </c>
      <c r="K33" s="147">
        <f>K6-K11</f>
        <v>0</v>
      </c>
      <c r="L33" s="147">
        <f>L6-L11</f>
        <v>368079.37000000197</v>
      </c>
      <c r="M33" s="250" t="e">
        <f>L33/K33*100</f>
        <v>#DIV/0!</v>
      </c>
      <c r="N33" s="147">
        <f>N6-N11</f>
        <v>1671317</v>
      </c>
      <c r="O33" s="147">
        <f>O6-O11</f>
        <v>1024952</v>
      </c>
      <c r="P33" s="147">
        <f>P6-P11</f>
        <v>1024952</v>
      </c>
      <c r="Q33" s="147">
        <f>Q6-Q11</f>
        <v>1092139.459999999</v>
      </c>
      <c r="R33" s="250">
        <f>Q33/P33*100</f>
        <v>106.55518112067676</v>
      </c>
      <c r="S33" s="147">
        <f>S6-S11</f>
        <v>4094471</v>
      </c>
      <c r="T33" s="147">
        <f>T6-T11</f>
        <v>24850</v>
      </c>
      <c r="U33" s="147">
        <f>U6-U11</f>
        <v>24850</v>
      </c>
      <c r="V33" s="147">
        <f>V6-V11</f>
        <v>94128.370000000112</v>
      </c>
      <c r="W33" s="250">
        <f>V33/U33*100</f>
        <v>378.78619718309903</v>
      </c>
      <c r="X33" s="147">
        <f>X6-X11</f>
        <v>108775</v>
      </c>
    </row>
    <row r="34" spans="1:24" s="39" customFormat="1" ht="9" x14ac:dyDescent="0.2">
      <c r="A34" s="251" t="s">
        <v>71</v>
      </c>
      <c r="B34" s="1189" t="s">
        <v>72</v>
      </c>
      <c r="C34" s="1190"/>
      <c r="D34" s="252" t="s">
        <v>16</v>
      </c>
      <c r="E34" s="253">
        <f>J34+O34+T34</f>
        <v>23500</v>
      </c>
      <c r="F34" s="253">
        <f t="shared" ref="F34:G36" si="8">K34+P34+U34</f>
        <v>23500</v>
      </c>
      <c r="G34" s="253">
        <f t="shared" si="8"/>
        <v>23329</v>
      </c>
      <c r="H34" s="254">
        <f t="shared" si="0"/>
        <v>99.272340425531908</v>
      </c>
      <c r="I34" s="255">
        <f>N34+S34+X34</f>
        <v>22679</v>
      </c>
      <c r="J34" s="256">
        <v>2715</v>
      </c>
      <c r="K34" s="256">
        <v>2715</v>
      </c>
      <c r="L34" s="256">
        <v>2700</v>
      </c>
      <c r="M34" s="254">
        <f t="shared" ref="M34:M36" si="9">L34/K34*100</f>
        <v>99.447513812154696</v>
      </c>
      <c r="N34" s="256">
        <v>1969</v>
      </c>
      <c r="O34" s="256">
        <v>20165</v>
      </c>
      <c r="P34" s="256">
        <v>20165</v>
      </c>
      <c r="Q34" s="256">
        <v>20095</v>
      </c>
      <c r="R34" s="254">
        <f t="shared" ref="R34:R36" si="10">Q34/P34*100</f>
        <v>99.652863873047366</v>
      </c>
      <c r="S34" s="256">
        <v>20060</v>
      </c>
      <c r="T34" s="256">
        <v>620</v>
      </c>
      <c r="U34" s="256">
        <v>620</v>
      </c>
      <c r="V34" s="256">
        <v>534</v>
      </c>
      <c r="W34" s="254">
        <f t="shared" ref="W34:W36" si="11">V34/U34*100</f>
        <v>86.129032258064512</v>
      </c>
      <c r="X34" s="256">
        <v>650</v>
      </c>
    </row>
    <row r="35" spans="1:24" s="39" customFormat="1" ht="9" x14ac:dyDescent="0.2">
      <c r="A35" s="257" t="s">
        <v>73</v>
      </c>
      <c r="B35" s="1191" t="s">
        <v>74</v>
      </c>
      <c r="C35" s="1192"/>
      <c r="D35" s="258" t="s">
        <v>75</v>
      </c>
      <c r="E35" s="259">
        <f t="shared" ref="E35:E36" si="12">J35+O35+T35</f>
        <v>71</v>
      </c>
      <c r="F35" s="259">
        <f t="shared" si="8"/>
        <v>71</v>
      </c>
      <c r="G35" s="259">
        <f t="shared" si="8"/>
        <v>74.06</v>
      </c>
      <c r="H35" s="221">
        <f t="shared" si="0"/>
        <v>104.30985915492958</v>
      </c>
      <c r="I35" s="260">
        <f t="shared" ref="I35:I36" si="13">N35+S35+X35</f>
        <v>71.06</v>
      </c>
      <c r="J35" s="261">
        <v>4.8</v>
      </c>
      <c r="K35" s="261">
        <v>4.8</v>
      </c>
      <c r="L35" s="261">
        <v>4.9000000000000004</v>
      </c>
      <c r="M35" s="221">
        <f t="shared" si="9"/>
        <v>102.08333333333334</v>
      </c>
      <c r="N35" s="261">
        <v>2.9</v>
      </c>
      <c r="O35" s="261">
        <v>66</v>
      </c>
      <c r="P35" s="261">
        <v>66</v>
      </c>
      <c r="Q35" s="261">
        <v>69</v>
      </c>
      <c r="R35" s="221">
        <f t="shared" si="10"/>
        <v>104.54545454545455</v>
      </c>
      <c r="S35" s="261">
        <v>67</v>
      </c>
      <c r="T35" s="261">
        <v>0.2</v>
      </c>
      <c r="U35" s="261">
        <v>0.2</v>
      </c>
      <c r="V35" s="261">
        <v>0.16</v>
      </c>
      <c r="W35" s="221">
        <f t="shared" si="11"/>
        <v>80</v>
      </c>
      <c r="X35" s="261">
        <v>1.1599999999999999</v>
      </c>
    </row>
    <row r="36" spans="1:24" s="39" customFormat="1" ht="9" x14ac:dyDescent="0.2">
      <c r="A36" s="262" t="s">
        <v>76</v>
      </c>
      <c r="B36" s="1193" t="s">
        <v>77</v>
      </c>
      <c r="C36" s="1194"/>
      <c r="D36" s="263" t="s">
        <v>75</v>
      </c>
      <c r="E36" s="253">
        <f t="shared" si="12"/>
        <v>78</v>
      </c>
      <c r="F36" s="253">
        <f t="shared" si="8"/>
        <v>78</v>
      </c>
      <c r="G36" s="253">
        <f t="shared" si="8"/>
        <v>81</v>
      </c>
      <c r="H36" s="241">
        <f t="shared" si="0"/>
        <v>103.84615384615385</v>
      </c>
      <c r="I36" s="255">
        <f t="shared" si="13"/>
        <v>78</v>
      </c>
      <c r="J36" s="256">
        <v>5</v>
      </c>
      <c r="K36" s="256">
        <v>5</v>
      </c>
      <c r="L36" s="256">
        <v>6</v>
      </c>
      <c r="M36" s="241">
        <f t="shared" si="9"/>
        <v>120</v>
      </c>
      <c r="N36" s="256">
        <v>5</v>
      </c>
      <c r="O36" s="256">
        <v>71</v>
      </c>
      <c r="P36" s="256">
        <v>71</v>
      </c>
      <c r="Q36" s="256">
        <v>73</v>
      </c>
      <c r="R36" s="241">
        <f t="shared" si="10"/>
        <v>102.8169014084507</v>
      </c>
      <c r="S36" s="256">
        <v>69</v>
      </c>
      <c r="T36" s="256">
        <v>2</v>
      </c>
      <c r="U36" s="256">
        <v>2</v>
      </c>
      <c r="V36" s="256">
        <v>2</v>
      </c>
      <c r="W36" s="241">
        <f t="shared" si="11"/>
        <v>100</v>
      </c>
      <c r="X36" s="256">
        <v>4</v>
      </c>
    </row>
    <row r="37" spans="1:24" x14ac:dyDescent="0.25">
      <c r="E37" s="264"/>
      <c r="F37" s="264"/>
      <c r="G37" s="264"/>
      <c r="H37" s="264"/>
      <c r="I37" s="264"/>
    </row>
  </sheetData>
  <mergeCells count="39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7:C7"/>
    <mergeCell ref="I4:I5"/>
    <mergeCell ref="J4:J5"/>
    <mergeCell ref="K4:M4"/>
    <mergeCell ref="N4:N5"/>
    <mergeCell ref="S4:S5"/>
    <mergeCell ref="T4:T5"/>
    <mergeCell ref="U4:W4"/>
    <mergeCell ref="X4:X5"/>
    <mergeCell ref="B6:C6"/>
    <mergeCell ref="O4:O5"/>
    <mergeCell ref="P4:R4"/>
    <mergeCell ref="B22:C22"/>
    <mergeCell ref="B8:C8"/>
    <mergeCell ref="B10:C10"/>
    <mergeCell ref="B11:C11"/>
    <mergeCell ref="B12:C12"/>
    <mergeCell ref="B13:C13"/>
    <mergeCell ref="B15:C15"/>
    <mergeCell ref="B16:C16"/>
    <mergeCell ref="B18:C18"/>
    <mergeCell ref="B19:C19"/>
    <mergeCell ref="B20:C20"/>
    <mergeCell ref="B21:C21"/>
    <mergeCell ref="B26:C26"/>
    <mergeCell ref="B29:C29"/>
    <mergeCell ref="B34:C34"/>
    <mergeCell ref="B35:C35"/>
    <mergeCell ref="B36:C36"/>
  </mergeCells>
  <pageMargins left="0.70866141732283472" right="0.70866141732283472" top="0.78740157480314965" bottom="0.78740157480314965" header="0.31496062992125984" footer="0.31496062992125984"/>
  <pageSetup paperSize="9" scale="92" firstPageNumber="84" orientation="landscape" useFirstPageNumber="1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8.75" x14ac:dyDescent="0.3">
      <c r="A1" s="919" t="s">
        <v>489</v>
      </c>
      <c r="B1" s="919"/>
      <c r="C1" s="919"/>
      <c r="D1" s="919"/>
      <c r="E1" s="919"/>
      <c r="F1" s="919"/>
      <c r="G1" s="919"/>
      <c r="H1" s="919"/>
      <c r="I1" s="919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11.25" x14ac:dyDescent="0.2">
      <c r="A6" s="911" t="s">
        <v>107</v>
      </c>
      <c r="B6" s="912"/>
      <c r="C6" s="337">
        <v>368079</v>
      </c>
      <c r="D6" s="913" t="s">
        <v>490</v>
      </c>
      <c r="E6" s="913"/>
      <c r="F6" s="913"/>
      <c r="G6" s="913"/>
      <c r="H6" s="913"/>
      <c r="I6" s="913"/>
    </row>
    <row r="7" spans="1:14" s="338" customFormat="1" ht="11.25" x14ac:dyDescent="0.15">
      <c r="A7" s="911" t="s">
        <v>92</v>
      </c>
      <c r="B7" s="912"/>
      <c r="C7" s="337">
        <v>94128</v>
      </c>
      <c r="D7" s="913" t="s">
        <v>491</v>
      </c>
      <c r="E7" s="913"/>
      <c r="F7" s="913"/>
      <c r="G7" s="913"/>
      <c r="H7" s="913"/>
      <c r="I7" s="913"/>
    </row>
    <row r="8" spans="1:14" s="338" customFormat="1" ht="10.5" x14ac:dyDescent="0.15">
      <c r="A8" s="911" t="s">
        <v>110</v>
      </c>
      <c r="B8" s="912"/>
      <c r="C8" s="337">
        <v>1092139</v>
      </c>
      <c r="D8" s="915"/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14" s="334" customFormat="1" ht="24.75" customHeight="1" x14ac:dyDescent="0.2">
      <c r="A13" s="437" t="s">
        <v>187</v>
      </c>
      <c r="B13" s="438">
        <f>142226.2+22</f>
        <v>142248.20000000001</v>
      </c>
      <c r="C13" s="438">
        <f>18395.37+25192</f>
        <v>43587.369999999995</v>
      </c>
      <c r="D13" s="438">
        <f>36790.74+24972</f>
        <v>61762.74</v>
      </c>
      <c r="E13" s="438">
        <f>208170.54+242</f>
        <v>208412.54</v>
      </c>
      <c r="F13" s="439">
        <f>208170.54+242</f>
        <v>208412.54</v>
      </c>
      <c r="G13" s="904" t="s">
        <v>492</v>
      </c>
      <c r="H13" s="905"/>
      <c r="I13" s="906"/>
    </row>
    <row r="14" spans="1:14" s="334" customFormat="1" ht="11.25" x14ac:dyDescent="0.2">
      <c r="A14" s="440" t="s">
        <v>214</v>
      </c>
      <c r="B14" s="441">
        <v>364485.31</v>
      </c>
      <c r="C14" s="441">
        <v>754459.37</v>
      </c>
      <c r="D14" s="441">
        <v>750766</v>
      </c>
      <c r="E14" s="441">
        <v>368178.68</v>
      </c>
      <c r="F14" s="442">
        <v>368178.68</v>
      </c>
      <c r="G14" s="862" t="s">
        <v>493</v>
      </c>
      <c r="H14" s="863"/>
      <c r="I14" s="864"/>
      <c r="N14" s="349"/>
    </row>
    <row r="15" spans="1:14" s="334" customFormat="1" ht="11.25" x14ac:dyDescent="0.2">
      <c r="A15" s="440" t="s">
        <v>191</v>
      </c>
      <c r="B15" s="441">
        <v>25120.01</v>
      </c>
      <c r="C15" s="441">
        <v>0</v>
      </c>
      <c r="D15" s="441">
        <v>10900</v>
      </c>
      <c r="E15" s="441">
        <v>14220.01</v>
      </c>
      <c r="F15" s="442">
        <v>14220.01</v>
      </c>
      <c r="G15" s="862" t="s">
        <v>494</v>
      </c>
      <c r="H15" s="863"/>
      <c r="I15" s="864"/>
    </row>
    <row r="16" spans="1:14" s="334" customFormat="1" ht="36.75" customHeight="1" x14ac:dyDescent="0.2">
      <c r="A16" s="443" t="s">
        <v>193</v>
      </c>
      <c r="B16" s="444">
        <v>142226.20000000001</v>
      </c>
      <c r="C16" s="444">
        <v>214500.86</v>
      </c>
      <c r="D16" s="444">
        <v>123537</v>
      </c>
      <c r="E16" s="444">
        <v>233190.06</v>
      </c>
      <c r="F16" s="445">
        <v>201388.9</v>
      </c>
      <c r="G16" s="907" t="s">
        <v>495</v>
      </c>
      <c r="H16" s="908"/>
      <c r="I16" s="909"/>
    </row>
    <row r="17" spans="1:9" s="334" customFormat="1" ht="11.25" x14ac:dyDescent="0.2">
      <c r="A17" s="353" t="s">
        <v>90</v>
      </c>
      <c r="B17" s="354">
        <f>SUM(B13:B16)</f>
        <v>674079.72</v>
      </c>
      <c r="C17" s="354">
        <f t="shared" ref="C17:F17" si="0">SUM(C13:C16)</f>
        <v>1012547.6</v>
      </c>
      <c r="D17" s="354">
        <f t="shared" si="0"/>
        <v>946965.74</v>
      </c>
      <c r="E17" s="354">
        <f t="shared" si="0"/>
        <v>824001.29</v>
      </c>
      <c r="F17" s="354">
        <f t="shared" si="0"/>
        <v>792200.13</v>
      </c>
      <c r="G17" s="910"/>
      <c r="H17" s="910"/>
      <c r="I17" s="91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1244" t="s">
        <v>496</v>
      </c>
      <c r="B22" s="1234">
        <v>2421</v>
      </c>
      <c r="C22" s="1236"/>
      <c r="D22" s="1249" t="s">
        <v>497</v>
      </c>
      <c r="E22" s="1250"/>
      <c r="F22" s="1250"/>
      <c r="G22" s="1250"/>
      <c r="H22" s="1250"/>
      <c r="I22" s="1251"/>
    </row>
    <row r="23" spans="1:9" s="334" customFormat="1" ht="11.25" customHeight="1" x14ac:dyDescent="0.2">
      <c r="A23" s="1245"/>
      <c r="B23" s="1247"/>
      <c r="C23" s="1248"/>
      <c r="D23" s="1252"/>
      <c r="E23" s="1253"/>
      <c r="F23" s="1253"/>
      <c r="G23" s="1253"/>
      <c r="H23" s="1253"/>
      <c r="I23" s="1254"/>
    </row>
    <row r="24" spans="1:9" s="334" customFormat="1" ht="5.25" customHeight="1" x14ac:dyDescent="0.2">
      <c r="A24" s="1246"/>
      <c r="B24" s="1235"/>
      <c r="C24" s="1237"/>
      <c r="D24" s="1255"/>
      <c r="E24" s="1256"/>
      <c r="F24" s="1256"/>
      <c r="G24" s="1256"/>
      <c r="H24" s="1256"/>
      <c r="I24" s="1257"/>
    </row>
    <row r="25" spans="1:9" s="338" customFormat="1" ht="11.25" x14ac:dyDescent="0.2">
      <c r="A25" s="365" t="s">
        <v>90</v>
      </c>
      <c r="B25" s="366">
        <f>SUM(B22:B24)</f>
        <v>2421</v>
      </c>
      <c r="C25" s="900"/>
      <c r="D25" s="900"/>
      <c r="E25" s="900"/>
      <c r="F25" s="900"/>
      <c r="G25" s="900"/>
      <c r="H25" s="900"/>
      <c r="I25" s="901"/>
    </row>
    <row r="26" spans="1:9" s="355" customFormat="1" ht="11.25" x14ac:dyDescent="0.2">
      <c r="C26" s="356"/>
    </row>
    <row r="27" spans="1:9" s="340" customFormat="1" ht="11.25" x14ac:dyDescent="0.2">
      <c r="A27" s="861" t="s">
        <v>140</v>
      </c>
      <c r="B27" s="861"/>
      <c r="C27" s="861"/>
      <c r="D27" s="861"/>
      <c r="E27" s="861"/>
      <c r="F27" s="861"/>
      <c r="G27" s="861"/>
      <c r="H27" s="861"/>
      <c r="I27" s="861"/>
    </row>
    <row r="28" spans="1:9" s="334" customFormat="1" ht="11.25" x14ac:dyDescent="0.2">
      <c r="C28" s="339"/>
    </row>
    <row r="29" spans="1:9" s="334" customFormat="1" ht="11.25" x14ac:dyDescent="0.2">
      <c r="A29" s="335" t="s">
        <v>130</v>
      </c>
      <c r="B29" s="335" t="s">
        <v>16</v>
      </c>
      <c r="C29" s="357" t="s">
        <v>131</v>
      </c>
      <c r="D29" s="902" t="s">
        <v>141</v>
      </c>
      <c r="E29" s="902"/>
      <c r="F29" s="902"/>
      <c r="G29" s="902"/>
      <c r="H29" s="902"/>
      <c r="I29" s="903"/>
    </row>
    <row r="30" spans="1:9" s="334" customFormat="1" ht="11.25" customHeight="1" x14ac:dyDescent="0.2">
      <c r="A30" s="883" t="s">
        <v>498</v>
      </c>
      <c r="B30" s="1234"/>
      <c r="C30" s="1236"/>
      <c r="D30" s="1238"/>
      <c r="E30" s="1239"/>
      <c r="F30" s="1239"/>
      <c r="G30" s="1239"/>
      <c r="H30" s="1239"/>
      <c r="I30" s="1240"/>
    </row>
    <row r="31" spans="1:9" s="334" customFormat="1" ht="3.75" customHeight="1" x14ac:dyDescent="0.2">
      <c r="A31" s="884"/>
      <c r="B31" s="1235"/>
      <c r="C31" s="1237"/>
      <c r="D31" s="1241"/>
      <c r="E31" s="1242"/>
      <c r="F31" s="1242"/>
      <c r="G31" s="1242"/>
      <c r="H31" s="1242"/>
      <c r="I31" s="1243"/>
    </row>
    <row r="32" spans="1:9" s="334" customFormat="1" ht="11.25" customHeight="1" x14ac:dyDescent="0.2">
      <c r="A32" s="365" t="s">
        <v>90</v>
      </c>
      <c r="B32" s="366">
        <f>SUM(B30:B31)</f>
        <v>0</v>
      </c>
      <c r="C32" s="891"/>
      <c r="D32" s="891"/>
      <c r="E32" s="891"/>
      <c r="F32" s="891"/>
      <c r="G32" s="891"/>
      <c r="H32" s="891"/>
      <c r="I32" s="891"/>
    </row>
    <row r="33" spans="1:9" s="334" customFormat="1" ht="11.25" customHeight="1" x14ac:dyDescent="0.2">
      <c r="C33" s="339"/>
    </row>
    <row r="34" spans="1:9" s="334" customFormat="1" ht="11.25" customHeight="1" x14ac:dyDescent="0.2">
      <c r="A34" s="861" t="s">
        <v>143</v>
      </c>
      <c r="B34" s="861"/>
      <c r="C34" s="861"/>
      <c r="D34" s="861"/>
      <c r="E34" s="861"/>
      <c r="F34" s="861"/>
      <c r="G34" s="861"/>
      <c r="H34" s="861"/>
      <c r="I34" s="861"/>
    </row>
    <row r="35" spans="1:9" s="334" customFormat="1" ht="11.25" customHeight="1" x14ac:dyDescent="0.2">
      <c r="C35" s="369"/>
    </row>
    <row r="36" spans="1:9" s="334" customFormat="1" ht="11.25" customHeight="1" x14ac:dyDescent="0.2">
      <c r="A36" s="335" t="s">
        <v>144</v>
      </c>
      <c r="B36" s="357" t="s">
        <v>145</v>
      </c>
      <c r="C36" s="892" t="s">
        <v>146</v>
      </c>
      <c r="D36" s="892"/>
      <c r="E36" s="892"/>
      <c r="F36" s="892"/>
      <c r="G36" s="892"/>
      <c r="H36" s="892"/>
      <c r="I36" s="893"/>
    </row>
    <row r="37" spans="1:9" s="334" customFormat="1" ht="11.25" customHeight="1" x14ac:dyDescent="0.2">
      <c r="A37" s="370">
        <v>15000</v>
      </c>
      <c r="B37" s="370">
        <v>15000</v>
      </c>
      <c r="C37" s="934" t="s">
        <v>499</v>
      </c>
      <c r="D37" s="934"/>
      <c r="E37" s="934"/>
      <c r="F37" s="934"/>
      <c r="G37" s="934"/>
      <c r="H37" s="934"/>
      <c r="I37" s="934"/>
    </row>
    <row r="38" spans="1:9" s="334" customFormat="1" ht="11.25" customHeight="1" x14ac:dyDescent="0.2">
      <c r="A38" s="635">
        <v>5192</v>
      </c>
      <c r="B38" s="635">
        <v>4950</v>
      </c>
      <c r="C38" s="1231" t="s">
        <v>500</v>
      </c>
      <c r="D38" s="1232"/>
      <c r="E38" s="1232"/>
      <c r="F38" s="1232"/>
      <c r="G38" s="1232"/>
      <c r="H38" s="1232"/>
      <c r="I38" s="1233"/>
    </row>
    <row r="39" spans="1:9" s="338" customFormat="1" ht="11.25" x14ac:dyDescent="0.15">
      <c r="A39" s="462">
        <v>5000</v>
      </c>
      <c r="B39" s="462">
        <v>5000</v>
      </c>
      <c r="C39" s="1081" t="s">
        <v>501</v>
      </c>
      <c r="D39" s="877"/>
      <c r="E39" s="877"/>
      <c r="F39" s="877"/>
      <c r="G39" s="877"/>
      <c r="H39" s="877"/>
      <c r="I39" s="877"/>
    </row>
    <row r="40" spans="1:9" s="334" customFormat="1" ht="11.25" x14ac:dyDescent="0.2">
      <c r="A40" s="371">
        <f>SUM(A37:A39)</f>
        <v>25192</v>
      </c>
      <c r="B40" s="371">
        <f>SUM(B37:B39)</f>
        <v>24950</v>
      </c>
      <c r="C40" s="878" t="s">
        <v>90</v>
      </c>
      <c r="D40" s="879"/>
      <c r="E40" s="879"/>
      <c r="F40" s="879"/>
      <c r="G40" s="879"/>
      <c r="H40" s="879"/>
      <c r="I40" s="880"/>
    </row>
    <row r="41" spans="1:9" s="340" customFormat="1" ht="11.25" x14ac:dyDescent="0.2">
      <c r="A41" s="334"/>
      <c r="B41" s="334"/>
      <c r="C41" s="369"/>
      <c r="D41" s="334"/>
      <c r="E41" s="334"/>
      <c r="F41" s="334"/>
      <c r="G41" s="334"/>
      <c r="H41" s="334"/>
      <c r="I41" s="334"/>
    </row>
    <row r="42" spans="1:9" s="334" customFormat="1" ht="11.25" x14ac:dyDescent="0.2">
      <c r="A42" s="861" t="s">
        <v>148</v>
      </c>
      <c r="B42" s="861"/>
      <c r="C42" s="861"/>
      <c r="D42" s="861"/>
      <c r="E42" s="861"/>
      <c r="F42" s="861"/>
      <c r="G42" s="861"/>
      <c r="H42" s="861"/>
      <c r="I42" s="861"/>
    </row>
    <row r="43" spans="1:9" s="334" customFormat="1" ht="11.25" x14ac:dyDescent="0.2">
      <c r="C43" s="369"/>
    </row>
    <row r="44" spans="1:9" s="334" customFormat="1" ht="32.25" thickBot="1" x14ac:dyDescent="0.3">
      <c r="A44" s="866" t="s">
        <v>149</v>
      </c>
      <c r="B44" s="1222"/>
      <c r="C44" s="372" t="s">
        <v>150</v>
      </c>
      <c r="D44" s="372" t="s">
        <v>151</v>
      </c>
      <c r="E44" s="372" t="s">
        <v>152</v>
      </c>
      <c r="F44" s="372" t="s">
        <v>153</v>
      </c>
      <c r="G44" s="372" t="s">
        <v>154</v>
      </c>
      <c r="H44" s="373"/>
      <c r="I44" s="373"/>
    </row>
    <row r="45" spans="1:9" s="334" customFormat="1" ht="23.25" customHeight="1" x14ac:dyDescent="0.2">
      <c r="A45" s="1227" t="s">
        <v>502</v>
      </c>
      <c r="B45" s="1228"/>
      <c r="C45" s="636" t="s">
        <v>503</v>
      </c>
      <c r="D45" s="637">
        <v>15000</v>
      </c>
      <c r="E45" s="637"/>
      <c r="F45" s="636" t="s">
        <v>504</v>
      </c>
      <c r="G45" s="638" t="s">
        <v>504</v>
      </c>
    </row>
    <row r="46" spans="1:9" s="334" customFormat="1" ht="23.25" customHeight="1" thickBot="1" x14ac:dyDescent="0.25">
      <c r="A46" s="1229" t="s">
        <v>502</v>
      </c>
      <c r="B46" s="1230"/>
      <c r="C46" s="639" t="s">
        <v>505</v>
      </c>
      <c r="D46" s="640"/>
      <c r="E46" s="641">
        <v>15000</v>
      </c>
      <c r="F46" s="639" t="s">
        <v>504</v>
      </c>
      <c r="G46" s="642" t="s">
        <v>504</v>
      </c>
    </row>
    <row r="47" spans="1:9" s="334" customFormat="1" ht="11.25" x14ac:dyDescent="0.2">
      <c r="A47" s="1227" t="s">
        <v>506</v>
      </c>
      <c r="B47" s="1228"/>
      <c r="C47" s="636" t="s">
        <v>503</v>
      </c>
      <c r="D47" s="643">
        <v>13515</v>
      </c>
      <c r="E47" s="637"/>
      <c r="F47" s="636" t="s">
        <v>504</v>
      </c>
      <c r="G47" s="638" t="s">
        <v>504</v>
      </c>
    </row>
    <row r="48" spans="1:9" s="334" customFormat="1" ht="12" thickBot="1" x14ac:dyDescent="0.25">
      <c r="A48" s="1225" t="s">
        <v>506</v>
      </c>
      <c r="B48" s="1226"/>
      <c r="C48" s="639" t="s">
        <v>507</v>
      </c>
      <c r="D48" s="640"/>
      <c r="E48" s="641">
        <v>13515</v>
      </c>
      <c r="F48" s="639" t="s">
        <v>504</v>
      </c>
      <c r="G48" s="642" t="s">
        <v>504</v>
      </c>
    </row>
    <row r="49" spans="1:7" s="334" customFormat="1" ht="11.25" x14ac:dyDescent="0.2">
      <c r="A49" s="1227" t="s">
        <v>506</v>
      </c>
      <c r="B49" s="1228"/>
      <c r="C49" s="636" t="s">
        <v>503</v>
      </c>
      <c r="D49" s="643">
        <v>59161</v>
      </c>
      <c r="E49" s="637"/>
      <c r="F49" s="636" t="s">
        <v>504</v>
      </c>
      <c r="G49" s="638" t="s">
        <v>504</v>
      </c>
    </row>
    <row r="50" spans="1:7" s="334" customFormat="1" ht="12" thickBot="1" x14ac:dyDescent="0.25">
      <c r="A50" s="1225" t="s">
        <v>506</v>
      </c>
      <c r="B50" s="1226"/>
      <c r="C50" s="639" t="s">
        <v>507</v>
      </c>
      <c r="D50" s="640"/>
      <c r="E50" s="641">
        <v>59161</v>
      </c>
      <c r="F50" s="639" t="s">
        <v>504</v>
      </c>
      <c r="G50" s="642" t="s">
        <v>504</v>
      </c>
    </row>
    <row r="51" spans="1:7" s="334" customFormat="1" ht="24" customHeight="1" x14ac:dyDescent="0.2">
      <c r="A51" s="1227" t="s">
        <v>508</v>
      </c>
      <c r="B51" s="1228"/>
      <c r="C51" s="636" t="s">
        <v>509</v>
      </c>
      <c r="D51" s="643">
        <v>-5192</v>
      </c>
      <c r="E51" s="637"/>
      <c r="F51" s="636" t="s">
        <v>510</v>
      </c>
      <c r="G51" s="638" t="s">
        <v>510</v>
      </c>
    </row>
    <row r="52" spans="1:7" s="334" customFormat="1" ht="24" customHeight="1" thickBot="1" x14ac:dyDescent="0.25">
      <c r="A52" s="1229" t="s">
        <v>508</v>
      </c>
      <c r="B52" s="1230"/>
      <c r="C52" s="639" t="s">
        <v>503</v>
      </c>
      <c r="D52" s="640">
        <v>5192</v>
      </c>
      <c r="E52" s="641"/>
      <c r="F52" s="639" t="s">
        <v>510</v>
      </c>
      <c r="G52" s="642" t="s">
        <v>510</v>
      </c>
    </row>
    <row r="53" spans="1:7" s="334" customFormat="1" ht="11.25" x14ac:dyDescent="0.2">
      <c r="A53" s="1227" t="s">
        <v>506</v>
      </c>
      <c r="B53" s="1228"/>
      <c r="C53" s="636" t="s">
        <v>503</v>
      </c>
      <c r="D53" s="643">
        <v>35700</v>
      </c>
      <c r="E53" s="637"/>
      <c r="F53" s="636" t="s">
        <v>511</v>
      </c>
      <c r="G53" s="638" t="s">
        <v>511</v>
      </c>
    </row>
    <row r="54" spans="1:7" s="334" customFormat="1" ht="15" customHeight="1" thickBot="1" x14ac:dyDescent="0.25">
      <c r="A54" s="1229" t="s">
        <v>506</v>
      </c>
      <c r="B54" s="1230"/>
      <c r="C54" s="639" t="s">
        <v>507</v>
      </c>
      <c r="D54" s="640"/>
      <c r="E54" s="641">
        <v>35700</v>
      </c>
      <c r="F54" s="639" t="s">
        <v>511</v>
      </c>
      <c r="G54" s="642" t="s">
        <v>511</v>
      </c>
    </row>
    <row r="55" spans="1:7" s="334" customFormat="1" ht="11.25" x14ac:dyDescent="0.2">
      <c r="A55" s="1227" t="s">
        <v>506</v>
      </c>
      <c r="B55" s="1228"/>
      <c r="C55" s="636" t="s">
        <v>503</v>
      </c>
      <c r="D55" s="643">
        <v>39900</v>
      </c>
      <c r="E55" s="637"/>
      <c r="F55" s="636" t="s">
        <v>511</v>
      </c>
      <c r="G55" s="638" t="s">
        <v>511</v>
      </c>
    </row>
    <row r="56" spans="1:7" s="334" customFormat="1" ht="12" thickBot="1" x14ac:dyDescent="0.25">
      <c r="A56" s="1229" t="s">
        <v>506</v>
      </c>
      <c r="B56" s="1230"/>
      <c r="C56" s="639" t="s">
        <v>507</v>
      </c>
      <c r="D56" s="640"/>
      <c r="E56" s="641">
        <v>39900</v>
      </c>
      <c r="F56" s="639" t="s">
        <v>511</v>
      </c>
      <c r="G56" s="642" t="s">
        <v>511</v>
      </c>
    </row>
    <row r="57" spans="1:7" s="334" customFormat="1" ht="22.5" customHeight="1" x14ac:dyDescent="0.2">
      <c r="A57" s="1227" t="s">
        <v>512</v>
      </c>
      <c r="B57" s="1228"/>
      <c r="C57" s="636" t="s">
        <v>513</v>
      </c>
      <c r="D57" s="643">
        <v>274161</v>
      </c>
      <c r="E57" s="637"/>
      <c r="F57" s="636" t="s">
        <v>514</v>
      </c>
      <c r="G57" s="638" t="s">
        <v>514</v>
      </c>
    </row>
    <row r="58" spans="1:7" s="334" customFormat="1" ht="22.5" customHeight="1" thickBot="1" x14ac:dyDescent="0.25">
      <c r="A58" s="1225" t="s">
        <v>512</v>
      </c>
      <c r="B58" s="1226"/>
      <c r="C58" s="639" t="s">
        <v>507</v>
      </c>
      <c r="D58" s="640"/>
      <c r="E58" s="641">
        <v>274161</v>
      </c>
      <c r="F58" s="639" t="s">
        <v>514</v>
      </c>
      <c r="G58" s="642" t="s">
        <v>514</v>
      </c>
    </row>
    <row r="59" spans="1:7" s="334" customFormat="1" ht="22.5" customHeight="1" x14ac:dyDescent="0.2">
      <c r="A59" s="1227" t="s">
        <v>512</v>
      </c>
      <c r="B59" s="1228"/>
      <c r="C59" s="636" t="s">
        <v>513</v>
      </c>
      <c r="D59" s="643">
        <v>290372</v>
      </c>
      <c r="E59" s="637"/>
      <c r="F59" s="636" t="s">
        <v>514</v>
      </c>
      <c r="G59" s="638" t="s">
        <v>514</v>
      </c>
    </row>
    <row r="60" spans="1:7" s="334" customFormat="1" ht="22.5" customHeight="1" thickBot="1" x14ac:dyDescent="0.25">
      <c r="A60" s="1225" t="s">
        <v>512</v>
      </c>
      <c r="B60" s="1226"/>
      <c r="C60" s="639" t="s">
        <v>505</v>
      </c>
      <c r="D60" s="640"/>
      <c r="E60" s="641">
        <v>290372</v>
      </c>
      <c r="F60" s="639" t="s">
        <v>514</v>
      </c>
      <c r="G60" s="642" t="s">
        <v>514</v>
      </c>
    </row>
    <row r="61" spans="1:7" s="334" customFormat="1" ht="22.5" customHeight="1" x14ac:dyDescent="0.2">
      <c r="A61" s="1227" t="s">
        <v>512</v>
      </c>
      <c r="B61" s="1228"/>
      <c r="C61" s="636" t="s">
        <v>513</v>
      </c>
      <c r="D61" s="643">
        <v>35467</v>
      </c>
      <c r="E61" s="637"/>
      <c r="F61" s="636" t="s">
        <v>514</v>
      </c>
      <c r="G61" s="638" t="s">
        <v>514</v>
      </c>
    </row>
    <row r="62" spans="1:7" s="334" customFormat="1" ht="22.5" customHeight="1" thickBot="1" x14ac:dyDescent="0.25">
      <c r="A62" s="1225" t="s">
        <v>512</v>
      </c>
      <c r="B62" s="1226"/>
      <c r="C62" s="639" t="s">
        <v>515</v>
      </c>
      <c r="D62" s="640"/>
      <c r="E62" s="641">
        <v>35467</v>
      </c>
      <c r="F62" s="639" t="s">
        <v>514</v>
      </c>
      <c r="G62" s="642" t="s">
        <v>514</v>
      </c>
    </row>
    <row r="63" spans="1:7" s="334" customFormat="1" ht="22.5" customHeight="1" x14ac:dyDescent="0.2">
      <c r="A63" s="1227" t="s">
        <v>516</v>
      </c>
      <c r="B63" s="1228"/>
      <c r="C63" s="636" t="s">
        <v>513</v>
      </c>
      <c r="D63" s="643">
        <v>58000</v>
      </c>
      <c r="E63" s="637"/>
      <c r="F63" s="636" t="s">
        <v>517</v>
      </c>
      <c r="G63" s="638" t="s">
        <v>517</v>
      </c>
    </row>
    <row r="64" spans="1:7" s="334" customFormat="1" ht="22.5" customHeight="1" thickBot="1" x14ac:dyDescent="0.25">
      <c r="A64" s="1225" t="s">
        <v>516</v>
      </c>
      <c r="B64" s="1226"/>
      <c r="C64" s="639" t="s">
        <v>515</v>
      </c>
      <c r="D64" s="640"/>
      <c r="E64" s="641">
        <v>58000</v>
      </c>
      <c r="F64" s="639" t="s">
        <v>517</v>
      </c>
      <c r="G64" s="642" t="s">
        <v>517</v>
      </c>
    </row>
    <row r="65" spans="1:9" s="334" customFormat="1" ht="11.25" x14ac:dyDescent="0.2">
      <c r="A65" s="1227" t="s">
        <v>518</v>
      </c>
      <c r="B65" s="1228"/>
      <c r="C65" s="636" t="s">
        <v>507</v>
      </c>
      <c r="D65" s="643"/>
      <c r="E65" s="637">
        <v>300000</v>
      </c>
      <c r="F65" s="636" t="s">
        <v>519</v>
      </c>
      <c r="G65" s="638" t="s">
        <v>519</v>
      </c>
    </row>
    <row r="66" spans="1:9" s="334" customFormat="1" ht="12" thickBot="1" x14ac:dyDescent="0.25">
      <c r="A66" s="1225" t="s">
        <v>518</v>
      </c>
      <c r="B66" s="1226"/>
      <c r="C66" s="639" t="s">
        <v>520</v>
      </c>
      <c r="D66" s="640"/>
      <c r="E66" s="641">
        <v>-300000</v>
      </c>
      <c r="F66" s="639" t="s">
        <v>519</v>
      </c>
      <c r="G66" s="642" t="s">
        <v>519</v>
      </c>
    </row>
    <row r="67" spans="1:9" s="334" customFormat="1" ht="21" customHeight="1" x14ac:dyDescent="0.2">
      <c r="A67" s="1227" t="s">
        <v>521</v>
      </c>
      <c r="B67" s="1228"/>
      <c r="C67" s="636" t="s">
        <v>509</v>
      </c>
      <c r="D67" s="643">
        <v>-8492</v>
      </c>
      <c r="E67" s="637"/>
      <c r="F67" s="636" t="s">
        <v>522</v>
      </c>
      <c r="G67" s="638" t="s">
        <v>523</v>
      </c>
    </row>
    <row r="68" spans="1:9" s="334" customFormat="1" ht="21" customHeight="1" thickBot="1" x14ac:dyDescent="0.25">
      <c r="A68" s="1225" t="s">
        <v>521</v>
      </c>
      <c r="B68" s="1226"/>
      <c r="C68" s="644" t="s">
        <v>503</v>
      </c>
      <c r="D68" s="645">
        <v>8492</v>
      </c>
      <c r="E68" s="646"/>
      <c r="F68" s="644" t="s">
        <v>522</v>
      </c>
      <c r="G68" s="647" t="s">
        <v>523</v>
      </c>
    </row>
    <row r="69" spans="1:9" s="334" customFormat="1" ht="11.25" x14ac:dyDescent="0.2">
      <c r="A69" s="1227" t="s">
        <v>524</v>
      </c>
      <c r="B69" s="1228"/>
      <c r="C69" s="636" t="s">
        <v>503</v>
      </c>
      <c r="D69" s="643">
        <v>5000</v>
      </c>
      <c r="E69" s="643"/>
      <c r="F69" s="636" t="s">
        <v>522</v>
      </c>
      <c r="G69" s="638" t="s">
        <v>523</v>
      </c>
    </row>
    <row r="70" spans="1:9" s="334" customFormat="1" ht="12" thickBot="1" x14ac:dyDescent="0.25">
      <c r="A70" s="1225" t="s">
        <v>524</v>
      </c>
      <c r="B70" s="1226"/>
      <c r="C70" s="644" t="s">
        <v>515</v>
      </c>
      <c r="D70" s="645"/>
      <c r="E70" s="646">
        <v>5000</v>
      </c>
      <c r="F70" s="644" t="s">
        <v>522</v>
      </c>
      <c r="G70" s="647" t="s">
        <v>523</v>
      </c>
    </row>
    <row r="71" spans="1:9" s="334" customFormat="1" ht="11.25" x14ac:dyDescent="0.2">
      <c r="A71" s="872" t="s">
        <v>169</v>
      </c>
      <c r="B71" s="1224"/>
      <c r="C71" s="387"/>
      <c r="D71" s="354">
        <f>SUM(D45:D70)</f>
        <v>826276</v>
      </c>
      <c r="E71" s="354">
        <f>SUM(E45:E70)</f>
        <v>826276</v>
      </c>
      <c r="F71" s="881"/>
      <c r="G71" s="882"/>
    </row>
    <row r="72" spans="1:9" s="334" customFormat="1" ht="11.25" x14ac:dyDescent="0.2">
      <c r="C72" s="369"/>
    </row>
    <row r="73" spans="1:9" s="334" customFormat="1" ht="11.25" x14ac:dyDescent="0.2">
      <c r="A73" s="865" t="s">
        <v>327</v>
      </c>
      <c r="B73" s="865"/>
      <c r="C73" s="865"/>
      <c r="D73" s="865"/>
      <c r="E73" s="865"/>
      <c r="F73" s="865"/>
      <c r="G73" s="865"/>
      <c r="H73" s="865"/>
      <c r="I73" s="865"/>
    </row>
    <row r="74" spans="1:9" s="373" customFormat="1" ht="15" x14ac:dyDescent="0.25">
      <c r="A74" s="334"/>
      <c r="B74" s="334"/>
      <c r="C74" s="369"/>
      <c r="D74" s="334"/>
      <c r="E74" s="334"/>
      <c r="F74" s="334"/>
      <c r="G74" s="334"/>
      <c r="H74" s="334"/>
      <c r="I74" s="334"/>
    </row>
    <row r="75" spans="1:9" s="334" customFormat="1" ht="31.5" x14ac:dyDescent="0.25">
      <c r="A75" s="866" t="s">
        <v>149</v>
      </c>
      <c r="B75" s="1222"/>
      <c r="C75" s="372" t="s">
        <v>150</v>
      </c>
      <c r="D75" s="372" t="s">
        <v>151</v>
      </c>
      <c r="E75" s="372" t="s">
        <v>152</v>
      </c>
      <c r="F75" s="372" t="s">
        <v>153</v>
      </c>
      <c r="G75" s="372" t="s">
        <v>154</v>
      </c>
      <c r="H75" s="373"/>
      <c r="I75" s="373"/>
    </row>
    <row r="76" spans="1:9" s="334" customFormat="1" ht="11.25" x14ac:dyDescent="0.2">
      <c r="A76" s="868" t="s">
        <v>525</v>
      </c>
      <c r="B76" s="991"/>
      <c r="C76" s="388" t="s">
        <v>526</v>
      </c>
      <c r="D76" s="389">
        <v>0</v>
      </c>
      <c r="E76" s="389">
        <v>0</v>
      </c>
      <c r="F76" s="648" t="s">
        <v>527</v>
      </c>
      <c r="G76" s="648" t="s">
        <v>527</v>
      </c>
    </row>
    <row r="77" spans="1:9" s="334" customFormat="1" ht="11.25" x14ac:dyDescent="0.2">
      <c r="A77" s="870" t="s">
        <v>528</v>
      </c>
      <c r="B77" s="1223"/>
      <c r="C77" s="433" t="s">
        <v>526</v>
      </c>
      <c r="D77" s="434">
        <v>0</v>
      </c>
      <c r="E77" s="434">
        <v>0</v>
      </c>
      <c r="F77" s="435" t="s">
        <v>527</v>
      </c>
      <c r="G77" s="435" t="s">
        <v>527</v>
      </c>
    </row>
    <row r="78" spans="1:9" s="334" customFormat="1" ht="11.25" x14ac:dyDescent="0.2">
      <c r="A78" s="872" t="s">
        <v>169</v>
      </c>
      <c r="B78" s="1224"/>
      <c r="C78" s="387"/>
      <c r="D78" s="354">
        <f>SUM(D76:D77)</f>
        <v>0</v>
      </c>
      <c r="E78" s="354">
        <f>SUM(E76:E77)</f>
        <v>0</v>
      </c>
      <c r="F78" s="874"/>
      <c r="G78" s="875"/>
    </row>
    <row r="79" spans="1:9" s="334" customFormat="1" ht="11.25" x14ac:dyDescent="0.2">
      <c r="C79" s="369"/>
    </row>
    <row r="80" spans="1:9" s="334" customFormat="1" ht="11.25" x14ac:dyDescent="0.2">
      <c r="A80" s="860" t="s">
        <v>172</v>
      </c>
      <c r="B80" s="860"/>
      <c r="C80" s="860"/>
      <c r="D80" s="860"/>
      <c r="E80" s="860"/>
      <c r="F80" s="860"/>
      <c r="G80" s="860"/>
      <c r="H80" s="860"/>
      <c r="I80" s="860"/>
    </row>
    <row r="81" spans="1:9" s="373" customFormat="1" ht="15" x14ac:dyDescent="0.25">
      <c r="A81" s="334" t="s">
        <v>529</v>
      </c>
      <c r="B81" s="334"/>
      <c r="C81" s="334"/>
      <c r="D81" s="334"/>
      <c r="E81" s="334"/>
      <c r="F81" s="334"/>
      <c r="G81" s="334"/>
      <c r="H81" s="334"/>
      <c r="I81" s="334"/>
    </row>
    <row r="82" spans="1:9" s="334" customFormat="1" ht="11.25" x14ac:dyDescent="0.2"/>
    <row r="83" spans="1:9" s="340" customFormat="1" ht="11.25" x14ac:dyDescent="0.2">
      <c r="A83" s="861" t="s">
        <v>175</v>
      </c>
      <c r="B83" s="861"/>
      <c r="C83" s="861"/>
      <c r="D83" s="861"/>
      <c r="E83" s="861"/>
      <c r="F83" s="861"/>
      <c r="G83" s="861"/>
      <c r="H83" s="861"/>
      <c r="I83" s="861"/>
    </row>
    <row r="84" spans="1:9" s="334" customFormat="1" ht="11.25" x14ac:dyDescent="0.2"/>
    <row r="85" spans="1:9" s="334" customFormat="1" ht="11.25" customHeight="1" x14ac:dyDescent="0.2">
      <c r="A85" s="862" t="s">
        <v>530</v>
      </c>
      <c r="B85" s="863"/>
      <c r="C85" s="863"/>
      <c r="D85" s="863"/>
      <c r="E85" s="863"/>
      <c r="F85" s="863"/>
      <c r="G85" s="863"/>
      <c r="H85" s="863"/>
      <c r="I85" s="864"/>
    </row>
    <row r="86" spans="1:9" s="334" customFormat="1" ht="11.25" customHeight="1" x14ac:dyDescent="0.2">
      <c r="A86" s="857" t="s">
        <v>531</v>
      </c>
      <c r="B86" s="858"/>
      <c r="C86" s="858"/>
      <c r="D86" s="858"/>
      <c r="E86" s="858"/>
      <c r="F86" s="858"/>
      <c r="G86" s="858"/>
      <c r="H86" s="858"/>
      <c r="I86" s="859"/>
    </row>
    <row r="87" spans="1:9" s="334" customFormat="1" ht="11.25" customHeight="1" x14ac:dyDescent="0.2">
      <c r="A87" s="857" t="s">
        <v>532</v>
      </c>
      <c r="B87" s="858"/>
      <c r="C87" s="858"/>
      <c r="D87" s="858"/>
      <c r="E87" s="858"/>
      <c r="F87" s="858"/>
      <c r="G87" s="858"/>
      <c r="H87" s="858"/>
      <c r="I87" s="859"/>
    </row>
    <row r="88" spans="1:9" s="334" customFormat="1" x14ac:dyDescent="0.2">
      <c r="A88" s="392"/>
      <c r="B88" s="392"/>
      <c r="C88" s="392"/>
      <c r="D88" s="392"/>
      <c r="E88" s="392"/>
      <c r="F88" s="392"/>
      <c r="G88" s="392"/>
      <c r="H88" s="392"/>
      <c r="I88" s="392"/>
    </row>
    <row r="89" spans="1:9" s="333" customFormat="1" ht="18.75" x14ac:dyDescent="0.3">
      <c r="A89" s="391" t="s">
        <v>533</v>
      </c>
      <c r="B89" s="392"/>
      <c r="C89" s="392"/>
      <c r="D89" s="392"/>
      <c r="E89" s="392"/>
      <c r="F89" s="392"/>
      <c r="G89" s="392"/>
      <c r="H89" s="392"/>
      <c r="I89" s="392"/>
    </row>
    <row r="90" spans="1:9" s="334" customFormat="1" ht="18.75" x14ac:dyDescent="0.3">
      <c r="A90" s="391" t="s">
        <v>534</v>
      </c>
      <c r="B90" s="392"/>
      <c r="C90" s="392"/>
      <c r="D90" s="392"/>
      <c r="E90" s="392"/>
      <c r="F90" s="392"/>
      <c r="G90" s="392"/>
      <c r="H90" s="392"/>
      <c r="I90" s="392"/>
    </row>
    <row r="91" spans="1:9" s="334" customFormat="1" ht="33.75" customHeight="1" x14ac:dyDescent="0.2">
      <c r="A91" s="392"/>
      <c r="B91" s="392"/>
      <c r="C91" s="392"/>
      <c r="D91" s="392"/>
      <c r="E91" s="392"/>
      <c r="F91" s="392"/>
      <c r="G91" s="392"/>
      <c r="H91" s="392"/>
      <c r="I91" s="392"/>
    </row>
    <row r="92" spans="1:9" s="334" customFormat="1" ht="11.25" customHeight="1" x14ac:dyDescent="0.2">
      <c r="A92" s="392"/>
      <c r="B92" s="392"/>
      <c r="C92" s="392"/>
      <c r="D92" s="392"/>
      <c r="E92" s="392"/>
      <c r="F92" s="392"/>
      <c r="G92" s="392"/>
      <c r="H92" s="392"/>
      <c r="I92" s="392"/>
    </row>
    <row r="93" spans="1:9" s="334" customFormat="1" ht="11.25" customHeight="1" x14ac:dyDescent="0.2">
      <c r="A93" s="392"/>
      <c r="B93" s="392"/>
      <c r="C93" s="392"/>
      <c r="D93" s="392"/>
      <c r="E93" s="392"/>
      <c r="F93" s="392"/>
      <c r="G93" s="392"/>
      <c r="H93" s="392"/>
      <c r="I93" s="392"/>
    </row>
  </sheetData>
  <mergeCells count="78">
    <mergeCell ref="G12:I12"/>
    <mergeCell ref="A1:I1"/>
    <mergeCell ref="A3:I3"/>
    <mergeCell ref="A5:B5"/>
    <mergeCell ref="D5:I5"/>
    <mergeCell ref="A6:B6"/>
    <mergeCell ref="D6:I6"/>
    <mergeCell ref="A7:B7"/>
    <mergeCell ref="D7:I7"/>
    <mergeCell ref="A8:B8"/>
    <mergeCell ref="D8:I8"/>
    <mergeCell ref="A10:I10"/>
    <mergeCell ref="C25:I25"/>
    <mergeCell ref="G13:I13"/>
    <mergeCell ref="G14:I14"/>
    <mergeCell ref="G15:I15"/>
    <mergeCell ref="G16:I16"/>
    <mergeCell ref="G17:I17"/>
    <mergeCell ref="A19:I19"/>
    <mergeCell ref="D21:I21"/>
    <mergeCell ref="A22:A24"/>
    <mergeCell ref="B22:B24"/>
    <mergeCell ref="C22:C24"/>
    <mergeCell ref="D22:I24"/>
    <mergeCell ref="C39:I39"/>
    <mergeCell ref="A27:I27"/>
    <mergeCell ref="D29:I29"/>
    <mergeCell ref="A30:A31"/>
    <mergeCell ref="B30:B31"/>
    <mergeCell ref="C30:C31"/>
    <mergeCell ref="D30:I31"/>
    <mergeCell ref="C32:I32"/>
    <mergeCell ref="A34:I34"/>
    <mergeCell ref="C36:I36"/>
    <mergeCell ref="C37:I37"/>
    <mergeCell ref="C38:I38"/>
    <mergeCell ref="A53:B53"/>
    <mergeCell ref="C40:I40"/>
    <mergeCell ref="A42:I42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8:B78"/>
    <mergeCell ref="F78:G78"/>
    <mergeCell ref="A66:B66"/>
    <mergeCell ref="A67:B67"/>
    <mergeCell ref="A68:B68"/>
    <mergeCell ref="A69:B69"/>
    <mergeCell ref="A70:B70"/>
    <mergeCell ref="A71:B71"/>
    <mergeCell ref="F71:G71"/>
    <mergeCell ref="A73:I73"/>
    <mergeCell ref="A75:B75"/>
    <mergeCell ref="A76:B76"/>
    <mergeCell ref="A77:B77"/>
    <mergeCell ref="A80:I80"/>
    <mergeCell ref="A83:I83"/>
    <mergeCell ref="A85:I85"/>
    <mergeCell ref="A86:I86"/>
    <mergeCell ref="A87:I87"/>
  </mergeCells>
  <pageMargins left="0.70866141732283472" right="0.70866141732283472" top="0.78740157480314965" bottom="0.78740157480314965" header="0.31496062992125984" footer="0.31496062992125984"/>
  <pageSetup paperSize="9" scale="58" firstPageNumber="85" orientation="portrait" useFirstPageNumber="1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9" width="6.28515625" style="43" customWidth="1"/>
    <col min="10" max="12" width="6.28515625" style="39" customWidth="1"/>
    <col min="13" max="13" width="5" style="43" customWidth="1"/>
    <col min="14" max="17" width="6.28515625" style="43" customWidth="1"/>
    <col min="18" max="18" width="5" style="43" customWidth="1"/>
    <col min="19" max="19" width="6.28515625" style="39" customWidth="1"/>
    <col min="20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87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1259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126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46541100</v>
      </c>
      <c r="F6" s="8">
        <f>SUM(F7:F9)</f>
        <v>46801883</v>
      </c>
      <c r="G6" s="8">
        <f>SUM(G7:G9)</f>
        <v>23962261</v>
      </c>
      <c r="H6" s="9">
        <f t="shared" ref="H6:H36" si="0">G6/F6*100</f>
        <v>51.199352385031169</v>
      </c>
      <c r="I6" s="8">
        <f>SUM(I7:I9)</f>
        <v>22425733</v>
      </c>
      <c r="J6" s="8">
        <f>SUM(J7:J9)</f>
        <v>9977700</v>
      </c>
      <c r="K6" s="8">
        <f t="shared" ref="K6:V6" si="1">SUM(K7:K9)</f>
        <v>10055000</v>
      </c>
      <c r="L6" s="8">
        <f t="shared" si="1"/>
        <v>5556971</v>
      </c>
      <c r="M6" s="9">
        <f t="shared" ref="M6:M32" si="2">L6/K6*100</f>
        <v>55.265748383888614</v>
      </c>
      <c r="N6" s="8">
        <f t="shared" ref="N6" si="3">SUM(N7:N9)</f>
        <v>5435778</v>
      </c>
      <c r="O6" s="8">
        <f t="shared" si="1"/>
        <v>36563400</v>
      </c>
      <c r="P6" s="8">
        <f t="shared" si="1"/>
        <v>36746883</v>
      </c>
      <c r="Q6" s="8">
        <f t="shared" si="1"/>
        <v>18405290</v>
      </c>
      <c r="R6" s="9">
        <f t="shared" ref="R6:R21" si="4">Q6/P6*100</f>
        <v>50.086669936059614</v>
      </c>
      <c r="S6" s="8">
        <f t="shared" ref="S6" si="5">SUM(S7:S9)</f>
        <v>16989955</v>
      </c>
      <c r="T6" s="8">
        <f t="shared" si="1"/>
        <v>800000</v>
      </c>
      <c r="U6" s="8">
        <f t="shared" si="1"/>
        <v>817010</v>
      </c>
      <c r="V6" s="8">
        <f t="shared" si="1"/>
        <v>578060</v>
      </c>
      <c r="W6" s="9">
        <f t="shared" ref="W6:W33" si="6">V6/U6*100</f>
        <v>70.753111957013999</v>
      </c>
      <c r="X6" s="8">
        <f t="shared" ref="X6" si="7">SUM(X7:X9)</f>
        <v>576461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8">SUM(J7,O7)</f>
        <v>4448000</v>
      </c>
      <c r="F7" s="12">
        <f t="shared" si="8"/>
        <v>4468300</v>
      </c>
      <c r="G7" s="12">
        <f t="shared" si="8"/>
        <v>2739378</v>
      </c>
      <c r="H7" s="13">
        <f t="shared" si="0"/>
        <v>61.306939999552398</v>
      </c>
      <c r="I7" s="12">
        <f>SUM(N7,S7)</f>
        <v>2653073</v>
      </c>
      <c r="J7" s="44">
        <v>4448000</v>
      </c>
      <c r="K7" s="14">
        <v>4468300</v>
      </c>
      <c r="L7" s="14">
        <v>2735722</v>
      </c>
      <c r="M7" s="13">
        <f t="shared" si="2"/>
        <v>61.225119172839783</v>
      </c>
      <c r="N7" s="14">
        <v>2645459</v>
      </c>
      <c r="O7" s="14"/>
      <c r="P7" s="14"/>
      <c r="Q7" s="14">
        <v>3656</v>
      </c>
      <c r="R7" s="13">
        <v>0</v>
      </c>
      <c r="S7" s="14">
        <v>7614</v>
      </c>
      <c r="T7" s="14">
        <v>800000</v>
      </c>
      <c r="U7" s="14">
        <v>817010</v>
      </c>
      <c r="V7" s="14">
        <v>578060</v>
      </c>
      <c r="W7" s="13">
        <f t="shared" si="6"/>
        <v>70.753111957013999</v>
      </c>
      <c r="X7" s="14">
        <v>576461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8"/>
        <v>2700</v>
      </c>
      <c r="F8" s="12">
        <f t="shared" si="8"/>
        <v>2700</v>
      </c>
      <c r="G8" s="12">
        <f t="shared" si="8"/>
        <v>749</v>
      </c>
      <c r="H8" s="13">
        <f t="shared" si="0"/>
        <v>27.740740740740737</v>
      </c>
      <c r="I8" s="12">
        <f>SUM(N8,S8)</f>
        <v>1354</v>
      </c>
      <c r="J8" s="45">
        <v>2700</v>
      </c>
      <c r="K8" s="12">
        <v>2700</v>
      </c>
      <c r="L8" s="12">
        <v>749</v>
      </c>
      <c r="M8" s="13">
        <f t="shared" si="2"/>
        <v>27.740740740740737</v>
      </c>
      <c r="N8" s="12">
        <v>1354</v>
      </c>
      <c r="O8" s="12"/>
      <c r="P8" s="12"/>
      <c r="Q8" s="12">
        <v>0</v>
      </c>
      <c r="R8" s="13">
        <v>0</v>
      </c>
      <c r="S8" s="12"/>
      <c r="T8" s="12"/>
      <c r="U8" s="12"/>
      <c r="V8" s="12">
        <v>0</v>
      </c>
      <c r="W8" s="13">
        <v>0</v>
      </c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8"/>
        <v>42090400</v>
      </c>
      <c r="F9" s="12">
        <f t="shared" si="8"/>
        <v>42330883</v>
      </c>
      <c r="G9" s="12">
        <f t="shared" si="8"/>
        <v>21222134</v>
      </c>
      <c r="H9" s="13">
        <f t="shared" si="0"/>
        <v>50.133927043288942</v>
      </c>
      <c r="I9" s="12">
        <f>SUM(N9,S9)</f>
        <v>19771306</v>
      </c>
      <c r="J9" s="45">
        <v>5527000</v>
      </c>
      <c r="K9" s="12">
        <v>5584000</v>
      </c>
      <c r="L9" s="12">
        <v>2820500</v>
      </c>
      <c r="M9" s="13">
        <f t="shared" si="2"/>
        <v>50.510386819484246</v>
      </c>
      <c r="N9" s="12">
        <v>2788965</v>
      </c>
      <c r="O9" s="12">
        <v>36563400</v>
      </c>
      <c r="P9" s="12">
        <v>36746883</v>
      </c>
      <c r="Q9" s="12">
        <v>18401634</v>
      </c>
      <c r="R9" s="13">
        <f t="shared" si="4"/>
        <v>50.076720792890107</v>
      </c>
      <c r="S9" s="12">
        <v>16982341</v>
      </c>
      <c r="T9" s="12"/>
      <c r="U9" s="12"/>
      <c r="V9" s="12">
        <v>0</v>
      </c>
      <c r="W9" s="13">
        <v>0</v>
      </c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8"/>
        <v>0</v>
      </c>
      <c r="F10" s="18">
        <f t="shared" si="8"/>
        <v>0</v>
      </c>
      <c r="G10" s="18">
        <f t="shared" si="8"/>
        <v>0</v>
      </c>
      <c r="H10" s="9">
        <v>0</v>
      </c>
      <c r="I10" s="18">
        <f>SUM(N10,S10)</f>
        <v>0</v>
      </c>
      <c r="J10" s="19"/>
      <c r="K10" s="18"/>
      <c r="L10" s="18">
        <v>0</v>
      </c>
      <c r="M10" s="9">
        <v>0</v>
      </c>
      <c r="N10" s="18"/>
      <c r="O10" s="18"/>
      <c r="P10" s="18"/>
      <c r="Q10" s="18"/>
      <c r="R10" s="9">
        <v>0</v>
      </c>
      <c r="S10" s="18"/>
      <c r="T10" s="18"/>
      <c r="U10" s="18"/>
      <c r="V10" s="18"/>
      <c r="W10" s="9">
        <v>0</v>
      </c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SUM(E12:E32)</f>
        <v>46541100</v>
      </c>
      <c r="F11" s="8">
        <f t="shared" ref="F11:G11" si="9">SUM(F12:F32)</f>
        <v>46801883</v>
      </c>
      <c r="G11" s="8">
        <f t="shared" si="9"/>
        <v>23726017</v>
      </c>
      <c r="H11" s="9">
        <f t="shared" si="0"/>
        <v>50.694577822862385</v>
      </c>
      <c r="I11" s="8">
        <f>SUM(I12:I32)</f>
        <v>22098278</v>
      </c>
      <c r="J11" s="8">
        <f t="shared" ref="J11:L11" si="10">SUM(J12:J32)</f>
        <v>9977700</v>
      </c>
      <c r="K11" s="8">
        <f t="shared" si="10"/>
        <v>10055000</v>
      </c>
      <c r="L11" s="8">
        <f t="shared" si="10"/>
        <v>5320727</v>
      </c>
      <c r="M11" s="9">
        <f t="shared" si="2"/>
        <v>52.916230730979606</v>
      </c>
      <c r="N11" s="8">
        <f>SUM(N12:N32)</f>
        <v>5108323</v>
      </c>
      <c r="O11" s="8">
        <f t="shared" ref="O11:Q11" si="11">SUM(O12:O32)</f>
        <v>36563400</v>
      </c>
      <c r="P11" s="8">
        <f t="shared" si="11"/>
        <v>36746883</v>
      </c>
      <c r="Q11" s="8">
        <f t="shared" si="11"/>
        <v>18405290</v>
      </c>
      <c r="R11" s="9">
        <f t="shared" si="4"/>
        <v>50.086669936059614</v>
      </c>
      <c r="S11" s="8">
        <f>SUM(S12:S32)</f>
        <v>16989955</v>
      </c>
      <c r="T11" s="8">
        <f t="shared" ref="T11:V11" si="12">SUM(T12:T32)</f>
        <v>696000</v>
      </c>
      <c r="U11" s="8">
        <f t="shared" si="12"/>
        <v>713010</v>
      </c>
      <c r="V11" s="8">
        <f t="shared" si="12"/>
        <v>318573</v>
      </c>
      <c r="W11" s="9">
        <f t="shared" si="6"/>
        <v>44.680018513064333</v>
      </c>
      <c r="X11" s="8">
        <f t="shared" ref="X11" si="13">SUM(X12:X32)</f>
        <v>324283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14">SUM(J12,O12)</f>
        <v>4776000</v>
      </c>
      <c r="F12" s="12">
        <f t="shared" si="14"/>
        <v>4833910</v>
      </c>
      <c r="G12" s="12">
        <f t="shared" si="14"/>
        <v>2908888</v>
      </c>
      <c r="H12" s="13">
        <f t="shared" si="0"/>
        <v>60.176709951157548</v>
      </c>
      <c r="I12" s="12">
        <f t="shared" si="14"/>
        <v>2863476</v>
      </c>
      <c r="J12" s="20">
        <v>4442000</v>
      </c>
      <c r="K12" s="21">
        <v>4499000</v>
      </c>
      <c r="L12" s="21">
        <v>2756328</v>
      </c>
      <c r="M12" s="13">
        <f t="shared" si="2"/>
        <v>61.265347855078915</v>
      </c>
      <c r="N12" s="21">
        <v>2663143</v>
      </c>
      <c r="O12" s="21">
        <v>334000</v>
      </c>
      <c r="P12" s="21">
        <v>334910</v>
      </c>
      <c r="Q12" s="21">
        <v>152560</v>
      </c>
      <c r="R12" s="13">
        <f t="shared" si="4"/>
        <v>45.552536502343912</v>
      </c>
      <c r="S12" s="21">
        <v>200333</v>
      </c>
      <c r="T12" s="21">
        <v>71914</v>
      </c>
      <c r="U12" s="21">
        <v>71914</v>
      </c>
      <c r="V12" s="21">
        <v>20967</v>
      </c>
      <c r="W12" s="13">
        <f t="shared" si="6"/>
        <v>29.155658147231417</v>
      </c>
      <c r="X12" s="21">
        <v>21490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14"/>
        <v>2544000</v>
      </c>
      <c r="F13" s="12">
        <f t="shared" si="14"/>
        <v>2544000</v>
      </c>
      <c r="G13" s="12">
        <f t="shared" si="14"/>
        <v>1301885</v>
      </c>
      <c r="H13" s="13">
        <f t="shared" si="0"/>
        <v>51.174724842767297</v>
      </c>
      <c r="I13" s="12">
        <f t="shared" si="14"/>
        <v>1332819</v>
      </c>
      <c r="J13" s="20">
        <v>2544000</v>
      </c>
      <c r="K13" s="12">
        <v>2544000</v>
      </c>
      <c r="L13" s="12">
        <v>1301885</v>
      </c>
      <c r="M13" s="13">
        <f t="shared" si="2"/>
        <v>51.174724842767297</v>
      </c>
      <c r="N13" s="12">
        <v>1332819</v>
      </c>
      <c r="O13" s="12"/>
      <c r="P13" s="12"/>
      <c r="Q13" s="12"/>
      <c r="R13" s="13">
        <v>0</v>
      </c>
      <c r="S13" s="12"/>
      <c r="T13" s="12">
        <v>341000</v>
      </c>
      <c r="U13" s="12">
        <v>341000</v>
      </c>
      <c r="V13" s="12">
        <v>174627</v>
      </c>
      <c r="W13" s="13">
        <f t="shared" si="6"/>
        <v>51.210263929618769</v>
      </c>
      <c r="X13" s="12">
        <v>174980</v>
      </c>
    </row>
    <row r="14" spans="1:24" s="2" customFormat="1" ht="9.75" x14ac:dyDescent="0.2">
      <c r="A14" s="95" t="s">
        <v>31</v>
      </c>
      <c r="B14" s="96" t="s">
        <v>32</v>
      </c>
      <c r="C14" s="96"/>
      <c r="D14" s="97" t="s">
        <v>16</v>
      </c>
      <c r="E14" s="98">
        <f t="shared" si="14"/>
        <v>0</v>
      </c>
      <c r="F14" s="98">
        <f t="shared" si="14"/>
        <v>0</v>
      </c>
      <c r="G14" s="98">
        <f t="shared" si="14"/>
        <v>0</v>
      </c>
      <c r="H14" s="99">
        <v>0</v>
      </c>
      <c r="I14" s="98">
        <f t="shared" si="14"/>
        <v>0</v>
      </c>
      <c r="J14" s="100"/>
      <c r="K14" s="98"/>
      <c r="L14" s="98"/>
      <c r="M14" s="99">
        <v>0</v>
      </c>
      <c r="N14" s="98"/>
      <c r="O14" s="98"/>
      <c r="P14" s="98"/>
      <c r="Q14" s="98"/>
      <c r="R14" s="99">
        <v>0</v>
      </c>
      <c r="S14" s="98"/>
      <c r="T14" s="98"/>
      <c r="U14" s="98"/>
      <c r="V14" s="98"/>
      <c r="W14" s="99">
        <v>0</v>
      </c>
      <c r="X14" s="98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14"/>
        <v>640000</v>
      </c>
      <c r="F15" s="12">
        <f t="shared" si="14"/>
        <v>640000</v>
      </c>
      <c r="G15" s="12">
        <f t="shared" si="14"/>
        <v>117494</v>
      </c>
      <c r="H15" s="13">
        <f t="shared" si="0"/>
        <v>18.358437500000001</v>
      </c>
      <c r="I15" s="12">
        <f t="shared" si="14"/>
        <v>92743</v>
      </c>
      <c r="J15" s="20">
        <v>640000</v>
      </c>
      <c r="K15" s="12">
        <v>640000</v>
      </c>
      <c r="L15" s="12">
        <v>117494</v>
      </c>
      <c r="M15" s="13">
        <f t="shared" si="2"/>
        <v>18.358437500000001</v>
      </c>
      <c r="N15" s="12">
        <v>92743</v>
      </c>
      <c r="O15" s="12"/>
      <c r="P15" s="12"/>
      <c r="Q15" s="12"/>
      <c r="R15" s="13">
        <v>0</v>
      </c>
      <c r="S15" s="12"/>
      <c r="T15" s="12">
        <v>64000</v>
      </c>
      <c r="U15" s="12">
        <v>64000</v>
      </c>
      <c r="V15" s="12">
        <v>5880</v>
      </c>
      <c r="W15" s="13">
        <f t="shared" si="6"/>
        <v>9.1875</v>
      </c>
      <c r="X15" s="12">
        <v>12440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14"/>
        <v>95000</v>
      </c>
      <c r="F16" s="12">
        <f t="shared" si="14"/>
        <v>97700</v>
      </c>
      <c r="G16" s="12">
        <f t="shared" si="14"/>
        <v>70746</v>
      </c>
      <c r="H16" s="13">
        <f t="shared" si="0"/>
        <v>72.411463664278415</v>
      </c>
      <c r="I16" s="12">
        <f t="shared" si="14"/>
        <v>72399</v>
      </c>
      <c r="J16" s="20">
        <v>5000</v>
      </c>
      <c r="K16" s="12">
        <v>7700</v>
      </c>
      <c r="L16" s="12">
        <v>5777</v>
      </c>
      <c r="M16" s="13">
        <f t="shared" si="2"/>
        <v>75.025974025974023</v>
      </c>
      <c r="N16" s="12">
        <v>2819</v>
      </c>
      <c r="O16" s="12">
        <v>90000</v>
      </c>
      <c r="P16" s="12">
        <v>90000</v>
      </c>
      <c r="Q16" s="12">
        <v>64969</v>
      </c>
      <c r="R16" s="13">
        <f t="shared" si="4"/>
        <v>72.187777777777768</v>
      </c>
      <c r="S16" s="12">
        <v>69580</v>
      </c>
      <c r="T16" s="12"/>
      <c r="U16" s="12"/>
      <c r="V16" s="12"/>
      <c r="W16" s="13">
        <v>0</v>
      </c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14"/>
        <v>8000</v>
      </c>
      <c r="F17" s="12">
        <f t="shared" si="14"/>
        <v>8000</v>
      </c>
      <c r="G17" s="12">
        <f t="shared" si="14"/>
        <v>3765</v>
      </c>
      <c r="H17" s="13">
        <f t="shared" si="0"/>
        <v>47.0625</v>
      </c>
      <c r="I17" s="12">
        <f t="shared" si="14"/>
        <v>2619</v>
      </c>
      <c r="J17" s="20">
        <v>8000</v>
      </c>
      <c r="K17" s="12">
        <v>8000</v>
      </c>
      <c r="L17" s="12">
        <v>3765</v>
      </c>
      <c r="M17" s="13">
        <f t="shared" si="2"/>
        <v>47.0625</v>
      </c>
      <c r="N17" s="12">
        <v>2619</v>
      </c>
      <c r="O17" s="12"/>
      <c r="P17" s="12"/>
      <c r="Q17" s="12"/>
      <c r="R17" s="13">
        <v>0</v>
      </c>
      <c r="S17" s="12"/>
      <c r="T17" s="12"/>
      <c r="U17" s="12"/>
      <c r="V17" s="12"/>
      <c r="W17" s="13">
        <v>0</v>
      </c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14"/>
        <v>651000</v>
      </c>
      <c r="F18" s="12">
        <f t="shared" si="14"/>
        <v>651000</v>
      </c>
      <c r="G18" s="12">
        <f t="shared" si="14"/>
        <v>297851</v>
      </c>
      <c r="H18" s="13">
        <f t="shared" si="0"/>
        <v>45.752841781874039</v>
      </c>
      <c r="I18" s="12">
        <f t="shared" si="14"/>
        <v>300016</v>
      </c>
      <c r="J18" s="20">
        <v>571000</v>
      </c>
      <c r="K18" s="12">
        <v>571000</v>
      </c>
      <c r="L18" s="12">
        <v>266521</v>
      </c>
      <c r="M18" s="13">
        <f t="shared" si="2"/>
        <v>46.676182136602449</v>
      </c>
      <c r="N18" s="12">
        <v>255116</v>
      </c>
      <c r="O18" s="12">
        <v>80000</v>
      </c>
      <c r="P18" s="12">
        <v>80000</v>
      </c>
      <c r="Q18" s="12">
        <v>31330</v>
      </c>
      <c r="R18" s="13">
        <f t="shared" si="4"/>
        <v>39.162500000000001</v>
      </c>
      <c r="S18" s="12">
        <v>44900</v>
      </c>
      <c r="T18" s="12">
        <v>56000</v>
      </c>
      <c r="U18" s="12">
        <v>56000</v>
      </c>
      <c r="V18" s="12">
        <v>20300</v>
      </c>
      <c r="W18" s="13">
        <f t="shared" si="6"/>
        <v>36.25</v>
      </c>
      <c r="X18" s="12">
        <v>23362</v>
      </c>
    </row>
    <row r="19" spans="1:24" s="25" customFormat="1" ht="9.75" x14ac:dyDescent="0.2">
      <c r="A19" s="95" t="s">
        <v>41</v>
      </c>
      <c r="B19" s="1258" t="s">
        <v>42</v>
      </c>
      <c r="C19" s="1258"/>
      <c r="D19" s="97" t="s">
        <v>16</v>
      </c>
      <c r="E19" s="98">
        <f t="shared" si="14"/>
        <v>26563100</v>
      </c>
      <c r="F19" s="98">
        <f t="shared" si="14"/>
        <v>26693700</v>
      </c>
      <c r="G19" s="98">
        <f t="shared" si="14"/>
        <v>13485631</v>
      </c>
      <c r="H19" s="99">
        <f t="shared" si="0"/>
        <v>50.519901699651982</v>
      </c>
      <c r="I19" s="98">
        <f t="shared" si="14"/>
        <v>12434407</v>
      </c>
      <c r="J19" s="101">
        <v>264700</v>
      </c>
      <c r="K19" s="98">
        <v>264700</v>
      </c>
      <c r="L19" s="98">
        <v>172042</v>
      </c>
      <c r="M19" s="99">
        <f t="shared" si="2"/>
        <v>64.99508877975066</v>
      </c>
      <c r="N19" s="98">
        <v>170548</v>
      </c>
      <c r="O19" s="98">
        <v>26298400</v>
      </c>
      <c r="P19" s="98">
        <v>26429000</v>
      </c>
      <c r="Q19" s="98">
        <v>13313589</v>
      </c>
      <c r="R19" s="99">
        <f t="shared" si="4"/>
        <v>50.374925271482084</v>
      </c>
      <c r="S19" s="98">
        <v>12263859</v>
      </c>
      <c r="T19" s="102">
        <v>53000</v>
      </c>
      <c r="U19" s="102">
        <v>67000</v>
      </c>
      <c r="V19" s="102">
        <v>39652</v>
      </c>
      <c r="W19" s="99">
        <f t="shared" si="6"/>
        <v>59.182089552238807</v>
      </c>
      <c r="X19" s="102">
        <v>37616</v>
      </c>
    </row>
    <row r="20" spans="1:24" s="2" customFormat="1" ht="9.75" x14ac:dyDescent="0.2">
      <c r="A20" s="95" t="s">
        <v>43</v>
      </c>
      <c r="B20" s="1258" t="s">
        <v>44</v>
      </c>
      <c r="C20" s="1258"/>
      <c r="D20" s="97" t="s">
        <v>16</v>
      </c>
      <c r="E20" s="98">
        <f t="shared" si="14"/>
        <v>9084810</v>
      </c>
      <c r="F20" s="98">
        <f t="shared" si="14"/>
        <v>9134383</v>
      </c>
      <c r="G20" s="98">
        <f t="shared" si="14"/>
        <v>4558327</v>
      </c>
      <c r="H20" s="99">
        <f t="shared" si="0"/>
        <v>49.902954583796188</v>
      </c>
      <c r="I20" s="98">
        <f t="shared" si="14"/>
        <v>4213686</v>
      </c>
      <c r="J20" s="100">
        <v>33810</v>
      </c>
      <c r="K20" s="98">
        <v>33810</v>
      </c>
      <c r="L20" s="98">
        <v>17070</v>
      </c>
      <c r="M20" s="99">
        <f t="shared" si="2"/>
        <v>50.488021295474717</v>
      </c>
      <c r="N20" s="98">
        <v>22108</v>
      </c>
      <c r="O20" s="98">
        <v>9051000</v>
      </c>
      <c r="P20" s="98">
        <v>9100573</v>
      </c>
      <c r="Q20" s="98">
        <v>4541257</v>
      </c>
      <c r="R20" s="99">
        <f t="shared" si="4"/>
        <v>49.90078097280248</v>
      </c>
      <c r="S20" s="98">
        <v>4191578</v>
      </c>
      <c r="T20" s="98"/>
      <c r="U20" s="98"/>
      <c r="V20" s="98"/>
      <c r="W20" s="99">
        <v>0</v>
      </c>
      <c r="X20" s="98">
        <v>0</v>
      </c>
    </row>
    <row r="21" spans="1:24" s="2" customFormat="1" ht="9.75" x14ac:dyDescent="0.2">
      <c r="A21" s="95" t="s">
        <v>45</v>
      </c>
      <c r="B21" s="1258" t="s">
        <v>46</v>
      </c>
      <c r="C21" s="1258"/>
      <c r="D21" s="97" t="s">
        <v>16</v>
      </c>
      <c r="E21" s="98">
        <f t="shared" si="14"/>
        <v>556500</v>
      </c>
      <c r="F21" s="98">
        <f t="shared" si="14"/>
        <v>558900</v>
      </c>
      <c r="G21" s="98">
        <f t="shared" si="14"/>
        <v>287471</v>
      </c>
      <c r="H21" s="99">
        <f t="shared" si="0"/>
        <v>51.435140454464126</v>
      </c>
      <c r="I21" s="98">
        <f t="shared" si="14"/>
        <v>194135</v>
      </c>
      <c r="J21" s="100">
        <v>6500</v>
      </c>
      <c r="K21" s="98">
        <v>6500</v>
      </c>
      <c r="L21" s="98">
        <v>5875</v>
      </c>
      <c r="M21" s="99">
        <f t="shared" si="2"/>
        <v>90.384615384615387</v>
      </c>
      <c r="N21" s="98">
        <v>850</v>
      </c>
      <c r="O21" s="98">
        <v>550000</v>
      </c>
      <c r="P21" s="98">
        <v>552400</v>
      </c>
      <c r="Q21" s="98">
        <v>281596</v>
      </c>
      <c r="R21" s="99">
        <f t="shared" si="4"/>
        <v>50.976828385228089</v>
      </c>
      <c r="S21" s="98">
        <v>193285</v>
      </c>
      <c r="T21" s="98"/>
      <c r="U21" s="98"/>
      <c r="V21" s="98"/>
      <c r="W21" s="99">
        <v>0</v>
      </c>
      <c r="X21" s="98">
        <v>0</v>
      </c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14"/>
        <v>0</v>
      </c>
      <c r="F22" s="12">
        <f t="shared" si="14"/>
        <v>0</v>
      </c>
      <c r="G22" s="12">
        <f t="shared" si="14"/>
        <v>0</v>
      </c>
      <c r="H22" s="13">
        <v>0</v>
      </c>
      <c r="I22" s="12">
        <f t="shared" si="14"/>
        <v>0</v>
      </c>
      <c r="J22" s="20"/>
      <c r="K22" s="12"/>
      <c r="L22" s="12"/>
      <c r="M22" s="13">
        <v>0</v>
      </c>
      <c r="N22" s="12"/>
      <c r="O22" s="12"/>
      <c r="P22" s="12"/>
      <c r="Q22" s="12"/>
      <c r="R22" s="13">
        <v>0</v>
      </c>
      <c r="S22" s="12"/>
      <c r="T22" s="12"/>
      <c r="U22" s="12"/>
      <c r="V22" s="12"/>
      <c r="W22" s="13">
        <v>0</v>
      </c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14"/>
        <v>0</v>
      </c>
      <c r="F23" s="12">
        <f t="shared" si="14"/>
        <v>0</v>
      </c>
      <c r="G23" s="12">
        <f t="shared" si="14"/>
        <v>0</v>
      </c>
      <c r="H23" s="13">
        <v>0</v>
      </c>
      <c r="I23" s="12">
        <f t="shared" si="14"/>
        <v>0</v>
      </c>
      <c r="J23" s="20"/>
      <c r="K23" s="12"/>
      <c r="L23" s="12"/>
      <c r="M23" s="13">
        <v>0</v>
      </c>
      <c r="N23" s="12"/>
      <c r="O23" s="12"/>
      <c r="P23" s="12"/>
      <c r="Q23" s="12"/>
      <c r="R23" s="13">
        <v>0</v>
      </c>
      <c r="S23" s="12"/>
      <c r="T23" s="12"/>
      <c r="U23" s="12"/>
      <c r="V23" s="12"/>
      <c r="W23" s="13">
        <v>0</v>
      </c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14"/>
        <v>0</v>
      </c>
      <c r="F24" s="12">
        <f t="shared" si="14"/>
        <v>0</v>
      </c>
      <c r="G24" s="12">
        <f t="shared" si="14"/>
        <v>0</v>
      </c>
      <c r="H24" s="13">
        <v>0</v>
      </c>
      <c r="I24" s="12">
        <f t="shared" si="14"/>
        <v>0</v>
      </c>
      <c r="J24" s="20"/>
      <c r="K24" s="12"/>
      <c r="L24" s="12"/>
      <c r="M24" s="13">
        <v>0</v>
      </c>
      <c r="N24" s="12"/>
      <c r="O24" s="12"/>
      <c r="P24" s="12"/>
      <c r="Q24" s="12"/>
      <c r="R24" s="13">
        <v>0</v>
      </c>
      <c r="S24" s="12"/>
      <c r="T24" s="12"/>
      <c r="U24" s="12"/>
      <c r="V24" s="12"/>
      <c r="W24" s="13">
        <v>0</v>
      </c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 t="shared" si="14"/>
        <v>25000</v>
      </c>
      <c r="F25" s="12">
        <f t="shared" si="14"/>
        <v>22400</v>
      </c>
      <c r="G25" s="12">
        <f t="shared" si="14"/>
        <v>10570</v>
      </c>
      <c r="H25" s="13">
        <f t="shared" ref="H25" si="15">G25/F25*100</f>
        <v>47.1875</v>
      </c>
      <c r="I25" s="12">
        <f t="shared" si="14"/>
        <v>9660</v>
      </c>
      <c r="J25" s="20">
        <v>25000</v>
      </c>
      <c r="K25" s="21">
        <v>22400</v>
      </c>
      <c r="L25" s="21">
        <v>10570</v>
      </c>
      <c r="M25" s="13">
        <f t="shared" ref="M25" si="16">L25/K25*100</f>
        <v>47.1875</v>
      </c>
      <c r="N25" s="21">
        <v>9660</v>
      </c>
      <c r="O25" s="21"/>
      <c r="P25" s="21"/>
      <c r="Q25" s="21"/>
      <c r="R25" s="13">
        <v>0</v>
      </c>
      <c r="S25" s="21"/>
      <c r="T25" s="21"/>
      <c r="U25" s="21"/>
      <c r="V25" s="21"/>
      <c r="W25" s="13">
        <v>0</v>
      </c>
      <c r="X25" s="21"/>
    </row>
    <row r="26" spans="1:24" s="27" customFormat="1" ht="9.75" x14ac:dyDescent="0.2">
      <c r="A26" s="95" t="s">
        <v>55</v>
      </c>
      <c r="B26" s="1258" t="s">
        <v>56</v>
      </c>
      <c r="C26" s="1258"/>
      <c r="D26" s="97" t="s">
        <v>16</v>
      </c>
      <c r="E26" s="98">
        <f t="shared" si="14"/>
        <v>1080190</v>
      </c>
      <c r="F26" s="98">
        <f t="shared" si="14"/>
        <v>1080190</v>
      </c>
      <c r="G26" s="98">
        <f t="shared" si="14"/>
        <v>517002</v>
      </c>
      <c r="H26" s="103">
        <f>G26/F26*100</f>
        <v>47.862135365074664</v>
      </c>
      <c r="I26" s="98">
        <f>SUM(N26,S26)</f>
        <v>518563</v>
      </c>
      <c r="J26" s="100">
        <v>1080190</v>
      </c>
      <c r="K26" s="98">
        <v>1080190</v>
      </c>
      <c r="L26" s="98">
        <v>517002</v>
      </c>
      <c r="M26" s="99">
        <f>L26/K26*100</f>
        <v>47.862135365074664</v>
      </c>
      <c r="N26" s="98">
        <v>518563</v>
      </c>
      <c r="O26" s="98"/>
      <c r="P26" s="98"/>
      <c r="Q26" s="98"/>
      <c r="R26" s="99">
        <v>0</v>
      </c>
      <c r="S26" s="98"/>
      <c r="T26" s="104">
        <v>110086</v>
      </c>
      <c r="U26" s="104">
        <v>110086</v>
      </c>
      <c r="V26" s="104">
        <v>54138</v>
      </c>
      <c r="W26" s="99">
        <f>V26/U26*100</f>
        <v>49.17791544792253</v>
      </c>
      <c r="X26" s="102">
        <v>54395</v>
      </c>
    </row>
    <row r="27" spans="1:24" s="27" customFormat="1" ht="9.75" x14ac:dyDescent="0.2">
      <c r="A27" s="95" t="s">
        <v>57</v>
      </c>
      <c r="B27" s="96" t="s">
        <v>58</v>
      </c>
      <c r="C27" s="96"/>
      <c r="D27" s="97" t="s">
        <v>16</v>
      </c>
      <c r="E27" s="98">
        <f t="shared" si="14"/>
        <v>0</v>
      </c>
      <c r="F27" s="98">
        <f t="shared" si="14"/>
        <v>0</v>
      </c>
      <c r="G27" s="98">
        <f t="shared" si="14"/>
        <v>0</v>
      </c>
      <c r="H27" s="103">
        <v>0</v>
      </c>
      <c r="I27" s="98">
        <f t="shared" si="14"/>
        <v>0</v>
      </c>
      <c r="J27" s="100"/>
      <c r="K27" s="98"/>
      <c r="L27" s="98"/>
      <c r="M27" s="99">
        <v>0</v>
      </c>
      <c r="N27" s="98"/>
      <c r="O27" s="98"/>
      <c r="P27" s="98"/>
      <c r="Q27" s="98"/>
      <c r="R27" s="99">
        <v>0</v>
      </c>
      <c r="S27" s="98"/>
      <c r="T27" s="105"/>
      <c r="U27" s="105"/>
      <c r="V27" s="105"/>
      <c r="W27" s="99">
        <v>0</v>
      </c>
      <c r="X27" s="105"/>
    </row>
    <row r="28" spans="1:24" s="27" customFormat="1" ht="9.75" x14ac:dyDescent="0.2">
      <c r="A28" s="95" t="s">
        <v>59</v>
      </c>
      <c r="B28" s="96" t="s">
        <v>60</v>
      </c>
      <c r="C28" s="96"/>
      <c r="D28" s="97" t="s">
        <v>16</v>
      </c>
      <c r="E28" s="98">
        <f>SUM(J28,O28)</f>
        <v>516000</v>
      </c>
      <c r="F28" s="98">
        <f>SUM(K28,P28)</f>
        <v>487000</v>
      </c>
      <c r="G28" s="98">
        <f>SUM(L28,Q28)</f>
        <v>115955</v>
      </c>
      <c r="H28" s="103">
        <f>G28/F28*100</f>
        <v>23.810061601642708</v>
      </c>
      <c r="I28" s="98">
        <f>SUM(N28,S28)</f>
        <v>61826</v>
      </c>
      <c r="J28" s="100">
        <v>356000</v>
      </c>
      <c r="K28" s="98">
        <v>327000</v>
      </c>
      <c r="L28" s="98">
        <v>95966</v>
      </c>
      <c r="M28" s="99">
        <f>L28/K28*100</f>
        <v>29.347400611620795</v>
      </c>
      <c r="N28" s="98">
        <v>35406</v>
      </c>
      <c r="O28" s="98">
        <v>160000</v>
      </c>
      <c r="P28" s="98">
        <v>160000</v>
      </c>
      <c r="Q28" s="98">
        <v>19989</v>
      </c>
      <c r="R28" s="99">
        <f>Q28/P28*100</f>
        <v>12.493124999999999</v>
      </c>
      <c r="S28" s="98">
        <v>26420</v>
      </c>
      <c r="T28" s="105"/>
      <c r="U28" s="105"/>
      <c r="V28" s="105"/>
      <c r="W28" s="99">
        <v>0</v>
      </c>
      <c r="X28" s="105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14"/>
        <v>1500</v>
      </c>
      <c r="F29" s="12">
        <f t="shared" si="14"/>
        <v>50100</v>
      </c>
      <c r="G29" s="12">
        <f t="shared" si="14"/>
        <v>50069</v>
      </c>
      <c r="H29" s="26">
        <f t="shared" si="0"/>
        <v>99.938123752495017</v>
      </c>
      <c r="I29" s="12">
        <f t="shared" si="14"/>
        <v>1114</v>
      </c>
      <c r="J29" s="20">
        <v>1500</v>
      </c>
      <c r="K29" s="22">
        <v>50100</v>
      </c>
      <c r="L29" s="22">
        <v>50069</v>
      </c>
      <c r="M29" s="13">
        <f t="shared" si="2"/>
        <v>99.938123752495017</v>
      </c>
      <c r="N29" s="22">
        <v>1114</v>
      </c>
      <c r="O29" s="22"/>
      <c r="P29" s="22"/>
      <c r="Q29" s="22"/>
      <c r="R29" s="13">
        <v>0</v>
      </c>
      <c r="S29" s="22"/>
      <c r="T29" s="47"/>
      <c r="U29" s="47"/>
      <c r="V29" s="47"/>
      <c r="W29" s="13">
        <v>0</v>
      </c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17">SUM(J30,O30)</f>
        <v>0</v>
      </c>
      <c r="F30" s="12">
        <f t="shared" si="17"/>
        <v>0</v>
      </c>
      <c r="G30" s="12">
        <f t="shared" si="17"/>
        <v>0</v>
      </c>
      <c r="H30" s="26">
        <v>0</v>
      </c>
      <c r="I30" s="12">
        <f>SUM(N30,S30)</f>
        <v>558</v>
      </c>
      <c r="J30" s="20"/>
      <c r="K30" s="22"/>
      <c r="L30" s="22"/>
      <c r="M30" s="13">
        <v>0</v>
      </c>
      <c r="N30" s="22">
        <v>558</v>
      </c>
      <c r="O30" s="22"/>
      <c r="P30" s="22"/>
      <c r="Q30" s="22"/>
      <c r="R30" s="13">
        <v>0</v>
      </c>
      <c r="S30" s="22"/>
      <c r="T30" s="47"/>
      <c r="U30" s="47"/>
      <c r="V30" s="47"/>
      <c r="W30" s="13">
        <v>0</v>
      </c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17"/>
        <v>0</v>
      </c>
      <c r="F31" s="12">
        <f t="shared" si="17"/>
        <v>0</v>
      </c>
      <c r="G31" s="12">
        <f t="shared" si="17"/>
        <v>0</v>
      </c>
      <c r="H31" s="26">
        <v>0</v>
      </c>
      <c r="I31" s="12">
        <f>SUM(N31,S31)</f>
        <v>0</v>
      </c>
      <c r="J31" s="20"/>
      <c r="K31" s="29"/>
      <c r="L31" s="29"/>
      <c r="M31" s="13">
        <v>0</v>
      </c>
      <c r="N31" s="29"/>
      <c r="O31" s="29"/>
      <c r="P31" s="29"/>
      <c r="Q31" s="29"/>
      <c r="R31" s="13">
        <v>0</v>
      </c>
      <c r="S31" s="29"/>
      <c r="T31" s="30"/>
      <c r="U31" s="30"/>
      <c r="V31" s="30"/>
      <c r="W31" s="13">
        <v>0</v>
      </c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600</v>
      </c>
      <c r="G32" s="12">
        <f>SUM(L32,Q32)</f>
        <v>363</v>
      </c>
      <c r="H32" s="26">
        <f t="shared" si="0"/>
        <v>60.5</v>
      </c>
      <c r="I32" s="12">
        <f>SUM(N32,S32)</f>
        <v>257</v>
      </c>
      <c r="J32" s="32"/>
      <c r="K32" s="30">
        <v>600</v>
      </c>
      <c r="L32" s="30">
        <v>363</v>
      </c>
      <c r="M32" s="13">
        <f t="shared" si="2"/>
        <v>60.5</v>
      </c>
      <c r="N32" s="30">
        <v>257</v>
      </c>
      <c r="O32" s="30"/>
      <c r="P32" s="30"/>
      <c r="Q32" s="30"/>
      <c r="R32" s="13">
        <v>0</v>
      </c>
      <c r="S32" s="30"/>
      <c r="T32" s="30"/>
      <c r="U32" s="30">
        <v>3010</v>
      </c>
      <c r="V32" s="30">
        <v>3009</v>
      </c>
      <c r="W32" s="13">
        <f t="shared" si="6"/>
        <v>99.966777408637881</v>
      </c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236244</v>
      </c>
      <c r="H33" s="34">
        <v>0</v>
      </c>
      <c r="I33" s="8">
        <f>I6-I11</f>
        <v>327455</v>
      </c>
      <c r="J33" s="8">
        <f>J6-J11</f>
        <v>0</v>
      </c>
      <c r="K33" s="8">
        <f>K6-K11</f>
        <v>0</v>
      </c>
      <c r="L33" s="8">
        <f>L6-L11</f>
        <v>236244</v>
      </c>
      <c r="M33" s="9">
        <v>0</v>
      </c>
      <c r="N33" s="8">
        <f>N6-N11</f>
        <v>327455</v>
      </c>
      <c r="O33" s="8">
        <f>O6-O11</f>
        <v>0</v>
      </c>
      <c r="P33" s="8">
        <f>P6-P11</f>
        <v>0</v>
      </c>
      <c r="Q33" s="8">
        <f>Q6-Q11</f>
        <v>0</v>
      </c>
      <c r="R33" s="9">
        <v>0</v>
      </c>
      <c r="S33" s="8">
        <f>S6-S11</f>
        <v>0</v>
      </c>
      <c r="T33" s="8">
        <f>T6-T11</f>
        <v>104000</v>
      </c>
      <c r="U33" s="8">
        <f>U6-U11</f>
        <v>104000</v>
      </c>
      <c r="V33" s="8">
        <f>V6-V11</f>
        <v>259487</v>
      </c>
      <c r="W33" s="9">
        <f t="shared" si="6"/>
        <v>249.50673076923078</v>
      </c>
      <c r="X33" s="8">
        <f>X6-X11</f>
        <v>252178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f>E19/E35/12</f>
        <v>25739.437984496122</v>
      </c>
      <c r="F34" s="37">
        <f>F19/F35/12</f>
        <v>25865.988372093023</v>
      </c>
      <c r="G34" s="37">
        <f>G19/G35/6</f>
        <v>26134.943798449614</v>
      </c>
      <c r="H34" s="26">
        <f t="shared" si="0"/>
        <v>101.03980339930396</v>
      </c>
      <c r="I34" s="37">
        <v>23348</v>
      </c>
      <c r="J34" s="38"/>
      <c r="K34" s="38"/>
      <c r="L34" s="38"/>
      <c r="M34" s="9">
        <v>0</v>
      </c>
      <c r="N34" s="38"/>
      <c r="O34" s="38"/>
      <c r="P34" s="38"/>
      <c r="Q34" s="38"/>
      <c r="R34" s="9">
        <v>0</v>
      </c>
      <c r="S34" s="38"/>
      <c r="T34" s="38"/>
      <c r="U34" s="38"/>
      <c r="V34" s="38"/>
      <c r="W34" s="9">
        <v>0</v>
      </c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86</v>
      </c>
      <c r="F35" s="37">
        <v>86</v>
      </c>
      <c r="G35" s="37">
        <v>86</v>
      </c>
      <c r="H35" s="26">
        <f t="shared" si="0"/>
        <v>100</v>
      </c>
      <c r="I35" s="37">
        <v>89</v>
      </c>
      <c r="J35" s="38"/>
      <c r="K35" s="49"/>
      <c r="L35" s="38"/>
      <c r="M35" s="9">
        <v>0</v>
      </c>
      <c r="N35" s="38"/>
      <c r="O35" s="38"/>
      <c r="P35" s="38"/>
      <c r="Q35" s="38"/>
      <c r="R35" s="9">
        <v>0</v>
      </c>
      <c r="S35" s="38"/>
      <c r="T35" s="38"/>
      <c r="U35" s="38"/>
      <c r="V35" s="38"/>
      <c r="W35" s="9">
        <v>0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89</v>
      </c>
      <c r="F36" s="37">
        <v>89</v>
      </c>
      <c r="G36" s="37">
        <v>89</v>
      </c>
      <c r="H36" s="26">
        <f t="shared" si="0"/>
        <v>100</v>
      </c>
      <c r="I36" s="37">
        <v>93</v>
      </c>
      <c r="J36" s="38"/>
      <c r="K36" s="38"/>
      <c r="L36" s="38"/>
      <c r="M36" s="9">
        <v>0</v>
      </c>
      <c r="N36" s="38"/>
      <c r="O36" s="38"/>
      <c r="P36" s="38"/>
      <c r="Q36" s="38"/>
      <c r="R36" s="9">
        <v>0</v>
      </c>
      <c r="S36" s="38"/>
      <c r="T36" s="38"/>
      <c r="U36" s="38"/>
      <c r="V36" s="38"/>
      <c r="W36" s="9">
        <v>0</v>
      </c>
      <c r="X36" s="38"/>
    </row>
    <row r="37" spans="1:24" s="107" customFormat="1" ht="8.25" x14ac:dyDescent="0.25">
      <c r="A37" s="106"/>
      <c r="J37" s="39"/>
      <c r="K37" s="39"/>
      <c r="L37" s="39"/>
      <c r="S37" s="39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86" orientation="landscape" useFirstPageNumber="1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22.5" customHeight="1" x14ac:dyDescent="0.3">
      <c r="A1" s="1269" t="s">
        <v>445</v>
      </c>
      <c r="B1" s="1269"/>
      <c r="C1" s="1269"/>
      <c r="D1" s="1269"/>
      <c r="E1" s="1269"/>
      <c r="F1" s="1269"/>
      <c r="G1" s="1269"/>
      <c r="H1" s="1269"/>
      <c r="I1" s="1269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175.5" customHeight="1" x14ac:dyDescent="0.2">
      <c r="A6" s="911" t="s">
        <v>107</v>
      </c>
      <c r="B6" s="912"/>
      <c r="C6" s="337">
        <v>236243.81</v>
      </c>
      <c r="D6" s="913" t="s">
        <v>446</v>
      </c>
      <c r="E6" s="913"/>
      <c r="F6" s="913"/>
      <c r="G6" s="913"/>
      <c r="H6" s="913"/>
      <c r="I6" s="913"/>
    </row>
    <row r="7" spans="1:14" s="338" customFormat="1" ht="98.25" customHeight="1" x14ac:dyDescent="0.15">
      <c r="A7" s="911" t="s">
        <v>92</v>
      </c>
      <c r="B7" s="912"/>
      <c r="C7" s="337">
        <v>259486.72</v>
      </c>
      <c r="D7" s="913" t="s">
        <v>447</v>
      </c>
      <c r="E7" s="913"/>
      <c r="F7" s="913"/>
      <c r="G7" s="913"/>
      <c r="H7" s="913"/>
      <c r="I7" s="913"/>
    </row>
    <row r="8" spans="1:14" s="338" customFormat="1" ht="10.5" x14ac:dyDescent="0.15">
      <c r="A8" s="911" t="s">
        <v>110</v>
      </c>
      <c r="B8" s="912"/>
      <c r="C8" s="337">
        <v>0</v>
      </c>
      <c r="D8" s="915"/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14" s="334" customFormat="1" ht="264" customHeight="1" x14ac:dyDescent="0.2">
      <c r="A13" s="437" t="s">
        <v>187</v>
      </c>
      <c r="B13" s="438">
        <v>179491.82</v>
      </c>
      <c r="C13" s="438">
        <v>158381.20000000001</v>
      </c>
      <c r="D13" s="438">
        <v>70596</v>
      </c>
      <c r="E13" s="438">
        <v>267277.02</v>
      </c>
      <c r="F13" s="438">
        <v>267277.02</v>
      </c>
      <c r="G13" s="904" t="s">
        <v>448</v>
      </c>
      <c r="H13" s="905"/>
      <c r="I13" s="906"/>
    </row>
    <row r="14" spans="1:14" s="334" customFormat="1" ht="288" customHeight="1" x14ac:dyDescent="0.2">
      <c r="A14" s="440" t="s">
        <v>214</v>
      </c>
      <c r="B14" s="600">
        <v>422804.41</v>
      </c>
      <c r="C14" s="600">
        <v>571140</v>
      </c>
      <c r="D14" s="600">
        <v>459138</v>
      </c>
      <c r="E14" s="592">
        <f t="shared" ref="E14" si="0">B14+C14-D14</f>
        <v>534806.40999999992</v>
      </c>
      <c r="F14" s="592">
        <f t="shared" ref="F14" si="1">E14</f>
        <v>534806.40999999992</v>
      </c>
      <c r="G14" s="862" t="s">
        <v>449</v>
      </c>
      <c r="H14" s="863"/>
      <c r="I14" s="864"/>
      <c r="N14" s="349"/>
    </row>
    <row r="15" spans="1:14" s="334" customFormat="1" ht="96.75" customHeight="1" x14ac:dyDescent="0.2">
      <c r="A15" s="440" t="s">
        <v>191</v>
      </c>
      <c r="B15" s="441">
        <v>72584</v>
      </c>
      <c r="C15" s="441">
        <v>30000</v>
      </c>
      <c r="D15" s="441">
        <v>44800</v>
      </c>
      <c r="E15" s="441">
        <v>57784</v>
      </c>
      <c r="F15" s="441">
        <v>57784</v>
      </c>
      <c r="G15" s="862" t="s">
        <v>450</v>
      </c>
      <c r="H15" s="863"/>
      <c r="I15" s="864"/>
    </row>
    <row r="16" spans="1:14" s="334" customFormat="1" ht="262.5" customHeight="1" x14ac:dyDescent="0.2">
      <c r="A16" s="443" t="s">
        <v>193</v>
      </c>
      <c r="B16" s="592">
        <v>309373.02</v>
      </c>
      <c r="C16" s="592">
        <v>265695.98</v>
      </c>
      <c r="D16" s="592">
        <f>68002+25686+4000+5000+102900+203</f>
        <v>205791</v>
      </c>
      <c r="E16" s="592">
        <f t="shared" ref="E16" si="2">B16+C16-D16</f>
        <v>369278</v>
      </c>
      <c r="F16" s="592">
        <v>371506.36</v>
      </c>
      <c r="G16" s="907" t="s">
        <v>451</v>
      </c>
      <c r="H16" s="908"/>
      <c r="I16" s="909"/>
    </row>
    <row r="17" spans="1:9" s="334" customFormat="1" ht="11.25" x14ac:dyDescent="0.2">
      <c r="A17" s="353" t="s">
        <v>90</v>
      </c>
      <c r="B17" s="354">
        <f>SUM(B13:B16)</f>
        <v>984253.25</v>
      </c>
      <c r="C17" s="354">
        <f t="shared" ref="C17:F17" si="3">SUM(C13:C16)</f>
        <v>1025217.1799999999</v>
      </c>
      <c r="D17" s="354">
        <f t="shared" si="3"/>
        <v>780325</v>
      </c>
      <c r="E17" s="354">
        <f t="shared" si="3"/>
        <v>1229145.43</v>
      </c>
      <c r="F17" s="354">
        <f t="shared" si="3"/>
        <v>1231373.79</v>
      </c>
      <c r="G17" s="910"/>
      <c r="H17" s="910"/>
      <c r="I17" s="91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24" customHeight="1" x14ac:dyDescent="0.2">
      <c r="A20" s="334" t="s">
        <v>452</v>
      </c>
      <c r="C20" s="339"/>
    </row>
    <row r="21" spans="1:9" s="355" customFormat="1" ht="11.25" x14ac:dyDescent="0.2">
      <c r="C21" s="356"/>
    </row>
    <row r="22" spans="1:9" s="340" customFormat="1" ht="11.25" x14ac:dyDescent="0.2">
      <c r="A22" s="861" t="s">
        <v>140</v>
      </c>
      <c r="B22" s="861"/>
      <c r="C22" s="861"/>
      <c r="D22" s="861"/>
      <c r="E22" s="861"/>
      <c r="F22" s="861"/>
      <c r="G22" s="861"/>
      <c r="H22" s="861"/>
      <c r="I22" s="861"/>
    </row>
    <row r="23" spans="1:9" s="334" customFormat="1" ht="23.25" customHeight="1" x14ac:dyDescent="0.2">
      <c r="A23" s="334" t="s">
        <v>453</v>
      </c>
      <c r="C23" s="339"/>
    </row>
    <row r="24" spans="1:9" s="334" customFormat="1" ht="11.25" x14ac:dyDescent="0.2">
      <c r="C24" s="339"/>
    </row>
    <row r="25" spans="1:9" s="340" customFormat="1" ht="11.25" x14ac:dyDescent="0.2">
      <c r="A25" s="861" t="s">
        <v>143</v>
      </c>
      <c r="B25" s="861"/>
      <c r="C25" s="861"/>
      <c r="D25" s="861"/>
      <c r="E25" s="861"/>
      <c r="F25" s="861"/>
      <c r="G25" s="861"/>
      <c r="H25" s="861"/>
      <c r="I25" s="861"/>
    </row>
    <row r="26" spans="1:9" s="334" customFormat="1" ht="11.25" x14ac:dyDescent="0.2">
      <c r="C26" s="369"/>
    </row>
    <row r="27" spans="1:9" s="334" customFormat="1" ht="11.25" x14ac:dyDescent="0.2">
      <c r="A27" s="335" t="s">
        <v>144</v>
      </c>
      <c r="B27" s="357" t="s">
        <v>145</v>
      </c>
      <c r="C27" s="892" t="s">
        <v>146</v>
      </c>
      <c r="D27" s="892"/>
      <c r="E27" s="892"/>
      <c r="F27" s="892"/>
      <c r="G27" s="892"/>
      <c r="H27" s="892"/>
      <c r="I27" s="893"/>
    </row>
    <row r="28" spans="1:9" s="334" customFormat="1" ht="11.25" x14ac:dyDescent="0.2">
      <c r="A28" s="370">
        <v>15000</v>
      </c>
      <c r="B28" s="370">
        <v>12200</v>
      </c>
      <c r="C28" s="934" t="s">
        <v>454</v>
      </c>
      <c r="D28" s="934"/>
      <c r="E28" s="934"/>
      <c r="F28" s="934"/>
      <c r="G28" s="934"/>
      <c r="H28" s="934"/>
      <c r="I28" s="934"/>
    </row>
    <row r="29" spans="1:9" s="334" customFormat="1" ht="11.25" x14ac:dyDescent="0.2">
      <c r="A29" s="462">
        <v>2000</v>
      </c>
      <c r="B29" s="462">
        <v>0</v>
      </c>
      <c r="C29" s="1081" t="s">
        <v>455</v>
      </c>
      <c r="D29" s="877"/>
      <c r="E29" s="877"/>
      <c r="F29" s="877"/>
      <c r="G29" s="877"/>
      <c r="H29" s="877"/>
      <c r="I29" s="877"/>
    </row>
    <row r="30" spans="1:9" s="338" customFormat="1" ht="10.5" x14ac:dyDescent="0.15">
      <c r="A30" s="371">
        <f>SUM(A28:A29)</f>
        <v>17000</v>
      </c>
      <c r="B30" s="371">
        <f>SUM(B28:B29)</f>
        <v>12200</v>
      </c>
      <c r="C30" s="878" t="s">
        <v>90</v>
      </c>
      <c r="D30" s="879"/>
      <c r="E30" s="879"/>
      <c r="F30" s="879"/>
      <c r="G30" s="879"/>
      <c r="H30" s="879"/>
      <c r="I30" s="880"/>
    </row>
    <row r="31" spans="1:9" s="334" customFormat="1" ht="11.25" x14ac:dyDescent="0.2">
      <c r="C31" s="369"/>
    </row>
    <row r="32" spans="1:9" s="334" customFormat="1" ht="11.25" x14ac:dyDescent="0.2">
      <c r="A32" s="861" t="s">
        <v>148</v>
      </c>
      <c r="B32" s="865"/>
      <c r="C32" s="865"/>
      <c r="D32" s="865"/>
      <c r="E32" s="865"/>
      <c r="F32" s="865"/>
      <c r="G32" s="865"/>
      <c r="H32" s="865"/>
      <c r="I32" s="865"/>
    </row>
    <row r="33" spans="1:9" s="334" customFormat="1" ht="11.25" x14ac:dyDescent="0.2">
      <c r="C33" s="369"/>
    </row>
    <row r="34" spans="1:9" s="373" customFormat="1" ht="31.5" x14ac:dyDescent="0.25">
      <c r="A34" s="866" t="s">
        <v>149</v>
      </c>
      <c r="B34" s="867"/>
      <c r="C34" s="372" t="s">
        <v>150</v>
      </c>
      <c r="D34" s="372" t="s">
        <v>151</v>
      </c>
      <c r="E34" s="372" t="s">
        <v>152</v>
      </c>
      <c r="F34" s="372" t="s">
        <v>153</v>
      </c>
      <c r="G34" s="372" t="s">
        <v>154</v>
      </c>
    </row>
    <row r="35" spans="1:9" s="619" customFormat="1" ht="30" customHeight="1" x14ac:dyDescent="0.2">
      <c r="A35" s="1267" t="s">
        <v>456</v>
      </c>
      <c r="B35" s="1268"/>
      <c r="C35" s="615" t="s">
        <v>457</v>
      </c>
      <c r="D35" s="616">
        <v>57000</v>
      </c>
      <c r="E35" s="617"/>
      <c r="F35" s="618">
        <v>42878</v>
      </c>
      <c r="G35" s="618">
        <v>42892</v>
      </c>
    </row>
    <row r="36" spans="1:9" s="619" customFormat="1" ht="17.25" customHeight="1" x14ac:dyDescent="0.2">
      <c r="A36" s="1267" t="s">
        <v>458</v>
      </c>
      <c r="B36" s="1268"/>
      <c r="C36" s="615" t="s">
        <v>459</v>
      </c>
      <c r="D36" s="620"/>
      <c r="E36" s="617">
        <v>57000</v>
      </c>
      <c r="F36" s="618"/>
      <c r="G36" s="618"/>
    </row>
    <row r="37" spans="1:9" s="619" customFormat="1" ht="30" customHeight="1" x14ac:dyDescent="0.2">
      <c r="A37" s="1263" t="s">
        <v>460</v>
      </c>
      <c r="B37" s="1264"/>
      <c r="C37" s="621" t="s">
        <v>461</v>
      </c>
      <c r="D37" s="622">
        <v>3300</v>
      </c>
      <c r="E37" s="623"/>
      <c r="F37" s="618">
        <v>42826</v>
      </c>
      <c r="G37" s="618">
        <v>42826</v>
      </c>
    </row>
    <row r="38" spans="1:9" s="619" customFormat="1" ht="30" customHeight="1" x14ac:dyDescent="0.2">
      <c r="A38" s="1267" t="s">
        <v>462</v>
      </c>
      <c r="B38" s="1268"/>
      <c r="C38" s="621" t="s">
        <v>463</v>
      </c>
      <c r="D38" s="622"/>
      <c r="E38" s="623">
        <v>600</v>
      </c>
      <c r="F38" s="624"/>
      <c r="G38" s="624"/>
    </row>
    <row r="39" spans="1:9" s="619" customFormat="1" ht="16.5" customHeight="1" x14ac:dyDescent="0.2">
      <c r="A39" s="1267" t="s">
        <v>464</v>
      </c>
      <c r="B39" s="1268"/>
      <c r="C39" s="621" t="s">
        <v>465</v>
      </c>
      <c r="D39" s="622"/>
      <c r="E39" s="623">
        <v>2700</v>
      </c>
      <c r="F39" s="624"/>
      <c r="G39" s="624"/>
    </row>
    <row r="40" spans="1:9" s="619" customFormat="1" ht="18" customHeight="1" x14ac:dyDescent="0.2">
      <c r="A40" s="1263" t="s">
        <v>466</v>
      </c>
      <c r="B40" s="1264"/>
      <c r="C40" s="615" t="s">
        <v>467</v>
      </c>
      <c r="D40" s="616">
        <v>17000</v>
      </c>
      <c r="E40" s="617"/>
      <c r="F40" s="618">
        <v>42461</v>
      </c>
      <c r="G40" s="618">
        <v>42490</v>
      </c>
    </row>
    <row r="41" spans="1:9" s="619" customFormat="1" ht="18" customHeight="1" x14ac:dyDescent="0.2">
      <c r="A41" s="1263" t="s">
        <v>468</v>
      </c>
      <c r="B41" s="1264"/>
      <c r="C41" s="621" t="s">
        <v>469</v>
      </c>
      <c r="D41" s="622"/>
      <c r="E41" s="625">
        <v>17000</v>
      </c>
      <c r="F41" s="624"/>
      <c r="G41" s="624"/>
    </row>
    <row r="42" spans="1:9" s="619" customFormat="1" ht="30" customHeight="1" x14ac:dyDescent="0.2">
      <c r="A42" s="1263" t="s">
        <v>470</v>
      </c>
      <c r="B42" s="1264"/>
      <c r="C42" s="621" t="s">
        <v>469</v>
      </c>
      <c r="D42" s="622"/>
      <c r="E42" s="623">
        <v>-46000</v>
      </c>
      <c r="F42" s="624">
        <v>42887</v>
      </c>
      <c r="G42" s="624">
        <v>42887</v>
      </c>
    </row>
    <row r="43" spans="1:9" s="619" customFormat="1" ht="20.25" customHeight="1" x14ac:dyDescent="0.2">
      <c r="A43" s="1263" t="s">
        <v>471</v>
      </c>
      <c r="B43" s="1264"/>
      <c r="C43" s="621" t="s">
        <v>472</v>
      </c>
      <c r="D43" s="622"/>
      <c r="E43" s="623">
        <v>46000</v>
      </c>
      <c r="F43" s="624"/>
      <c r="G43" s="624"/>
    </row>
    <row r="44" spans="1:9" s="619" customFormat="1" ht="18" customHeight="1" x14ac:dyDescent="0.2">
      <c r="A44" s="1263" t="s">
        <v>473</v>
      </c>
      <c r="B44" s="1264"/>
      <c r="C44" s="621" t="s">
        <v>474</v>
      </c>
      <c r="D44" s="622"/>
      <c r="E44" s="625">
        <v>-2600</v>
      </c>
      <c r="F44" s="624">
        <v>42887</v>
      </c>
      <c r="G44" s="624">
        <v>42887</v>
      </c>
    </row>
    <row r="45" spans="1:9" s="619" customFormat="1" ht="18" customHeight="1" x14ac:dyDescent="0.2">
      <c r="A45" s="1263" t="s">
        <v>475</v>
      </c>
      <c r="B45" s="1264"/>
      <c r="C45" s="621" t="s">
        <v>472</v>
      </c>
      <c r="D45" s="622"/>
      <c r="E45" s="625">
        <v>2600</v>
      </c>
      <c r="F45" s="624"/>
      <c r="G45" s="624"/>
    </row>
    <row r="46" spans="1:9" s="334" customFormat="1" ht="11.25" x14ac:dyDescent="0.2">
      <c r="A46" s="872" t="s">
        <v>169</v>
      </c>
      <c r="B46" s="873"/>
      <c r="C46" s="387"/>
      <c r="D46" s="354">
        <f>SUM(D35:D45)</f>
        <v>77300</v>
      </c>
      <c r="E46" s="354">
        <f>SUM(E35:E45)</f>
        <v>77300</v>
      </c>
      <c r="F46" s="881"/>
      <c r="G46" s="882"/>
    </row>
    <row r="47" spans="1:9" s="334" customFormat="1" ht="11.25" x14ac:dyDescent="0.2">
      <c r="C47" s="369"/>
    </row>
    <row r="48" spans="1:9" s="334" customFormat="1" ht="11.25" x14ac:dyDescent="0.2">
      <c r="A48" s="865" t="s">
        <v>327</v>
      </c>
      <c r="B48" s="865"/>
      <c r="C48" s="865"/>
      <c r="D48" s="865"/>
      <c r="E48" s="865"/>
      <c r="F48" s="865"/>
      <c r="G48" s="865"/>
      <c r="H48" s="865"/>
      <c r="I48" s="865"/>
    </row>
    <row r="49" spans="1:9" s="334" customFormat="1" ht="11.25" x14ac:dyDescent="0.2">
      <c r="C49" s="369"/>
    </row>
    <row r="50" spans="1:9" s="373" customFormat="1" ht="31.5" x14ac:dyDescent="0.25">
      <c r="A50" s="866" t="s">
        <v>149</v>
      </c>
      <c r="B50" s="867"/>
      <c r="C50" s="372" t="s">
        <v>150</v>
      </c>
      <c r="D50" s="372" t="s">
        <v>151</v>
      </c>
      <c r="E50" s="372" t="s">
        <v>152</v>
      </c>
      <c r="F50" s="372" t="s">
        <v>153</v>
      </c>
      <c r="G50" s="372" t="s">
        <v>154</v>
      </c>
    </row>
    <row r="51" spans="1:9" s="603" customFormat="1" ht="18" customHeight="1" x14ac:dyDescent="0.2">
      <c r="A51" s="1261" t="s">
        <v>476</v>
      </c>
      <c r="B51" s="1262"/>
      <c r="C51" s="626" t="s">
        <v>477</v>
      </c>
      <c r="D51" s="627">
        <v>10000</v>
      </c>
      <c r="E51" s="627"/>
      <c r="F51" s="628">
        <v>42826</v>
      </c>
      <c r="G51" s="628">
        <v>42826</v>
      </c>
    </row>
    <row r="52" spans="1:9" s="603" customFormat="1" ht="15" customHeight="1" x14ac:dyDescent="0.2">
      <c r="A52" s="1261" t="s">
        <v>478</v>
      </c>
      <c r="B52" s="1262"/>
      <c r="C52" s="626" t="s">
        <v>479</v>
      </c>
      <c r="D52" s="627">
        <v>4000</v>
      </c>
      <c r="E52" s="627"/>
      <c r="F52" s="628"/>
      <c r="G52" s="628"/>
    </row>
    <row r="53" spans="1:9" s="603" customFormat="1" ht="18" customHeight="1" x14ac:dyDescent="0.2">
      <c r="A53" s="1261" t="s">
        <v>480</v>
      </c>
      <c r="B53" s="1262"/>
      <c r="C53" s="626" t="s">
        <v>481</v>
      </c>
      <c r="D53" s="627"/>
      <c r="E53" s="627">
        <v>10000</v>
      </c>
      <c r="F53" s="628"/>
      <c r="G53" s="628"/>
    </row>
    <row r="54" spans="1:9" s="603" customFormat="1" ht="18" customHeight="1" x14ac:dyDescent="0.2">
      <c r="A54" s="1261" t="s">
        <v>482</v>
      </c>
      <c r="B54" s="1262"/>
      <c r="C54" s="626" t="s">
        <v>483</v>
      </c>
      <c r="D54" s="627"/>
      <c r="E54" s="627">
        <v>4000</v>
      </c>
      <c r="F54" s="628"/>
      <c r="G54" s="628"/>
    </row>
    <row r="55" spans="1:9" s="631" customFormat="1" ht="18" customHeight="1" x14ac:dyDescent="0.15">
      <c r="A55" s="1263" t="s">
        <v>484</v>
      </c>
      <c r="B55" s="1264"/>
      <c r="C55" s="615" t="s">
        <v>463</v>
      </c>
      <c r="D55" s="629"/>
      <c r="E55" s="630">
        <v>3010</v>
      </c>
      <c r="F55" s="618">
        <v>42826</v>
      </c>
      <c r="G55" s="618">
        <v>42826</v>
      </c>
    </row>
    <row r="56" spans="1:9" s="634" customFormat="1" ht="15" customHeight="1" x14ac:dyDescent="0.2">
      <c r="A56" s="1265" t="s">
        <v>485</v>
      </c>
      <c r="B56" s="1266"/>
      <c r="C56" s="621" t="s">
        <v>486</v>
      </c>
      <c r="D56" s="632">
        <v>3010</v>
      </c>
      <c r="E56" s="632"/>
      <c r="F56" s="633"/>
      <c r="G56" s="633"/>
    </row>
    <row r="57" spans="1:9" s="334" customFormat="1" ht="11.25" x14ac:dyDescent="0.2">
      <c r="A57" s="872" t="s">
        <v>169</v>
      </c>
      <c r="B57" s="873"/>
      <c r="C57" s="387"/>
      <c r="D57" s="354">
        <f>SUM(D51:D56)</f>
        <v>17010</v>
      </c>
      <c r="E57" s="354">
        <f>SUM(E51:E56)</f>
        <v>17010</v>
      </c>
      <c r="F57" s="874"/>
      <c r="G57" s="875"/>
    </row>
    <row r="58" spans="1:9" s="334" customFormat="1" ht="11.25" x14ac:dyDescent="0.2">
      <c r="C58" s="369"/>
    </row>
    <row r="59" spans="1:9" s="340" customFormat="1" ht="11.25" x14ac:dyDescent="0.2">
      <c r="A59" s="860" t="s">
        <v>292</v>
      </c>
      <c r="B59" s="860"/>
      <c r="C59" s="860"/>
      <c r="D59" s="860"/>
      <c r="E59" s="860"/>
      <c r="F59" s="860"/>
      <c r="G59" s="860"/>
      <c r="H59" s="860"/>
      <c r="I59" s="860"/>
    </row>
    <row r="60" spans="1:9" s="334" customFormat="1" ht="11.25" x14ac:dyDescent="0.2"/>
    <row r="61" spans="1:9" s="603" customFormat="1" ht="30.75" customHeight="1" x14ac:dyDescent="0.2">
      <c r="A61" s="862" t="s">
        <v>487</v>
      </c>
      <c r="B61" s="863"/>
      <c r="C61" s="863"/>
      <c r="D61" s="863"/>
      <c r="E61" s="863"/>
      <c r="F61" s="863"/>
      <c r="G61" s="863"/>
      <c r="H61" s="863"/>
      <c r="I61" s="864"/>
    </row>
    <row r="62" spans="1:9" s="334" customFormat="1" ht="11.25" x14ac:dyDescent="0.2"/>
    <row r="63" spans="1:9" s="333" customFormat="1" ht="10.5" x14ac:dyDescent="0.15">
      <c r="A63" s="861" t="s">
        <v>175</v>
      </c>
      <c r="B63" s="861"/>
      <c r="C63" s="861"/>
      <c r="D63" s="861"/>
      <c r="E63" s="861"/>
      <c r="F63" s="861"/>
      <c r="G63" s="861"/>
      <c r="H63" s="861"/>
      <c r="I63" s="861"/>
    </row>
    <row r="64" spans="1:9" s="334" customFormat="1" ht="11.25" x14ac:dyDescent="0.2"/>
    <row r="65" spans="1:9" s="334" customFormat="1" ht="33.75" customHeight="1" x14ac:dyDescent="0.2">
      <c r="A65" s="862" t="s">
        <v>488</v>
      </c>
      <c r="B65" s="863"/>
      <c r="C65" s="863"/>
      <c r="D65" s="863"/>
      <c r="E65" s="863"/>
      <c r="F65" s="863"/>
      <c r="G65" s="863"/>
      <c r="H65" s="863"/>
      <c r="I65" s="864"/>
    </row>
    <row r="67" spans="1:9" ht="18.75" x14ac:dyDescent="0.3">
      <c r="A67" s="391"/>
    </row>
    <row r="68" spans="1:9" ht="18.75" x14ac:dyDescent="0.3">
      <c r="A68" s="391"/>
    </row>
  </sheetData>
  <mergeCells count="53">
    <mergeCell ref="A1:I1"/>
    <mergeCell ref="A3:I3"/>
    <mergeCell ref="A5:B5"/>
    <mergeCell ref="D5:I5"/>
    <mergeCell ref="A6:B6"/>
    <mergeCell ref="D6:I6"/>
    <mergeCell ref="A19:I19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A38:B38"/>
    <mergeCell ref="A22:I22"/>
    <mergeCell ref="A25:I25"/>
    <mergeCell ref="C27:I27"/>
    <mergeCell ref="C28:I28"/>
    <mergeCell ref="C29:I29"/>
    <mergeCell ref="C30:I30"/>
    <mergeCell ref="A32:I32"/>
    <mergeCell ref="A34:B34"/>
    <mergeCell ref="A35:B35"/>
    <mergeCell ref="A36:B36"/>
    <mergeCell ref="A37:B37"/>
    <mergeCell ref="A51:B51"/>
    <mergeCell ref="A39:B39"/>
    <mergeCell ref="A40:B40"/>
    <mergeCell ref="A41:B41"/>
    <mergeCell ref="A42:B42"/>
    <mergeCell ref="A43:B43"/>
    <mergeCell ref="A44:B44"/>
    <mergeCell ref="A45:B45"/>
    <mergeCell ref="A46:B46"/>
    <mergeCell ref="F46:G46"/>
    <mergeCell ref="A48:I48"/>
    <mergeCell ref="A50:B50"/>
    <mergeCell ref="A52:B52"/>
    <mergeCell ref="A53:B53"/>
    <mergeCell ref="A54:B54"/>
    <mergeCell ref="A55:B55"/>
    <mergeCell ref="A56:B56"/>
    <mergeCell ref="F57:G57"/>
    <mergeCell ref="A59:I59"/>
    <mergeCell ref="A61:I61"/>
    <mergeCell ref="A63:I63"/>
    <mergeCell ref="A65:I65"/>
    <mergeCell ref="A57:B57"/>
  </mergeCells>
  <pageMargins left="0.70866141732283472" right="0.70866141732283472" top="0.78740157480314965" bottom="0.78740157480314965" header="0.31496062992125984" footer="0.31496062992125984"/>
  <pageSetup paperSize="9" scale="61" firstPageNumber="87" fitToHeight="3" orientation="portrait" useFirstPageNumber="1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103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32293590</v>
      </c>
      <c r="F6" s="8">
        <f>SUM(F7:F9)</f>
        <v>32488590</v>
      </c>
      <c r="G6" s="8">
        <f>SUM(G7:G9)</f>
        <v>16719733</v>
      </c>
      <c r="H6" s="9">
        <f t="shared" ref="H6:H36" si="0">G6/F6*100</f>
        <v>51.463399919787221</v>
      </c>
      <c r="I6" s="8">
        <f>SUM(I7:I9)</f>
        <v>19565803</v>
      </c>
      <c r="J6" s="8">
        <f>SUM(J7:J9)</f>
        <v>5158500</v>
      </c>
      <c r="K6" s="8">
        <f t="shared" ref="K6:V6" si="1">SUM(K7:K9)</f>
        <v>5353500</v>
      </c>
      <c r="L6" s="8">
        <f t="shared" si="1"/>
        <v>3152383</v>
      </c>
      <c r="M6" s="9">
        <f t="shared" ref="M6:M36" si="2">L6/K6*100</f>
        <v>58.884524143083958</v>
      </c>
      <c r="N6" s="8">
        <f t="shared" ref="N6" si="3">SUM(N7:N9)</f>
        <v>3006103</v>
      </c>
      <c r="O6" s="8">
        <f t="shared" si="1"/>
        <v>27135090</v>
      </c>
      <c r="P6" s="8">
        <f t="shared" si="1"/>
        <v>27135090</v>
      </c>
      <c r="Q6" s="8">
        <f t="shared" si="1"/>
        <v>13567350</v>
      </c>
      <c r="R6" s="9">
        <f t="shared" ref="R6:R36" si="4">Q6/P6*100</f>
        <v>49.999281373306665</v>
      </c>
      <c r="S6" s="8">
        <f t="shared" ref="S6" si="5">SUM(S7:S9)</f>
        <v>16559700</v>
      </c>
      <c r="T6" s="8">
        <f t="shared" si="1"/>
        <v>93517</v>
      </c>
      <c r="U6" s="8">
        <f t="shared" si="1"/>
        <v>93517</v>
      </c>
      <c r="V6" s="8">
        <f t="shared" si="1"/>
        <v>62197</v>
      </c>
      <c r="W6" s="9">
        <f t="shared" ref="W6:W36" si="6">V6/U6*100</f>
        <v>66.508763112589151</v>
      </c>
      <c r="X6" s="8">
        <f t="shared" ref="X6" si="7">SUM(X7:X9)</f>
        <v>67957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8">SUM(J7,O7)</f>
        <v>3631000</v>
      </c>
      <c r="F7" s="12">
        <f t="shared" si="8"/>
        <v>3826000</v>
      </c>
      <c r="G7" s="12">
        <f t="shared" si="8"/>
        <v>2389419</v>
      </c>
      <c r="H7" s="13">
        <f t="shared" si="0"/>
        <v>62.452143230527966</v>
      </c>
      <c r="I7" s="12">
        <f>SUM(N7,S7)</f>
        <v>2179426</v>
      </c>
      <c r="J7" s="44">
        <v>3631000</v>
      </c>
      <c r="K7" s="14">
        <v>3826000</v>
      </c>
      <c r="L7" s="14">
        <v>2389419</v>
      </c>
      <c r="M7" s="13">
        <f t="shared" si="2"/>
        <v>62.452143230527966</v>
      </c>
      <c r="N7" s="327">
        <v>2179426</v>
      </c>
      <c r="O7" s="14"/>
      <c r="P7" s="14"/>
      <c r="Q7" s="14"/>
      <c r="R7" s="13" t="e">
        <f t="shared" si="4"/>
        <v>#DIV/0!</v>
      </c>
      <c r="S7" s="327"/>
      <c r="T7" s="14">
        <v>93517</v>
      </c>
      <c r="U7" s="14">
        <v>93517</v>
      </c>
      <c r="V7" s="327">
        <v>62197</v>
      </c>
      <c r="W7" s="13">
        <f t="shared" si="6"/>
        <v>66.508763112589151</v>
      </c>
      <c r="X7" s="327">
        <v>67957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8"/>
        <v>2500</v>
      </c>
      <c r="F8" s="12">
        <f t="shared" si="8"/>
        <v>2500</v>
      </c>
      <c r="G8" s="12">
        <f t="shared" si="8"/>
        <v>464</v>
      </c>
      <c r="H8" s="13">
        <f t="shared" si="0"/>
        <v>18.559999999999999</v>
      </c>
      <c r="I8" s="12">
        <f>SUM(N8,S8)</f>
        <v>901</v>
      </c>
      <c r="J8" s="45">
        <v>2500</v>
      </c>
      <c r="K8" s="12">
        <v>2500</v>
      </c>
      <c r="L8" s="12">
        <v>464</v>
      </c>
      <c r="M8" s="13">
        <f t="shared" si="2"/>
        <v>18.559999999999999</v>
      </c>
      <c r="N8" s="165">
        <v>901</v>
      </c>
      <c r="O8" s="12"/>
      <c r="P8" s="12"/>
      <c r="Q8" s="12"/>
      <c r="R8" s="13" t="e">
        <f t="shared" si="4"/>
        <v>#DIV/0!</v>
      </c>
      <c r="S8" s="165"/>
      <c r="T8" s="12"/>
      <c r="U8" s="12"/>
      <c r="V8" s="165"/>
      <c r="W8" s="13" t="e">
        <f t="shared" si="6"/>
        <v>#DIV/0!</v>
      </c>
      <c r="X8" s="165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8"/>
        <v>28660090</v>
      </c>
      <c r="F9" s="12">
        <f t="shared" si="8"/>
        <v>28660090</v>
      </c>
      <c r="G9" s="12">
        <f t="shared" si="8"/>
        <v>14329850</v>
      </c>
      <c r="H9" s="13">
        <f t="shared" si="0"/>
        <v>49.999319611348049</v>
      </c>
      <c r="I9" s="12">
        <f>SUM(N9,S9)</f>
        <v>17385476</v>
      </c>
      <c r="J9" s="45">
        <v>1525000</v>
      </c>
      <c r="K9" s="12">
        <v>1525000</v>
      </c>
      <c r="L9" s="12">
        <v>762500</v>
      </c>
      <c r="M9" s="13">
        <f t="shared" si="2"/>
        <v>50</v>
      </c>
      <c r="N9" s="178">
        <v>825776</v>
      </c>
      <c r="O9" s="12">
        <v>27135090</v>
      </c>
      <c r="P9" s="12">
        <v>27135090</v>
      </c>
      <c r="Q9" s="12">
        <v>13567350</v>
      </c>
      <c r="R9" s="13">
        <f t="shared" si="4"/>
        <v>49.999281373306665</v>
      </c>
      <c r="S9" s="178">
        <v>16559700</v>
      </c>
      <c r="T9" s="12"/>
      <c r="U9" s="12"/>
      <c r="V9" s="178"/>
      <c r="W9" s="13" t="e">
        <f t="shared" si="6"/>
        <v>#DIV/0!</v>
      </c>
      <c r="X9" s="178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8"/>
        <v>0</v>
      </c>
      <c r="F10" s="18">
        <f t="shared" si="8"/>
        <v>0</v>
      </c>
      <c r="G10" s="18">
        <f t="shared" si="8"/>
        <v>0</v>
      </c>
      <c r="H10" s="9" t="e">
        <f t="shared" si="0"/>
        <v>#DIV/0!</v>
      </c>
      <c r="I10" s="18">
        <f>SUM(N10,S10)</f>
        <v>0</v>
      </c>
      <c r="J10" s="19"/>
      <c r="K10" s="18"/>
      <c r="L10" s="18"/>
      <c r="M10" s="9" t="e">
        <f t="shared" si="2"/>
        <v>#DIV/0!</v>
      </c>
      <c r="N10" s="18"/>
      <c r="O10" s="18"/>
      <c r="P10" s="18"/>
      <c r="Q10" s="18"/>
      <c r="R10" s="9" t="e">
        <f t="shared" si="4"/>
        <v>#DIV/0!</v>
      </c>
      <c r="S10" s="18"/>
      <c r="T10" s="18"/>
      <c r="U10" s="18"/>
      <c r="V10" s="18"/>
      <c r="W10" s="9" t="e">
        <f t="shared" si="6"/>
        <v>#DIV/0!</v>
      </c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32293590</v>
      </c>
      <c r="F11" s="8">
        <f>SUM(F12:F31)</f>
        <v>32488590</v>
      </c>
      <c r="G11" s="8">
        <f>SUM(G12:G31)</f>
        <v>15854547</v>
      </c>
      <c r="H11" s="9">
        <f t="shared" si="0"/>
        <v>48.800354216664985</v>
      </c>
      <c r="I11" s="8">
        <f>SUM(I12:I31)</f>
        <v>14485843</v>
      </c>
      <c r="J11" s="8">
        <f>SUM(J12:J31)</f>
        <v>5158500</v>
      </c>
      <c r="K11" s="8">
        <f>SUM(K12:K31)</f>
        <v>5353500</v>
      </c>
      <c r="L11" s="8">
        <f>SUM(L12:L31)</f>
        <v>2591192</v>
      </c>
      <c r="M11" s="9">
        <f t="shared" si="2"/>
        <v>48.401830578126457</v>
      </c>
      <c r="N11" s="8">
        <f>SUM(N12:N31)</f>
        <v>2438839</v>
      </c>
      <c r="O11" s="8">
        <f>SUM(O12:O31)</f>
        <v>27135090</v>
      </c>
      <c r="P11" s="8">
        <f>SUM(P12:P31)</f>
        <v>27135090</v>
      </c>
      <c r="Q11" s="8">
        <f>SUM(Q12:Q31)</f>
        <v>13263355</v>
      </c>
      <c r="R11" s="9">
        <f t="shared" si="4"/>
        <v>48.878979211051075</v>
      </c>
      <c r="S11" s="8">
        <f>SUM(S12:S31)</f>
        <v>12047004</v>
      </c>
      <c r="T11" s="8">
        <f>SUM(T12:T31)</f>
        <v>60000</v>
      </c>
      <c r="U11" s="8">
        <f>SUM(U12:U31)</f>
        <v>60000</v>
      </c>
      <c r="V11" s="8">
        <f>SUM(V12:V31)</f>
        <v>4560</v>
      </c>
      <c r="W11" s="9">
        <f t="shared" si="6"/>
        <v>7.6</v>
      </c>
      <c r="X11" s="8">
        <f>SUM(X12:X31)</f>
        <v>420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9">SUM(J12,O12)</f>
        <v>999500</v>
      </c>
      <c r="F12" s="12">
        <f t="shared" si="9"/>
        <v>967500</v>
      </c>
      <c r="G12" s="12">
        <f t="shared" si="9"/>
        <v>332023</v>
      </c>
      <c r="H12" s="13">
        <f t="shared" si="0"/>
        <v>34.317622739018091</v>
      </c>
      <c r="I12" s="12">
        <f t="shared" si="9"/>
        <v>437771</v>
      </c>
      <c r="J12" s="20">
        <v>999500</v>
      </c>
      <c r="K12" s="21">
        <v>967500</v>
      </c>
      <c r="L12" s="21">
        <v>332023</v>
      </c>
      <c r="M12" s="13">
        <f t="shared" si="2"/>
        <v>34.317622739018091</v>
      </c>
      <c r="N12" s="158">
        <v>437771</v>
      </c>
      <c r="O12" s="21"/>
      <c r="P12" s="21"/>
      <c r="Q12" s="21"/>
      <c r="R12" s="13" t="e">
        <f t="shared" si="4"/>
        <v>#DIV/0!</v>
      </c>
      <c r="S12" s="158"/>
      <c r="T12" s="21">
        <v>2000</v>
      </c>
      <c r="U12" s="21">
        <v>2000</v>
      </c>
      <c r="V12" s="158">
        <v>0</v>
      </c>
      <c r="W12" s="13">
        <f t="shared" si="6"/>
        <v>0</v>
      </c>
      <c r="X12" s="158">
        <v>0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9"/>
        <v>840000</v>
      </c>
      <c r="F13" s="12">
        <f t="shared" si="9"/>
        <v>840000</v>
      </c>
      <c r="G13" s="12">
        <f t="shared" si="9"/>
        <v>436706</v>
      </c>
      <c r="H13" s="13">
        <f t="shared" si="0"/>
        <v>51.988809523809522</v>
      </c>
      <c r="I13" s="12">
        <f t="shared" si="9"/>
        <v>491745</v>
      </c>
      <c r="J13" s="20">
        <v>840000</v>
      </c>
      <c r="K13" s="12">
        <v>840000</v>
      </c>
      <c r="L13" s="12">
        <v>436706</v>
      </c>
      <c r="M13" s="13">
        <f t="shared" si="2"/>
        <v>51.988809523809522</v>
      </c>
      <c r="N13" s="165">
        <v>491745</v>
      </c>
      <c r="O13" s="12"/>
      <c r="P13" s="12"/>
      <c r="Q13" s="12"/>
      <c r="R13" s="13" t="e">
        <f t="shared" si="4"/>
        <v>#DIV/0!</v>
      </c>
      <c r="S13" s="165"/>
      <c r="T13" s="12">
        <v>51000</v>
      </c>
      <c r="U13" s="12">
        <v>51000</v>
      </c>
      <c r="V13" s="165">
        <v>4560</v>
      </c>
      <c r="W13" s="13">
        <f t="shared" si="6"/>
        <v>8.9411764705882355</v>
      </c>
      <c r="X13" s="165">
        <v>0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si="9"/>
        <v>0</v>
      </c>
      <c r="F14" s="12">
        <f t="shared" si="9"/>
        <v>0</v>
      </c>
      <c r="G14" s="12">
        <f t="shared" si="9"/>
        <v>0</v>
      </c>
      <c r="H14" s="13" t="e">
        <f t="shared" si="0"/>
        <v>#DIV/0!</v>
      </c>
      <c r="I14" s="12">
        <f t="shared" si="9"/>
        <v>0</v>
      </c>
      <c r="J14" s="20"/>
      <c r="K14" s="12"/>
      <c r="L14" s="12"/>
      <c r="M14" s="13" t="e">
        <f t="shared" si="2"/>
        <v>#DIV/0!</v>
      </c>
      <c r="N14" s="165"/>
      <c r="O14" s="12"/>
      <c r="P14" s="12"/>
      <c r="Q14" s="12"/>
      <c r="R14" s="13" t="e">
        <f t="shared" si="4"/>
        <v>#DIV/0!</v>
      </c>
      <c r="S14" s="165"/>
      <c r="T14" s="12"/>
      <c r="U14" s="12"/>
      <c r="V14" s="165"/>
      <c r="W14" s="13" t="e">
        <f t="shared" si="6"/>
        <v>#DIV/0!</v>
      </c>
      <c r="X14" s="165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9"/>
        <v>560000</v>
      </c>
      <c r="F15" s="12">
        <f t="shared" si="9"/>
        <v>560000</v>
      </c>
      <c r="G15" s="12">
        <f t="shared" si="9"/>
        <v>42707</v>
      </c>
      <c r="H15" s="13">
        <f t="shared" si="0"/>
        <v>7.6262499999999998</v>
      </c>
      <c r="I15" s="12">
        <f t="shared" si="9"/>
        <v>71935</v>
      </c>
      <c r="J15" s="20">
        <v>560000</v>
      </c>
      <c r="K15" s="12">
        <v>560000</v>
      </c>
      <c r="L15" s="12">
        <v>42707</v>
      </c>
      <c r="M15" s="13">
        <f t="shared" si="2"/>
        <v>7.6262499999999998</v>
      </c>
      <c r="N15" s="165">
        <v>71935</v>
      </c>
      <c r="O15" s="12"/>
      <c r="P15" s="12"/>
      <c r="Q15" s="12"/>
      <c r="R15" s="13" t="e">
        <f t="shared" si="4"/>
        <v>#DIV/0!</v>
      </c>
      <c r="S15" s="165"/>
      <c r="T15" s="12">
        <v>5000</v>
      </c>
      <c r="U15" s="12">
        <v>5000</v>
      </c>
      <c r="V15" s="165">
        <v>0</v>
      </c>
      <c r="W15" s="13">
        <f t="shared" si="6"/>
        <v>0</v>
      </c>
      <c r="X15" s="165">
        <v>0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9"/>
        <v>30000</v>
      </c>
      <c r="F16" s="12">
        <f t="shared" si="9"/>
        <v>62000</v>
      </c>
      <c r="G16" s="12">
        <f t="shared" si="9"/>
        <v>50647</v>
      </c>
      <c r="H16" s="13">
        <f t="shared" si="0"/>
        <v>81.688709677419354</v>
      </c>
      <c r="I16" s="12">
        <f t="shared" si="9"/>
        <v>10402</v>
      </c>
      <c r="J16" s="20">
        <v>30000</v>
      </c>
      <c r="K16" s="12">
        <v>62000</v>
      </c>
      <c r="L16" s="12">
        <v>50647</v>
      </c>
      <c r="M16" s="13">
        <f t="shared" si="2"/>
        <v>81.688709677419354</v>
      </c>
      <c r="N16" s="165">
        <v>10402</v>
      </c>
      <c r="O16" s="12"/>
      <c r="P16" s="12"/>
      <c r="Q16" s="12"/>
      <c r="R16" s="13" t="e">
        <f t="shared" si="4"/>
        <v>#DIV/0!</v>
      </c>
      <c r="S16" s="165"/>
      <c r="T16" s="12"/>
      <c r="U16" s="12"/>
      <c r="V16" s="165"/>
      <c r="W16" s="13" t="e">
        <f t="shared" si="6"/>
        <v>#DIV/0!</v>
      </c>
      <c r="X16" s="165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9"/>
        <v>25000</v>
      </c>
      <c r="F17" s="12">
        <f t="shared" si="9"/>
        <v>25000</v>
      </c>
      <c r="G17" s="12">
        <f t="shared" si="9"/>
        <v>15909</v>
      </c>
      <c r="H17" s="13">
        <f t="shared" si="0"/>
        <v>63.636000000000003</v>
      </c>
      <c r="I17" s="12">
        <f t="shared" si="9"/>
        <v>20162</v>
      </c>
      <c r="J17" s="20">
        <v>25000</v>
      </c>
      <c r="K17" s="12">
        <v>25000</v>
      </c>
      <c r="L17" s="12">
        <v>15909</v>
      </c>
      <c r="M17" s="13">
        <f t="shared" si="2"/>
        <v>63.636000000000003</v>
      </c>
      <c r="N17" s="165">
        <v>20162</v>
      </c>
      <c r="O17" s="12"/>
      <c r="P17" s="12"/>
      <c r="Q17" s="12"/>
      <c r="R17" s="13" t="e">
        <f t="shared" si="4"/>
        <v>#DIV/0!</v>
      </c>
      <c r="S17" s="165"/>
      <c r="T17" s="12"/>
      <c r="U17" s="12"/>
      <c r="V17" s="165"/>
      <c r="W17" s="13" t="e">
        <f t="shared" si="6"/>
        <v>#DIV/0!</v>
      </c>
      <c r="X17" s="165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9"/>
        <v>950000</v>
      </c>
      <c r="F18" s="12">
        <f t="shared" si="9"/>
        <v>1145000</v>
      </c>
      <c r="G18" s="12">
        <f t="shared" si="9"/>
        <v>896848</v>
      </c>
      <c r="H18" s="13">
        <f t="shared" si="0"/>
        <v>78.327336244541485</v>
      </c>
      <c r="I18" s="12">
        <f t="shared" si="9"/>
        <v>491128</v>
      </c>
      <c r="J18" s="20">
        <v>950000</v>
      </c>
      <c r="K18" s="12">
        <v>1145000</v>
      </c>
      <c r="L18" s="12">
        <v>896848</v>
      </c>
      <c r="M18" s="13">
        <f t="shared" si="2"/>
        <v>78.327336244541485</v>
      </c>
      <c r="N18" s="165">
        <v>491128</v>
      </c>
      <c r="O18" s="12"/>
      <c r="P18" s="12"/>
      <c r="Q18" s="12"/>
      <c r="R18" s="13" t="e">
        <f t="shared" si="4"/>
        <v>#DIV/0!</v>
      </c>
      <c r="S18" s="165"/>
      <c r="T18" s="12">
        <v>2000</v>
      </c>
      <c r="U18" s="12">
        <v>2000</v>
      </c>
      <c r="V18" s="165">
        <v>0</v>
      </c>
      <c r="W18" s="13">
        <f t="shared" si="6"/>
        <v>0</v>
      </c>
      <c r="X18" s="165">
        <v>420</v>
      </c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9"/>
        <v>19982190</v>
      </c>
      <c r="F19" s="12">
        <f t="shared" si="9"/>
        <v>19982190</v>
      </c>
      <c r="G19" s="12">
        <f t="shared" si="9"/>
        <v>9764858</v>
      </c>
      <c r="H19" s="13">
        <f t="shared" si="0"/>
        <v>48.867806781939315</v>
      </c>
      <c r="I19" s="12">
        <f t="shared" si="9"/>
        <v>8908940</v>
      </c>
      <c r="J19" s="23"/>
      <c r="K19" s="12"/>
      <c r="L19" s="12"/>
      <c r="M19" s="13" t="e">
        <f t="shared" si="2"/>
        <v>#DIV/0!</v>
      </c>
      <c r="N19" s="165"/>
      <c r="O19" s="12">
        <v>19982190</v>
      </c>
      <c r="P19" s="12">
        <v>19982190</v>
      </c>
      <c r="Q19" s="12">
        <v>9764858</v>
      </c>
      <c r="R19" s="13">
        <f t="shared" si="4"/>
        <v>48.867806781939315</v>
      </c>
      <c r="S19" s="165">
        <v>8908940</v>
      </c>
      <c r="T19" s="24"/>
      <c r="U19" s="24"/>
      <c r="V19" s="328"/>
      <c r="W19" s="13" t="e">
        <f t="shared" si="6"/>
        <v>#DIV/0!</v>
      </c>
      <c r="X19" s="328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9"/>
        <v>6757214</v>
      </c>
      <c r="F20" s="12">
        <f t="shared" si="9"/>
        <v>6757214</v>
      </c>
      <c r="G20" s="12">
        <f t="shared" si="9"/>
        <v>3304016</v>
      </c>
      <c r="H20" s="13">
        <f t="shared" si="0"/>
        <v>48.896127901232667</v>
      </c>
      <c r="I20" s="12">
        <f t="shared" si="9"/>
        <v>3005480</v>
      </c>
      <c r="J20" s="20"/>
      <c r="K20" s="12"/>
      <c r="L20" s="12"/>
      <c r="M20" s="13" t="e">
        <f t="shared" si="2"/>
        <v>#DIV/0!</v>
      </c>
      <c r="N20" s="165"/>
      <c r="O20" s="12">
        <v>6757214</v>
      </c>
      <c r="P20" s="12">
        <v>6757214</v>
      </c>
      <c r="Q20" s="12">
        <v>3304016</v>
      </c>
      <c r="R20" s="13">
        <f t="shared" si="4"/>
        <v>48.896127901232667</v>
      </c>
      <c r="S20" s="165">
        <v>3005480</v>
      </c>
      <c r="T20" s="12"/>
      <c r="U20" s="12"/>
      <c r="V20" s="165"/>
      <c r="W20" s="13" t="e">
        <f t="shared" si="6"/>
        <v>#DIV/0!</v>
      </c>
      <c r="X20" s="165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9"/>
        <v>490686</v>
      </c>
      <c r="F21" s="12">
        <f t="shared" si="9"/>
        <v>490686</v>
      </c>
      <c r="G21" s="12">
        <f t="shared" si="9"/>
        <v>197930</v>
      </c>
      <c r="H21" s="13">
        <f t="shared" si="0"/>
        <v>40.337405183763138</v>
      </c>
      <c r="I21" s="12">
        <f t="shared" si="9"/>
        <v>134434</v>
      </c>
      <c r="J21" s="20">
        <v>95000</v>
      </c>
      <c r="K21" s="12">
        <v>95000</v>
      </c>
      <c r="L21" s="12">
        <v>3449</v>
      </c>
      <c r="M21" s="13">
        <f t="shared" si="2"/>
        <v>3.6305263157894738</v>
      </c>
      <c r="N21" s="165">
        <v>1850</v>
      </c>
      <c r="O21" s="12">
        <v>395686</v>
      </c>
      <c r="P21" s="12">
        <v>395686</v>
      </c>
      <c r="Q21" s="12">
        <v>194481</v>
      </c>
      <c r="R21" s="13">
        <f t="shared" si="4"/>
        <v>49.150336377834954</v>
      </c>
      <c r="S21" s="165">
        <v>132584</v>
      </c>
      <c r="T21" s="12"/>
      <c r="U21" s="12"/>
      <c r="V21" s="165"/>
      <c r="W21" s="13" t="e">
        <f t="shared" si="6"/>
        <v>#DIV/0!</v>
      </c>
      <c r="X21" s="165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9"/>
        <v>0</v>
      </c>
      <c r="F22" s="12">
        <f t="shared" si="9"/>
        <v>0</v>
      </c>
      <c r="G22" s="12">
        <f t="shared" si="9"/>
        <v>0</v>
      </c>
      <c r="H22" s="13" t="e">
        <f t="shared" si="0"/>
        <v>#DIV/0!</v>
      </c>
      <c r="I22" s="12">
        <f t="shared" si="9"/>
        <v>0</v>
      </c>
      <c r="J22" s="20"/>
      <c r="K22" s="12"/>
      <c r="L22" s="12"/>
      <c r="M22" s="13" t="e">
        <f t="shared" si="2"/>
        <v>#DIV/0!</v>
      </c>
      <c r="N22" s="165"/>
      <c r="O22" s="12"/>
      <c r="P22" s="12"/>
      <c r="Q22" s="12"/>
      <c r="R22" s="13" t="e">
        <f t="shared" si="4"/>
        <v>#DIV/0!</v>
      </c>
      <c r="S22" s="165"/>
      <c r="T22" s="12"/>
      <c r="U22" s="12"/>
      <c r="V22" s="165"/>
      <c r="W22" s="13" t="e">
        <f t="shared" si="6"/>
        <v>#DIV/0!</v>
      </c>
      <c r="X22" s="165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9"/>
        <v>0</v>
      </c>
      <c r="F23" s="12">
        <f t="shared" si="9"/>
        <v>0</v>
      </c>
      <c r="G23" s="12">
        <f t="shared" si="9"/>
        <v>0</v>
      </c>
      <c r="H23" s="13" t="e">
        <f t="shared" si="0"/>
        <v>#DIV/0!</v>
      </c>
      <c r="I23" s="12">
        <f t="shared" si="9"/>
        <v>0</v>
      </c>
      <c r="J23" s="20"/>
      <c r="K23" s="12"/>
      <c r="L23" s="12"/>
      <c r="M23" s="13" t="e">
        <f t="shared" si="2"/>
        <v>#DIV/0!</v>
      </c>
      <c r="N23" s="165"/>
      <c r="O23" s="12"/>
      <c r="P23" s="12"/>
      <c r="Q23" s="12"/>
      <c r="R23" s="13" t="e">
        <f t="shared" si="4"/>
        <v>#DIV/0!</v>
      </c>
      <c r="S23" s="165"/>
      <c r="T23" s="12"/>
      <c r="U23" s="12"/>
      <c r="V23" s="165"/>
      <c r="W23" s="13" t="e">
        <f t="shared" si="6"/>
        <v>#DIV/0!</v>
      </c>
      <c r="X23" s="165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3" t="e">
        <f t="shared" si="0"/>
        <v>#DIV/0!</v>
      </c>
      <c r="I24" s="12">
        <f t="shared" si="9"/>
        <v>0</v>
      </c>
      <c r="J24" s="20"/>
      <c r="K24" s="12"/>
      <c r="L24" s="12"/>
      <c r="M24" s="13" t="e">
        <f t="shared" si="2"/>
        <v>#DIV/0!</v>
      </c>
      <c r="N24" s="165"/>
      <c r="O24" s="12"/>
      <c r="P24" s="12"/>
      <c r="Q24" s="12"/>
      <c r="R24" s="13" t="e">
        <f t="shared" si="4"/>
        <v>#DIV/0!</v>
      </c>
      <c r="S24" s="165"/>
      <c r="T24" s="12"/>
      <c r="U24" s="12"/>
      <c r="V24" s="165"/>
      <c r="W24" s="13" t="e">
        <f t="shared" si="6"/>
        <v>#DIV/0!</v>
      </c>
      <c r="X24" s="165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 t="shared" si="9"/>
        <v>0</v>
      </c>
      <c r="F25" s="12">
        <f t="shared" si="9"/>
        <v>0</v>
      </c>
      <c r="G25" s="12">
        <f t="shared" si="9"/>
        <v>0</v>
      </c>
      <c r="H25" s="13" t="e">
        <f t="shared" si="0"/>
        <v>#DIV/0!</v>
      </c>
      <c r="I25" s="12">
        <f t="shared" si="9"/>
        <v>0</v>
      </c>
      <c r="J25" s="20"/>
      <c r="K25" s="21"/>
      <c r="L25" s="21"/>
      <c r="M25" s="13" t="e">
        <f t="shared" si="2"/>
        <v>#DIV/0!</v>
      </c>
      <c r="N25" s="217"/>
      <c r="O25" s="21"/>
      <c r="P25" s="21"/>
      <c r="Q25" s="21"/>
      <c r="R25" s="13" t="e">
        <f t="shared" si="4"/>
        <v>#DIV/0!</v>
      </c>
      <c r="S25" s="217"/>
      <c r="T25" s="21"/>
      <c r="U25" s="21"/>
      <c r="V25" s="217"/>
      <c r="W25" s="13" t="e">
        <f t="shared" si="6"/>
        <v>#DIV/0!</v>
      </c>
      <c r="X25" s="217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9"/>
        <v>740000</v>
      </c>
      <c r="F26" s="12">
        <f t="shared" si="9"/>
        <v>740000</v>
      </c>
      <c r="G26" s="12">
        <f t="shared" si="9"/>
        <v>365883</v>
      </c>
      <c r="H26" s="26">
        <f>G26/F26*100</f>
        <v>49.443648648648647</v>
      </c>
      <c r="I26" s="12">
        <f>SUM(N26,S26)</f>
        <v>532355</v>
      </c>
      <c r="J26" s="20">
        <v>740000</v>
      </c>
      <c r="K26" s="22">
        <v>740000</v>
      </c>
      <c r="L26" s="22">
        <v>365883</v>
      </c>
      <c r="M26" s="13">
        <f>L26/K26*100</f>
        <v>49.443648648648647</v>
      </c>
      <c r="N26" s="170">
        <v>532355</v>
      </c>
      <c r="O26" s="22"/>
      <c r="P26" s="22"/>
      <c r="Q26" s="22"/>
      <c r="R26" s="13" t="e">
        <f>Q26/P26*100</f>
        <v>#DIV/0!</v>
      </c>
      <c r="S26" s="170"/>
      <c r="T26" s="47"/>
      <c r="U26" s="47"/>
      <c r="V26" s="226"/>
      <c r="W26" s="13" t="e">
        <f>V26/U26*100</f>
        <v>#DIV/0!</v>
      </c>
      <c r="X26" s="226"/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9"/>
        <v>0</v>
      </c>
      <c r="F27" s="12">
        <f t="shared" si="9"/>
        <v>0</v>
      </c>
      <c r="G27" s="12">
        <f t="shared" si="9"/>
        <v>0</v>
      </c>
      <c r="H27" s="26" t="e">
        <f t="shared" si="0"/>
        <v>#DIV/0!</v>
      </c>
      <c r="I27" s="12">
        <f t="shared" si="9"/>
        <v>0</v>
      </c>
      <c r="J27" s="20"/>
      <c r="K27" s="22"/>
      <c r="L27" s="22"/>
      <c r="M27" s="13" t="e">
        <f t="shared" si="2"/>
        <v>#DIV/0!</v>
      </c>
      <c r="N27" s="170"/>
      <c r="O27" s="22"/>
      <c r="P27" s="22"/>
      <c r="Q27" s="22"/>
      <c r="R27" s="13" t="e">
        <f t="shared" si="4"/>
        <v>#DIV/0!</v>
      </c>
      <c r="S27" s="170"/>
      <c r="T27" s="47"/>
      <c r="U27" s="47"/>
      <c r="V27" s="226"/>
      <c r="W27" s="13" t="e">
        <f t="shared" si="6"/>
        <v>#DIV/0!</v>
      </c>
      <c r="X27" s="226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719000</v>
      </c>
      <c r="F28" s="12">
        <f>SUM(K28,P28)</f>
        <v>719000</v>
      </c>
      <c r="G28" s="12">
        <f>SUM(L28,Q28)</f>
        <v>366690</v>
      </c>
      <c r="H28" s="26">
        <f>G28/F28*100</f>
        <v>51</v>
      </c>
      <c r="I28" s="12">
        <f>SUM(N28,S28)</f>
        <v>330986</v>
      </c>
      <c r="J28" s="20">
        <v>719000</v>
      </c>
      <c r="K28" s="22">
        <v>719000</v>
      </c>
      <c r="L28" s="22">
        <v>366690</v>
      </c>
      <c r="M28" s="13">
        <f>L28/K28*100</f>
        <v>51</v>
      </c>
      <c r="N28" s="170">
        <v>330986</v>
      </c>
      <c r="O28" s="22"/>
      <c r="P28" s="22"/>
      <c r="Q28" s="22"/>
      <c r="R28" s="13" t="e">
        <f>Q28/P28*100</f>
        <v>#DIV/0!</v>
      </c>
      <c r="S28" s="170"/>
      <c r="T28" s="47"/>
      <c r="U28" s="47"/>
      <c r="V28" s="226"/>
      <c r="W28" s="13" t="e">
        <f>V28/U28*100</f>
        <v>#DIV/0!</v>
      </c>
      <c r="X28" s="226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9"/>
        <v>200000</v>
      </c>
      <c r="F29" s="12">
        <f t="shared" si="9"/>
        <v>200000</v>
      </c>
      <c r="G29" s="12">
        <f t="shared" si="9"/>
        <v>80330</v>
      </c>
      <c r="H29" s="26">
        <f t="shared" si="0"/>
        <v>40.164999999999999</v>
      </c>
      <c r="I29" s="12">
        <f t="shared" si="9"/>
        <v>50505</v>
      </c>
      <c r="J29" s="20">
        <v>200000</v>
      </c>
      <c r="K29" s="22">
        <v>200000</v>
      </c>
      <c r="L29" s="22">
        <v>80330</v>
      </c>
      <c r="M29" s="13">
        <f t="shared" si="2"/>
        <v>40.164999999999999</v>
      </c>
      <c r="N29" s="170">
        <v>50505</v>
      </c>
      <c r="O29" s="22"/>
      <c r="P29" s="22"/>
      <c r="Q29" s="22"/>
      <c r="R29" s="13" t="e">
        <f t="shared" si="4"/>
        <v>#DIV/0!</v>
      </c>
      <c r="S29" s="170"/>
      <c r="T29" s="47"/>
      <c r="U29" s="47"/>
      <c r="V29" s="226"/>
      <c r="W29" s="13" t="e">
        <f t="shared" si="6"/>
        <v>#DIV/0!</v>
      </c>
      <c r="X29" s="226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10">SUM(J30,O30)</f>
        <v>0</v>
      </c>
      <c r="F30" s="12">
        <f t="shared" si="10"/>
        <v>0</v>
      </c>
      <c r="G30" s="12">
        <f t="shared" si="10"/>
        <v>0</v>
      </c>
      <c r="H30" s="26" t="e">
        <f t="shared" si="0"/>
        <v>#DIV/0!</v>
      </c>
      <c r="I30" s="12">
        <f>SUM(N30,S30)</f>
        <v>0</v>
      </c>
      <c r="J30" s="20"/>
      <c r="K30" s="22"/>
      <c r="L30" s="22"/>
      <c r="M30" s="13" t="e">
        <f t="shared" si="2"/>
        <v>#DIV/0!</v>
      </c>
      <c r="N30" s="170"/>
      <c r="O30" s="22"/>
      <c r="P30" s="22"/>
      <c r="Q30" s="22"/>
      <c r="R30" s="13" t="e">
        <f t="shared" si="4"/>
        <v>#DIV/0!</v>
      </c>
      <c r="S30" s="170"/>
      <c r="T30" s="47"/>
      <c r="U30" s="47"/>
      <c r="V30" s="226"/>
      <c r="W30" s="13" t="e">
        <f t="shared" si="6"/>
        <v>#DIV/0!</v>
      </c>
      <c r="X30" s="226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10"/>
        <v>0</v>
      </c>
      <c r="F31" s="12">
        <f t="shared" si="10"/>
        <v>0</v>
      </c>
      <c r="G31" s="12">
        <f t="shared" si="10"/>
        <v>0</v>
      </c>
      <c r="H31" s="26" t="e">
        <f t="shared" si="0"/>
        <v>#DIV/0!</v>
      </c>
      <c r="I31" s="12">
        <f>SUM(N31,S31)</f>
        <v>0</v>
      </c>
      <c r="J31" s="20"/>
      <c r="K31" s="29"/>
      <c r="L31" s="29"/>
      <c r="M31" s="13" t="e">
        <f t="shared" si="2"/>
        <v>#DIV/0!</v>
      </c>
      <c r="N31" s="329"/>
      <c r="O31" s="29"/>
      <c r="P31" s="29"/>
      <c r="Q31" s="29"/>
      <c r="R31" s="13" t="e">
        <f t="shared" si="4"/>
        <v>#DIV/0!</v>
      </c>
      <c r="S31" s="329"/>
      <c r="T31" s="30"/>
      <c r="U31" s="30"/>
      <c r="V31" s="330"/>
      <c r="W31" s="13" t="e">
        <f t="shared" si="6"/>
        <v>#DIV/0!</v>
      </c>
      <c r="X31" s="3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26" t="e">
        <f t="shared" si="0"/>
        <v>#DIV/0!</v>
      </c>
      <c r="I32" s="12">
        <f>SUM(N32,S32)</f>
        <v>0</v>
      </c>
      <c r="J32" s="32"/>
      <c r="K32" s="30"/>
      <c r="L32" s="30"/>
      <c r="M32" s="13" t="e">
        <f t="shared" si="2"/>
        <v>#DIV/0!</v>
      </c>
      <c r="N32" s="331"/>
      <c r="O32" s="30"/>
      <c r="P32" s="30"/>
      <c r="Q32" s="30"/>
      <c r="R32" s="13" t="e">
        <f t="shared" si="4"/>
        <v>#DIV/0!</v>
      </c>
      <c r="S32" s="331"/>
      <c r="T32" s="30"/>
      <c r="U32" s="30"/>
      <c r="V32" s="331"/>
      <c r="W32" s="13" t="e">
        <f t="shared" si="6"/>
        <v>#DIV/0!</v>
      </c>
      <c r="X32" s="331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865186</v>
      </c>
      <c r="H33" s="34" t="e">
        <f t="shared" si="0"/>
        <v>#DIV/0!</v>
      </c>
      <c r="I33" s="8">
        <f>I6-I11</f>
        <v>5079960</v>
      </c>
      <c r="J33" s="8">
        <f>J6-J11</f>
        <v>0</v>
      </c>
      <c r="K33" s="8">
        <f>K6-K11</f>
        <v>0</v>
      </c>
      <c r="L33" s="8">
        <f>L6-L11</f>
        <v>561191</v>
      </c>
      <c r="M33" s="9" t="e">
        <f t="shared" si="2"/>
        <v>#DIV/0!</v>
      </c>
      <c r="N33" s="8">
        <f>N6-N11</f>
        <v>567264</v>
      </c>
      <c r="O33" s="8">
        <f>O6-O11</f>
        <v>0</v>
      </c>
      <c r="P33" s="8">
        <f>P6-P11</f>
        <v>0</v>
      </c>
      <c r="Q33" s="8">
        <f>Q6-Q11</f>
        <v>303995</v>
      </c>
      <c r="R33" s="9" t="e">
        <f t="shared" si="4"/>
        <v>#DIV/0!</v>
      </c>
      <c r="S33" s="8">
        <f>S6-S11</f>
        <v>4512696</v>
      </c>
      <c r="T33" s="8">
        <f>T6-T11</f>
        <v>33517</v>
      </c>
      <c r="U33" s="8">
        <f>U6-U11</f>
        <v>33517</v>
      </c>
      <c r="V33" s="8">
        <f>V6-V11</f>
        <v>57637</v>
      </c>
      <c r="W33" s="9">
        <f t="shared" si="6"/>
        <v>171.96348121848615</v>
      </c>
      <c r="X33" s="8">
        <f>X6-X11</f>
        <v>67537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31705</v>
      </c>
      <c r="F34" s="37">
        <v>31705</v>
      </c>
      <c r="G34" s="37">
        <v>31526</v>
      </c>
      <c r="H34" s="26">
        <f t="shared" si="0"/>
        <v>99.435420280712819</v>
      </c>
      <c r="I34" s="37">
        <v>29250</v>
      </c>
      <c r="J34" s="38">
        <v>0</v>
      </c>
      <c r="K34" s="38">
        <v>0</v>
      </c>
      <c r="L34" s="38">
        <v>0</v>
      </c>
      <c r="M34" s="9" t="e">
        <f t="shared" si="2"/>
        <v>#DIV/0!</v>
      </c>
      <c r="N34" s="38">
        <v>0</v>
      </c>
      <c r="O34" s="38">
        <v>31705</v>
      </c>
      <c r="P34" s="38">
        <v>31705</v>
      </c>
      <c r="Q34" s="38">
        <v>31526</v>
      </c>
      <c r="R34" s="9">
        <f t="shared" si="4"/>
        <v>99.435420280712819</v>
      </c>
      <c r="S34" s="38">
        <v>29250</v>
      </c>
      <c r="T34" s="38">
        <v>0</v>
      </c>
      <c r="U34" s="38">
        <v>0</v>
      </c>
      <c r="V34" s="38">
        <v>0</v>
      </c>
      <c r="W34" s="9" t="e">
        <f t="shared" si="6"/>
        <v>#DIV/0!</v>
      </c>
      <c r="X34" s="38">
        <v>0</v>
      </c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49</v>
      </c>
      <c r="F35" s="37">
        <v>49</v>
      </c>
      <c r="G35" s="37">
        <v>49</v>
      </c>
      <c r="H35" s="26">
        <f t="shared" si="0"/>
        <v>100</v>
      </c>
      <c r="I35" s="37">
        <v>47</v>
      </c>
      <c r="J35" s="38">
        <v>0</v>
      </c>
      <c r="K35" s="48">
        <v>0</v>
      </c>
      <c r="L35" s="38">
        <v>0</v>
      </c>
      <c r="M35" s="9" t="e">
        <f t="shared" si="2"/>
        <v>#DIV/0!</v>
      </c>
      <c r="N35" s="38">
        <v>0</v>
      </c>
      <c r="O35" s="38">
        <v>49</v>
      </c>
      <c r="P35" s="38">
        <v>49</v>
      </c>
      <c r="Q35" s="38">
        <v>49</v>
      </c>
      <c r="R35" s="9">
        <f t="shared" si="4"/>
        <v>100</v>
      </c>
      <c r="S35" s="38">
        <v>47</v>
      </c>
      <c r="T35" s="38">
        <v>0</v>
      </c>
      <c r="U35" s="38">
        <v>0</v>
      </c>
      <c r="V35" s="38">
        <v>0</v>
      </c>
      <c r="W35" s="9" t="e">
        <f t="shared" si="6"/>
        <v>#DIV/0!</v>
      </c>
      <c r="X35" s="38">
        <v>0</v>
      </c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51</v>
      </c>
      <c r="F36" s="37">
        <v>51</v>
      </c>
      <c r="G36" s="37">
        <v>51</v>
      </c>
      <c r="H36" s="26">
        <f t="shared" si="0"/>
        <v>100</v>
      </c>
      <c r="I36" s="37">
        <v>52</v>
      </c>
      <c r="J36" s="38">
        <v>0</v>
      </c>
      <c r="K36" s="38">
        <v>0</v>
      </c>
      <c r="L36" s="38">
        <v>0</v>
      </c>
      <c r="M36" s="9" t="e">
        <f t="shared" si="2"/>
        <v>#DIV/0!</v>
      </c>
      <c r="N36" s="38">
        <v>0</v>
      </c>
      <c r="O36" s="38">
        <v>51</v>
      </c>
      <c r="P36" s="38">
        <v>51</v>
      </c>
      <c r="Q36" s="38">
        <v>51</v>
      </c>
      <c r="R36" s="9">
        <f t="shared" si="4"/>
        <v>100</v>
      </c>
      <c r="S36" s="38">
        <v>52</v>
      </c>
      <c r="T36" s="38">
        <v>0</v>
      </c>
      <c r="U36" s="38">
        <v>0</v>
      </c>
      <c r="V36" s="38">
        <v>0</v>
      </c>
      <c r="W36" s="9" t="e">
        <f t="shared" si="6"/>
        <v>#DIV/0!</v>
      </c>
      <c r="X36" s="38">
        <v>0</v>
      </c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89" orientation="landscape" useFirstPageNumber="1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workbookViewId="0">
      <selection sqref="A1:XFD1048576"/>
    </sheetView>
  </sheetViews>
  <sheetFormatPr defaultColWidth="9.140625"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834" customFormat="1" ht="18.75" x14ac:dyDescent="0.3">
      <c r="A1" s="1278" t="s">
        <v>801</v>
      </c>
      <c r="B1" s="1278"/>
      <c r="C1" s="1278"/>
      <c r="D1" s="1278"/>
      <c r="E1" s="1278"/>
      <c r="F1" s="1278"/>
      <c r="G1" s="1278"/>
      <c r="H1" s="1278"/>
      <c r="I1" s="1278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11.25" x14ac:dyDescent="0.2">
      <c r="A6" s="911" t="s">
        <v>107</v>
      </c>
      <c r="B6" s="912"/>
      <c r="C6" s="337">
        <v>561191.6</v>
      </c>
      <c r="D6" s="835" t="s">
        <v>802</v>
      </c>
      <c r="E6" s="835"/>
      <c r="F6" s="835"/>
      <c r="G6" s="835"/>
      <c r="H6" s="835"/>
      <c r="I6" s="835"/>
    </row>
    <row r="7" spans="1:14" s="334" customFormat="1" ht="14.45" customHeight="1" x14ac:dyDescent="0.2">
      <c r="A7" s="836"/>
      <c r="B7" s="837"/>
      <c r="C7" s="337"/>
      <c r="D7" s="1279" t="s">
        <v>803</v>
      </c>
      <c r="E7" s="1280"/>
      <c r="F7" s="1280"/>
      <c r="G7" s="1280"/>
      <c r="H7" s="1280"/>
      <c r="I7" s="1281"/>
    </row>
    <row r="8" spans="1:14" s="338" customFormat="1" ht="11.25" x14ac:dyDescent="0.15">
      <c r="A8" s="911" t="s">
        <v>92</v>
      </c>
      <c r="B8" s="912"/>
      <c r="C8" s="337">
        <v>57637</v>
      </c>
      <c r="D8" s="914" t="s">
        <v>804</v>
      </c>
      <c r="E8" s="914"/>
      <c r="F8" s="914"/>
      <c r="G8" s="914"/>
      <c r="H8" s="914"/>
      <c r="I8" s="914"/>
    </row>
    <row r="9" spans="1:14" s="338" customFormat="1" ht="10.5" x14ac:dyDescent="0.15">
      <c r="A9" s="911" t="s">
        <v>110</v>
      </c>
      <c r="B9" s="912"/>
      <c r="C9" s="337">
        <v>303995</v>
      </c>
      <c r="D9" s="915"/>
      <c r="E9" s="916"/>
      <c r="F9" s="916"/>
      <c r="G9" s="916"/>
      <c r="H9" s="916"/>
      <c r="I9" s="917"/>
    </row>
    <row r="10" spans="1:14" s="334" customFormat="1" ht="11.25" x14ac:dyDescent="0.2">
      <c r="C10" s="339"/>
    </row>
    <row r="11" spans="1:14" s="340" customFormat="1" ht="11.25" x14ac:dyDescent="0.2">
      <c r="A11" s="861" t="s">
        <v>111</v>
      </c>
      <c r="B11" s="861"/>
      <c r="C11" s="861"/>
      <c r="D11" s="861"/>
      <c r="E11" s="861"/>
      <c r="F11" s="861"/>
      <c r="G11" s="861"/>
      <c r="H11" s="861"/>
      <c r="I11" s="861"/>
    </row>
    <row r="12" spans="1:14" s="334" customFormat="1" ht="11.25" x14ac:dyDescent="0.2">
      <c r="C12" s="339"/>
    </row>
    <row r="13" spans="1:14" s="342" customFormat="1" ht="19.5" x14ac:dyDescent="0.15">
      <c r="A13" s="341" t="s">
        <v>112</v>
      </c>
      <c r="B13" s="341" t="s">
        <v>113</v>
      </c>
      <c r="C13" s="341" t="s">
        <v>114</v>
      </c>
      <c r="D13" s="341" t="s">
        <v>115</v>
      </c>
      <c r="E13" s="341" t="s">
        <v>116</v>
      </c>
      <c r="F13" s="341" t="s">
        <v>117</v>
      </c>
      <c r="G13" s="918" t="s">
        <v>118</v>
      </c>
      <c r="H13" s="918"/>
      <c r="I13" s="918"/>
    </row>
    <row r="14" spans="1:14" s="334" customFormat="1" ht="11.25" x14ac:dyDescent="0.2">
      <c r="A14" s="437" t="s">
        <v>187</v>
      </c>
      <c r="B14" s="438">
        <v>44646.92</v>
      </c>
      <c r="C14" s="438">
        <v>156050.84</v>
      </c>
      <c r="D14" s="438">
        <v>0</v>
      </c>
      <c r="E14" s="438">
        <v>200697.76</v>
      </c>
      <c r="F14" s="439">
        <v>200697.76</v>
      </c>
      <c r="G14" s="990" t="s">
        <v>805</v>
      </c>
      <c r="H14" s="869"/>
      <c r="I14" s="991"/>
    </row>
    <row r="15" spans="1:14" s="334" customFormat="1" ht="11.25" x14ac:dyDescent="0.2">
      <c r="A15" s="440" t="s">
        <v>214</v>
      </c>
      <c r="B15" s="441">
        <v>110000.76</v>
      </c>
      <c r="C15" s="441">
        <v>365883</v>
      </c>
      <c r="D15" s="441">
        <v>324162</v>
      </c>
      <c r="E15" s="441">
        <v>151721.76</v>
      </c>
      <c r="F15" s="442">
        <v>151721.76</v>
      </c>
      <c r="G15" s="857" t="s">
        <v>806</v>
      </c>
      <c r="H15" s="858"/>
      <c r="I15" s="859"/>
      <c r="N15" s="349"/>
    </row>
    <row r="16" spans="1:14" s="334" customFormat="1" ht="11.25" x14ac:dyDescent="0.2">
      <c r="A16" s="440" t="s">
        <v>191</v>
      </c>
      <c r="B16" s="441">
        <v>6800.77</v>
      </c>
      <c r="C16" s="441">
        <v>30000</v>
      </c>
      <c r="D16" s="441">
        <v>0</v>
      </c>
      <c r="E16" s="441">
        <v>36800.769999999997</v>
      </c>
      <c r="F16" s="442">
        <v>36800.769999999997</v>
      </c>
      <c r="G16" s="857" t="s">
        <v>805</v>
      </c>
      <c r="H16" s="858"/>
      <c r="I16" s="859"/>
    </row>
    <row r="17" spans="1:9" s="334" customFormat="1" ht="11.25" x14ac:dyDescent="0.2">
      <c r="A17" s="443" t="s">
        <v>193</v>
      </c>
      <c r="B17" s="444">
        <v>170924.12</v>
      </c>
      <c r="C17" s="444">
        <v>184464</v>
      </c>
      <c r="D17" s="444">
        <v>173707</v>
      </c>
      <c r="E17" s="444">
        <v>182081.12</v>
      </c>
      <c r="F17" s="445">
        <v>174551.12</v>
      </c>
      <c r="G17" s="992" t="s">
        <v>807</v>
      </c>
      <c r="H17" s="993"/>
      <c r="I17" s="994"/>
    </row>
    <row r="18" spans="1:9" s="334" customFormat="1" ht="11.25" x14ac:dyDescent="0.2">
      <c r="A18" s="353" t="s">
        <v>90</v>
      </c>
      <c r="B18" s="354">
        <f>SUM(B14:B17)</f>
        <v>332372.56999999995</v>
      </c>
      <c r="C18" s="354">
        <f t="shared" ref="C18:F18" si="0">SUM(C14:C17)</f>
        <v>736397.84</v>
      </c>
      <c r="D18" s="354">
        <f t="shared" si="0"/>
        <v>497869</v>
      </c>
      <c r="E18" s="354">
        <f t="shared" si="0"/>
        <v>571301.41</v>
      </c>
      <c r="F18" s="354">
        <f t="shared" si="0"/>
        <v>563771.41</v>
      </c>
      <c r="G18" s="910"/>
      <c r="H18" s="910"/>
      <c r="I18" s="910"/>
    </row>
    <row r="19" spans="1:9" s="355" customFormat="1" ht="11.25" x14ac:dyDescent="0.2">
      <c r="C19" s="356"/>
    </row>
    <row r="20" spans="1:9" s="340" customFormat="1" ht="11.25" x14ac:dyDescent="0.2">
      <c r="A20" s="861" t="s">
        <v>129</v>
      </c>
      <c r="B20" s="861"/>
      <c r="C20" s="861"/>
      <c r="D20" s="861"/>
      <c r="E20" s="861"/>
      <c r="F20" s="861"/>
      <c r="G20" s="861"/>
      <c r="H20" s="861"/>
      <c r="I20" s="861"/>
    </row>
    <row r="21" spans="1:9" s="334" customFormat="1" ht="11.25" x14ac:dyDescent="0.2">
      <c r="C21" s="339"/>
    </row>
    <row r="22" spans="1:9" s="334" customFormat="1" ht="11.25" x14ac:dyDescent="0.2">
      <c r="A22" s="335" t="s">
        <v>130</v>
      </c>
      <c r="B22" s="335" t="s">
        <v>16</v>
      </c>
      <c r="C22" s="357" t="s">
        <v>131</v>
      </c>
      <c r="D22" s="902" t="s">
        <v>132</v>
      </c>
      <c r="E22" s="902"/>
      <c r="F22" s="902"/>
      <c r="G22" s="902"/>
      <c r="H22" s="902"/>
      <c r="I22" s="902"/>
    </row>
    <row r="23" spans="1:9" s="334" customFormat="1" ht="11.25" customHeight="1" x14ac:dyDescent="0.2">
      <c r="A23" s="894" t="s">
        <v>381</v>
      </c>
      <c r="B23" s="358">
        <v>0</v>
      </c>
      <c r="C23" s="368">
        <v>9999</v>
      </c>
      <c r="D23" s="897" t="s">
        <v>714</v>
      </c>
      <c r="E23" s="898"/>
      <c r="F23" s="898"/>
      <c r="G23" s="898"/>
      <c r="H23" s="898"/>
      <c r="I23" s="899"/>
    </row>
    <row r="24" spans="1:9" s="334" customFormat="1" ht="11.25" customHeight="1" x14ac:dyDescent="0.2">
      <c r="A24" s="895"/>
      <c r="B24" s="362">
        <v>0</v>
      </c>
      <c r="C24" s="456">
        <v>9999</v>
      </c>
      <c r="D24" s="885" t="s">
        <v>714</v>
      </c>
      <c r="E24" s="886"/>
      <c r="F24" s="886"/>
      <c r="G24" s="886"/>
      <c r="H24" s="886"/>
      <c r="I24" s="887"/>
    </row>
    <row r="25" spans="1:9" s="334" customFormat="1" ht="11.25" customHeight="1" x14ac:dyDescent="0.2">
      <c r="A25" s="896"/>
      <c r="B25" s="362">
        <v>0</v>
      </c>
      <c r="C25" s="362" t="s">
        <v>279</v>
      </c>
      <c r="D25" s="885" t="s">
        <v>714</v>
      </c>
      <c r="E25" s="886"/>
      <c r="F25" s="886"/>
      <c r="G25" s="886"/>
      <c r="H25" s="886"/>
      <c r="I25" s="887"/>
    </row>
    <row r="26" spans="1:9" s="334" customFormat="1" ht="11.25" customHeight="1" x14ac:dyDescent="0.2">
      <c r="A26" s="895" t="s">
        <v>713</v>
      </c>
      <c r="B26" s="360">
        <v>0</v>
      </c>
      <c r="C26" s="579">
        <v>9999</v>
      </c>
      <c r="D26" s="885" t="s">
        <v>714</v>
      </c>
      <c r="E26" s="886"/>
      <c r="F26" s="886"/>
      <c r="G26" s="886"/>
      <c r="H26" s="886"/>
      <c r="I26" s="887"/>
    </row>
    <row r="27" spans="1:9" s="334" customFormat="1" ht="11.25" customHeight="1" x14ac:dyDescent="0.2">
      <c r="A27" s="895"/>
      <c r="B27" s="362">
        <v>0</v>
      </c>
      <c r="C27" s="456">
        <v>9999</v>
      </c>
      <c r="D27" s="885" t="s">
        <v>714</v>
      </c>
      <c r="E27" s="886"/>
      <c r="F27" s="886"/>
      <c r="G27" s="886"/>
      <c r="H27" s="886"/>
      <c r="I27" s="887"/>
    </row>
    <row r="28" spans="1:9" s="334" customFormat="1" ht="11.25" customHeight="1" x14ac:dyDescent="0.2">
      <c r="A28" s="896"/>
      <c r="B28" s="362">
        <v>0</v>
      </c>
      <c r="C28" s="362" t="s">
        <v>279</v>
      </c>
      <c r="D28" s="885" t="s">
        <v>714</v>
      </c>
      <c r="E28" s="886"/>
      <c r="F28" s="886"/>
      <c r="G28" s="886"/>
      <c r="H28" s="886"/>
      <c r="I28" s="887"/>
    </row>
    <row r="29" spans="1:9" s="334" customFormat="1" ht="11.25" customHeight="1" x14ac:dyDescent="0.2">
      <c r="A29" s="883" t="s">
        <v>404</v>
      </c>
      <c r="B29" s="360">
        <v>0</v>
      </c>
      <c r="C29" s="579">
        <v>9999</v>
      </c>
      <c r="D29" s="885" t="s">
        <v>714</v>
      </c>
      <c r="E29" s="886"/>
      <c r="F29" s="886"/>
      <c r="G29" s="886"/>
      <c r="H29" s="886"/>
      <c r="I29" s="887"/>
    </row>
    <row r="30" spans="1:9" s="334" customFormat="1" ht="11.25" customHeight="1" x14ac:dyDescent="0.2">
      <c r="A30" s="884"/>
      <c r="B30" s="362">
        <v>0</v>
      </c>
      <c r="C30" s="456">
        <v>9999</v>
      </c>
      <c r="D30" s="885" t="s">
        <v>714</v>
      </c>
      <c r="E30" s="886"/>
      <c r="F30" s="886"/>
      <c r="G30" s="886"/>
      <c r="H30" s="886"/>
      <c r="I30" s="887"/>
    </row>
    <row r="31" spans="1:9" s="338" customFormat="1" ht="11.25" x14ac:dyDescent="0.2">
      <c r="A31" s="365" t="s">
        <v>90</v>
      </c>
      <c r="B31" s="366">
        <f>SUM(B23:B30)</f>
        <v>0</v>
      </c>
      <c r="C31" s="900"/>
      <c r="D31" s="900"/>
      <c r="E31" s="900"/>
      <c r="F31" s="900"/>
      <c r="G31" s="900"/>
      <c r="H31" s="900"/>
      <c r="I31" s="901"/>
    </row>
    <row r="32" spans="1:9" s="355" customFormat="1" ht="11.25" x14ac:dyDescent="0.2">
      <c r="C32" s="356"/>
    </row>
    <row r="33" spans="1:9" s="340" customFormat="1" ht="11.25" x14ac:dyDescent="0.2">
      <c r="A33" s="861" t="s">
        <v>140</v>
      </c>
      <c r="B33" s="861"/>
      <c r="C33" s="861"/>
      <c r="D33" s="861"/>
      <c r="E33" s="861"/>
      <c r="F33" s="861"/>
      <c r="G33" s="861"/>
      <c r="H33" s="861"/>
      <c r="I33" s="861"/>
    </row>
    <row r="34" spans="1:9" s="334" customFormat="1" ht="11.25" x14ac:dyDescent="0.2">
      <c r="C34" s="339"/>
    </row>
    <row r="35" spans="1:9" s="334" customFormat="1" ht="11.25" x14ac:dyDescent="0.2">
      <c r="A35" s="335" t="s">
        <v>130</v>
      </c>
      <c r="B35" s="335" t="s">
        <v>16</v>
      </c>
      <c r="C35" s="357" t="s">
        <v>131</v>
      </c>
      <c r="D35" s="902" t="s">
        <v>141</v>
      </c>
      <c r="E35" s="902"/>
      <c r="F35" s="902"/>
      <c r="G35" s="902"/>
      <c r="H35" s="902"/>
      <c r="I35" s="903"/>
    </row>
    <row r="36" spans="1:9" s="334" customFormat="1" ht="11.25" customHeight="1" x14ac:dyDescent="0.2">
      <c r="A36" s="894" t="s">
        <v>382</v>
      </c>
      <c r="B36" s="358">
        <v>0</v>
      </c>
      <c r="C36" s="368">
        <v>9999</v>
      </c>
      <c r="D36" s="897" t="s">
        <v>278</v>
      </c>
      <c r="E36" s="898"/>
      <c r="F36" s="898"/>
      <c r="G36" s="898"/>
      <c r="H36" s="898"/>
      <c r="I36" s="899"/>
    </row>
    <row r="37" spans="1:9" s="334" customFormat="1" ht="11.25" customHeight="1" x14ac:dyDescent="0.2">
      <c r="A37" s="895"/>
      <c r="B37" s="362">
        <v>0</v>
      </c>
      <c r="C37" s="456">
        <v>9999</v>
      </c>
      <c r="D37" s="885" t="s">
        <v>278</v>
      </c>
      <c r="E37" s="886"/>
      <c r="F37" s="886"/>
      <c r="G37" s="886"/>
      <c r="H37" s="886"/>
      <c r="I37" s="887"/>
    </row>
    <row r="38" spans="1:9" s="334" customFormat="1" ht="11.25" customHeight="1" x14ac:dyDescent="0.2">
      <c r="A38" s="896"/>
      <c r="B38" s="362">
        <v>0</v>
      </c>
      <c r="C38" s="362" t="s">
        <v>279</v>
      </c>
      <c r="D38" s="885" t="s">
        <v>278</v>
      </c>
      <c r="E38" s="886"/>
      <c r="F38" s="886"/>
      <c r="G38" s="886"/>
      <c r="H38" s="886"/>
      <c r="I38" s="887"/>
    </row>
    <row r="39" spans="1:9" s="334" customFormat="1" ht="11.25" customHeight="1" x14ac:dyDescent="0.2">
      <c r="A39" s="895" t="s">
        <v>713</v>
      </c>
      <c r="B39" s="360">
        <v>0</v>
      </c>
      <c r="C39" s="579">
        <v>9999</v>
      </c>
      <c r="D39" s="885" t="s">
        <v>278</v>
      </c>
      <c r="E39" s="886"/>
      <c r="F39" s="886"/>
      <c r="G39" s="886"/>
      <c r="H39" s="886"/>
      <c r="I39" s="887"/>
    </row>
    <row r="40" spans="1:9" s="334" customFormat="1" ht="11.25" customHeight="1" x14ac:dyDescent="0.2">
      <c r="A40" s="895"/>
      <c r="B40" s="362">
        <v>0</v>
      </c>
      <c r="C40" s="456">
        <v>9999</v>
      </c>
      <c r="D40" s="885" t="s">
        <v>278</v>
      </c>
      <c r="E40" s="886"/>
      <c r="F40" s="886"/>
      <c r="G40" s="886"/>
      <c r="H40" s="886"/>
      <c r="I40" s="887"/>
    </row>
    <row r="41" spans="1:9" s="334" customFormat="1" ht="11.25" customHeight="1" x14ac:dyDescent="0.2">
      <c r="A41" s="896"/>
      <c r="B41" s="362">
        <v>0</v>
      </c>
      <c r="C41" s="362" t="s">
        <v>279</v>
      </c>
      <c r="D41" s="885" t="s">
        <v>278</v>
      </c>
      <c r="E41" s="886"/>
      <c r="F41" s="886"/>
      <c r="G41" s="886"/>
      <c r="H41" s="886"/>
      <c r="I41" s="887"/>
    </row>
    <row r="42" spans="1:9" s="334" customFormat="1" ht="11.25" customHeight="1" x14ac:dyDescent="0.2">
      <c r="A42" s="883" t="s">
        <v>279</v>
      </c>
      <c r="B42" s="360">
        <v>0</v>
      </c>
      <c r="C42" s="579">
        <v>9999</v>
      </c>
      <c r="D42" s="885" t="s">
        <v>278</v>
      </c>
      <c r="E42" s="886"/>
      <c r="F42" s="886"/>
      <c r="G42" s="886"/>
      <c r="H42" s="886"/>
      <c r="I42" s="887"/>
    </row>
    <row r="43" spans="1:9" s="334" customFormat="1" ht="11.25" customHeight="1" x14ac:dyDescent="0.2">
      <c r="A43" s="884"/>
      <c r="B43" s="362">
        <v>0</v>
      </c>
      <c r="C43" s="456">
        <v>9999</v>
      </c>
      <c r="D43" s="888" t="s">
        <v>278</v>
      </c>
      <c r="E43" s="889"/>
      <c r="F43" s="889"/>
      <c r="G43" s="889"/>
      <c r="H43" s="889"/>
      <c r="I43" s="890"/>
    </row>
    <row r="44" spans="1:9" s="338" customFormat="1" ht="10.5" x14ac:dyDescent="0.15">
      <c r="A44" s="365" t="s">
        <v>90</v>
      </c>
      <c r="B44" s="366">
        <f>SUM(B36:B43)</f>
        <v>0</v>
      </c>
      <c r="C44" s="891"/>
      <c r="D44" s="891"/>
      <c r="E44" s="891"/>
      <c r="F44" s="891"/>
      <c r="G44" s="891"/>
      <c r="H44" s="891"/>
      <c r="I44" s="891"/>
    </row>
    <row r="45" spans="1:9" s="334" customFormat="1" ht="11.25" x14ac:dyDescent="0.2">
      <c r="C45" s="339"/>
    </row>
    <row r="46" spans="1:9" s="340" customFormat="1" ht="11.25" x14ac:dyDescent="0.2">
      <c r="A46" s="861" t="s">
        <v>143</v>
      </c>
      <c r="B46" s="861"/>
      <c r="C46" s="861"/>
      <c r="D46" s="861"/>
      <c r="E46" s="861"/>
      <c r="F46" s="861"/>
      <c r="G46" s="861"/>
      <c r="H46" s="861"/>
      <c r="I46" s="861"/>
    </row>
    <row r="47" spans="1:9" s="334" customFormat="1" ht="11.25" x14ac:dyDescent="0.2">
      <c r="C47" s="369"/>
    </row>
    <row r="48" spans="1:9" s="334" customFormat="1" ht="11.25" x14ac:dyDescent="0.2">
      <c r="A48" s="335" t="s">
        <v>144</v>
      </c>
      <c r="B48" s="357" t="s">
        <v>145</v>
      </c>
      <c r="C48" s="892" t="s">
        <v>146</v>
      </c>
      <c r="D48" s="892"/>
      <c r="E48" s="892"/>
      <c r="F48" s="892"/>
      <c r="G48" s="892"/>
      <c r="H48" s="892"/>
      <c r="I48" s="893"/>
    </row>
    <row r="49" spans="1:9" s="334" customFormat="1" ht="22.5" x14ac:dyDescent="0.2">
      <c r="A49" s="370" t="s">
        <v>808</v>
      </c>
      <c r="B49" s="370">
        <v>0</v>
      </c>
      <c r="C49" s="876" t="s">
        <v>809</v>
      </c>
      <c r="D49" s="876"/>
      <c r="E49" s="876"/>
      <c r="F49" s="876"/>
      <c r="G49" s="876"/>
      <c r="H49" s="876"/>
      <c r="I49" s="876"/>
    </row>
    <row r="50" spans="1:9" s="334" customFormat="1" ht="11.25" x14ac:dyDescent="0.2">
      <c r="A50" s="462">
        <v>0</v>
      </c>
      <c r="B50" s="462">
        <v>0</v>
      </c>
      <c r="C50" s="877" t="s">
        <v>810</v>
      </c>
      <c r="D50" s="877"/>
      <c r="E50" s="877"/>
      <c r="F50" s="877"/>
      <c r="G50" s="877"/>
      <c r="H50" s="877"/>
      <c r="I50" s="877"/>
    </row>
    <row r="51" spans="1:9" s="338" customFormat="1" ht="10.5" x14ac:dyDescent="0.15">
      <c r="A51" s="371">
        <f>SUM(A49:A50)</f>
        <v>0</v>
      </c>
      <c r="B51" s="371">
        <f>SUM(B49:B50)</f>
        <v>0</v>
      </c>
      <c r="C51" s="878" t="s">
        <v>90</v>
      </c>
      <c r="D51" s="879"/>
      <c r="E51" s="879"/>
      <c r="F51" s="879"/>
      <c r="G51" s="879"/>
      <c r="H51" s="879"/>
      <c r="I51" s="880"/>
    </row>
    <row r="52" spans="1:9" s="334" customFormat="1" ht="11.25" x14ac:dyDescent="0.2">
      <c r="C52" s="369"/>
    </row>
    <row r="53" spans="1:9" s="334" customFormat="1" ht="11.25" x14ac:dyDescent="0.2">
      <c r="A53" s="861" t="s">
        <v>148</v>
      </c>
      <c r="B53" s="865"/>
      <c r="C53" s="865"/>
      <c r="D53" s="865"/>
      <c r="E53" s="865"/>
      <c r="F53" s="865"/>
      <c r="G53" s="865"/>
      <c r="H53" s="865"/>
      <c r="I53" s="865"/>
    </row>
    <row r="54" spans="1:9" s="334" customFormat="1" ht="11.25" x14ac:dyDescent="0.2">
      <c r="C54" s="369"/>
    </row>
    <row r="55" spans="1:9" s="373" customFormat="1" ht="31.5" x14ac:dyDescent="0.25">
      <c r="A55" s="866" t="s">
        <v>149</v>
      </c>
      <c r="B55" s="867"/>
      <c r="C55" s="372" t="s">
        <v>150</v>
      </c>
      <c r="D55" s="372" t="s">
        <v>151</v>
      </c>
      <c r="E55" s="372" t="s">
        <v>152</v>
      </c>
      <c r="F55" s="372" t="s">
        <v>153</v>
      </c>
      <c r="G55" s="372" t="s">
        <v>154</v>
      </c>
    </row>
    <row r="56" spans="1:9" s="334" customFormat="1" ht="11.25" x14ac:dyDescent="0.2">
      <c r="A56" s="868" t="s">
        <v>811</v>
      </c>
      <c r="B56" s="869"/>
      <c r="C56" s="388" t="s">
        <v>812</v>
      </c>
      <c r="D56" s="389">
        <v>195000</v>
      </c>
      <c r="E56" s="389">
        <v>0</v>
      </c>
      <c r="F56" s="838">
        <v>42822</v>
      </c>
      <c r="G56" s="838">
        <v>42822</v>
      </c>
    </row>
    <row r="57" spans="1:9" s="334" customFormat="1" ht="11.25" x14ac:dyDescent="0.2">
      <c r="A57" s="1274" t="s">
        <v>813</v>
      </c>
      <c r="B57" s="1275"/>
      <c r="C57" s="605" t="s">
        <v>814</v>
      </c>
      <c r="D57" s="606">
        <v>0</v>
      </c>
      <c r="E57" s="606">
        <v>195000</v>
      </c>
      <c r="F57" s="839">
        <v>42822</v>
      </c>
      <c r="G57" s="839" t="s">
        <v>815</v>
      </c>
    </row>
    <row r="58" spans="1:9" s="334" customFormat="1" ht="11.25" x14ac:dyDescent="0.2">
      <c r="A58" s="1276" t="s">
        <v>816</v>
      </c>
      <c r="B58" s="1277"/>
      <c r="C58" s="605" t="s">
        <v>817</v>
      </c>
      <c r="D58" s="606"/>
      <c r="E58" s="606">
        <v>-32000</v>
      </c>
      <c r="F58" s="839">
        <v>42907</v>
      </c>
      <c r="G58" s="839">
        <v>42907</v>
      </c>
    </row>
    <row r="59" spans="1:9" s="334" customFormat="1" ht="11.25" x14ac:dyDescent="0.2">
      <c r="A59" s="870"/>
      <c r="B59" s="871"/>
      <c r="C59" s="433" t="s">
        <v>587</v>
      </c>
      <c r="D59" s="434">
        <v>0</v>
      </c>
      <c r="E59" s="434">
        <v>32000</v>
      </c>
      <c r="F59" s="840">
        <v>42907</v>
      </c>
      <c r="G59" s="840">
        <v>42907</v>
      </c>
    </row>
    <row r="60" spans="1:9" s="334" customFormat="1" ht="11.25" x14ac:dyDescent="0.2">
      <c r="A60" s="872" t="s">
        <v>169</v>
      </c>
      <c r="B60" s="873"/>
      <c r="C60" s="387"/>
      <c r="D60" s="354">
        <f>SUM(D56:D59)</f>
        <v>195000</v>
      </c>
      <c r="E60" s="354">
        <f>SUM(E56:E59)</f>
        <v>195000</v>
      </c>
      <c r="F60" s="881"/>
      <c r="G60" s="882"/>
    </row>
    <row r="61" spans="1:9" s="334" customFormat="1" ht="11.25" x14ac:dyDescent="0.2">
      <c r="C61" s="369"/>
    </row>
    <row r="62" spans="1:9" s="334" customFormat="1" ht="11.25" x14ac:dyDescent="0.2">
      <c r="A62" s="865" t="s">
        <v>327</v>
      </c>
      <c r="B62" s="865"/>
      <c r="C62" s="865"/>
      <c r="D62" s="865"/>
      <c r="E62" s="865"/>
      <c r="F62" s="865"/>
      <c r="G62" s="865"/>
      <c r="H62" s="865"/>
      <c r="I62" s="865"/>
    </row>
    <row r="63" spans="1:9" s="334" customFormat="1" ht="11.25" x14ac:dyDescent="0.2">
      <c r="C63" s="369"/>
    </row>
    <row r="64" spans="1:9" s="373" customFormat="1" ht="31.5" x14ac:dyDescent="0.25">
      <c r="A64" s="866" t="s">
        <v>149</v>
      </c>
      <c r="B64" s="867"/>
      <c r="C64" s="372" t="s">
        <v>150</v>
      </c>
      <c r="D64" s="372" t="s">
        <v>151</v>
      </c>
      <c r="E64" s="372" t="s">
        <v>152</v>
      </c>
      <c r="F64" s="372" t="s">
        <v>153</v>
      </c>
      <c r="G64" s="372" t="s">
        <v>154</v>
      </c>
    </row>
    <row r="65" spans="1:9" s="334" customFormat="1" ht="11.25" customHeight="1" x14ac:dyDescent="0.2">
      <c r="A65" s="868" t="s">
        <v>818</v>
      </c>
      <c r="B65" s="869"/>
      <c r="C65" s="388" t="s">
        <v>526</v>
      </c>
      <c r="D65" s="389">
        <v>0</v>
      </c>
      <c r="E65" s="389">
        <v>0</v>
      </c>
      <c r="F65" s="390" t="s">
        <v>527</v>
      </c>
      <c r="G65" s="390" t="s">
        <v>527</v>
      </c>
    </row>
    <row r="66" spans="1:9" s="334" customFormat="1" ht="11.25" customHeight="1" x14ac:dyDescent="0.2">
      <c r="A66" s="870"/>
      <c r="B66" s="871"/>
      <c r="C66" s="433" t="s">
        <v>526</v>
      </c>
      <c r="D66" s="434">
        <v>0</v>
      </c>
      <c r="E66" s="434">
        <v>0</v>
      </c>
      <c r="F66" s="435" t="s">
        <v>527</v>
      </c>
      <c r="G66" s="435" t="s">
        <v>527</v>
      </c>
    </row>
    <row r="67" spans="1:9" s="334" customFormat="1" ht="11.25" x14ac:dyDescent="0.2">
      <c r="A67" s="872" t="s">
        <v>169</v>
      </c>
      <c r="B67" s="873"/>
      <c r="C67" s="387"/>
      <c r="D67" s="354">
        <f>SUM(D65:D66)</f>
        <v>0</v>
      </c>
      <c r="E67" s="354">
        <f>SUM(E65:E66)</f>
        <v>0</v>
      </c>
      <c r="F67" s="874"/>
      <c r="G67" s="875"/>
    </row>
    <row r="68" spans="1:9" s="334" customFormat="1" ht="11.25" x14ac:dyDescent="0.2">
      <c r="C68" s="369"/>
    </row>
    <row r="69" spans="1:9" s="340" customFormat="1" ht="11.25" x14ac:dyDescent="0.2">
      <c r="A69" s="860" t="s">
        <v>172</v>
      </c>
      <c r="B69" s="860"/>
      <c r="C69" s="860"/>
      <c r="D69" s="860"/>
      <c r="E69" s="860"/>
      <c r="F69" s="860"/>
      <c r="G69" s="860"/>
      <c r="H69" s="860"/>
      <c r="I69" s="860"/>
    </row>
    <row r="70" spans="1:9" s="1270" customFormat="1" ht="11.25" x14ac:dyDescent="0.2">
      <c r="A70" s="1270" t="s">
        <v>819</v>
      </c>
    </row>
    <row r="71" spans="1:9" s="844" customFormat="1" ht="11.25" x14ac:dyDescent="0.2">
      <c r="A71" s="841"/>
      <c r="B71" s="842"/>
      <c r="C71" s="842"/>
      <c r="D71" s="842"/>
      <c r="E71" s="842"/>
      <c r="F71" s="842"/>
      <c r="G71" s="842"/>
      <c r="H71" s="842"/>
      <c r="I71" s="843"/>
    </row>
    <row r="72" spans="1:9" s="334" customFormat="1" ht="11.25" x14ac:dyDescent="0.2">
      <c r="A72" s="857"/>
      <c r="B72" s="858"/>
      <c r="C72" s="858"/>
      <c r="D72" s="858"/>
      <c r="E72" s="858"/>
      <c r="F72" s="858"/>
      <c r="G72" s="858"/>
      <c r="H72" s="858"/>
      <c r="I72" s="859"/>
    </row>
    <row r="73" spans="1:9" s="334" customFormat="1" ht="11.25" x14ac:dyDescent="0.2">
      <c r="A73" s="857"/>
      <c r="B73" s="858"/>
      <c r="C73" s="858"/>
      <c r="D73" s="858"/>
      <c r="E73" s="858"/>
      <c r="F73" s="858"/>
      <c r="G73" s="858"/>
      <c r="H73" s="858"/>
      <c r="I73" s="859"/>
    </row>
    <row r="74" spans="1:9" s="334" customFormat="1" ht="11.25" x14ac:dyDescent="0.2"/>
    <row r="75" spans="1:9" s="333" customFormat="1" ht="10.5" x14ac:dyDescent="0.15">
      <c r="A75" s="861" t="s">
        <v>175</v>
      </c>
      <c r="B75" s="861"/>
      <c r="C75" s="861"/>
      <c r="D75" s="861"/>
      <c r="E75" s="861"/>
      <c r="F75" s="861"/>
      <c r="G75" s="861"/>
      <c r="H75" s="861"/>
      <c r="I75" s="861"/>
    </row>
    <row r="76" spans="1:9" s="334" customFormat="1" ht="11.25" x14ac:dyDescent="0.2"/>
    <row r="77" spans="1:9" s="334" customFormat="1" ht="33.75" customHeight="1" x14ac:dyDescent="0.2">
      <c r="A77" s="862" t="s">
        <v>820</v>
      </c>
      <c r="B77" s="863"/>
      <c r="C77" s="863"/>
      <c r="D77" s="863"/>
      <c r="E77" s="863"/>
      <c r="F77" s="863"/>
      <c r="G77" s="863"/>
      <c r="H77" s="863"/>
      <c r="I77" s="864"/>
    </row>
    <row r="78" spans="1:9" s="1273" customFormat="1" ht="15" customHeight="1" x14ac:dyDescent="0.2">
      <c r="A78" s="1271"/>
      <c r="B78" s="1272"/>
      <c r="C78" s="1272"/>
      <c r="D78" s="1272"/>
      <c r="E78" s="1272"/>
      <c r="F78" s="1272"/>
      <c r="G78" s="1272"/>
      <c r="H78" s="1272"/>
      <c r="I78" s="1272"/>
    </row>
    <row r="79" spans="1:9" s="334" customFormat="1" ht="11.25" x14ac:dyDescent="0.2">
      <c r="A79" s="857"/>
      <c r="B79" s="858"/>
      <c r="C79" s="858"/>
      <c r="D79" s="858"/>
      <c r="E79" s="858"/>
      <c r="F79" s="858"/>
      <c r="G79" s="858"/>
      <c r="H79" s="858"/>
      <c r="I79" s="859"/>
    </row>
    <row r="81" spans="1:1" ht="18.75" x14ac:dyDescent="0.3">
      <c r="A81" s="391"/>
    </row>
    <row r="82" spans="1:1" ht="18.75" x14ac:dyDescent="0.3">
      <c r="A82" s="391"/>
    </row>
  </sheetData>
  <mergeCells count="72">
    <mergeCell ref="D7:I7"/>
    <mergeCell ref="A1:I1"/>
    <mergeCell ref="A3:I3"/>
    <mergeCell ref="A5:B5"/>
    <mergeCell ref="D5:I5"/>
    <mergeCell ref="A6:B6"/>
    <mergeCell ref="A20:I20"/>
    <mergeCell ref="A8:B8"/>
    <mergeCell ref="D8:I8"/>
    <mergeCell ref="A9:B9"/>
    <mergeCell ref="D9:I9"/>
    <mergeCell ref="A11:I11"/>
    <mergeCell ref="G13:I13"/>
    <mergeCell ref="G14:I14"/>
    <mergeCell ref="G15:I15"/>
    <mergeCell ref="G16:I16"/>
    <mergeCell ref="G17:I17"/>
    <mergeCell ref="G18:I18"/>
    <mergeCell ref="D35:I35"/>
    <mergeCell ref="D22:I22"/>
    <mergeCell ref="A23:A25"/>
    <mergeCell ref="D23:I23"/>
    <mergeCell ref="D24:I24"/>
    <mergeCell ref="D25:I25"/>
    <mergeCell ref="A26:A28"/>
    <mergeCell ref="D26:I26"/>
    <mergeCell ref="D27:I27"/>
    <mergeCell ref="D28:I28"/>
    <mergeCell ref="A29:A30"/>
    <mergeCell ref="D29:I29"/>
    <mergeCell ref="D30:I30"/>
    <mergeCell ref="C31:I31"/>
    <mergeCell ref="A33:I33"/>
    <mergeCell ref="A36:A38"/>
    <mergeCell ref="D36:I36"/>
    <mergeCell ref="D37:I37"/>
    <mergeCell ref="D38:I38"/>
    <mergeCell ref="A39:A41"/>
    <mergeCell ref="D39:I39"/>
    <mergeCell ref="D40:I40"/>
    <mergeCell ref="D41:I41"/>
    <mergeCell ref="A56:B56"/>
    <mergeCell ref="A42:A43"/>
    <mergeCell ref="D42:I42"/>
    <mergeCell ref="D43:I43"/>
    <mergeCell ref="C44:I44"/>
    <mergeCell ref="A46:I46"/>
    <mergeCell ref="C48:I48"/>
    <mergeCell ref="C49:I49"/>
    <mergeCell ref="C50:I50"/>
    <mergeCell ref="C51:I51"/>
    <mergeCell ref="A53:I53"/>
    <mergeCell ref="A55:B55"/>
    <mergeCell ref="A69:I69"/>
    <mergeCell ref="A57:B57"/>
    <mergeCell ref="A58:B58"/>
    <mergeCell ref="A59:B59"/>
    <mergeCell ref="A60:B60"/>
    <mergeCell ref="F60:G60"/>
    <mergeCell ref="A62:I62"/>
    <mergeCell ref="A64:B64"/>
    <mergeCell ref="A65:B65"/>
    <mergeCell ref="A66:B66"/>
    <mergeCell ref="A67:B67"/>
    <mergeCell ref="F67:G67"/>
    <mergeCell ref="A79:I79"/>
    <mergeCell ref="A70:XFD70"/>
    <mergeCell ref="A72:I72"/>
    <mergeCell ref="A73:I73"/>
    <mergeCell ref="A75:I75"/>
    <mergeCell ref="A77:I77"/>
    <mergeCell ref="A78:XFD78"/>
  </mergeCells>
  <pageMargins left="0.70866141732283472" right="0.70866141732283472" top="0.78740157480314965" bottom="0.78740157480314965" header="0.31496062992125984" footer="0.31496062992125984"/>
  <pageSetup paperSize="9" scale="61" firstPageNumber="90" fitToHeight="3" orientation="portrait" useFirstPageNumber="1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88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1284"/>
      <c r="J3" s="1285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1284"/>
      <c r="T3" s="1285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1282" t="s">
        <v>10</v>
      </c>
      <c r="J4" s="1283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1282" t="s">
        <v>10</v>
      </c>
      <c r="T4" s="1283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1282"/>
      <c r="J5" s="1283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1282"/>
      <c r="T5" s="1283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20413110</v>
      </c>
      <c r="F6" s="8">
        <f>SUM(F7:F9)</f>
        <v>21417960</v>
      </c>
      <c r="G6" s="8">
        <f>SUM(G7:G9)</f>
        <v>9958274.540000001</v>
      </c>
      <c r="H6" s="9">
        <f t="shared" ref="H6:H36" si="0">G6/F6*100</f>
        <v>46.494972163548724</v>
      </c>
      <c r="I6" s="108">
        <f>SUM(I7:I9)</f>
        <v>9592198</v>
      </c>
      <c r="J6" s="109">
        <f>SUM(J7:J9)</f>
        <v>12146610</v>
      </c>
      <c r="K6" s="8">
        <f t="shared" ref="K6:X6" si="1">SUM(K7:K9)</f>
        <v>12976560</v>
      </c>
      <c r="L6" s="8">
        <f t="shared" si="1"/>
        <v>5814761.1699999999</v>
      </c>
      <c r="M6" s="9">
        <f t="shared" ref="M6:M29" si="2">L6/K6*100</f>
        <v>44.809727462439966</v>
      </c>
      <c r="N6" s="8">
        <f t="shared" si="1"/>
        <v>5122679</v>
      </c>
      <c r="O6" s="8">
        <f t="shared" si="1"/>
        <v>8266500</v>
      </c>
      <c r="P6" s="8">
        <f t="shared" si="1"/>
        <v>8441400</v>
      </c>
      <c r="Q6" s="8">
        <f t="shared" si="1"/>
        <v>4143513.37</v>
      </c>
      <c r="R6" s="9">
        <f t="shared" ref="R6:R20" si="3">Q6/P6*100</f>
        <v>49.085618143909784</v>
      </c>
      <c r="S6" s="108">
        <f t="shared" si="1"/>
        <v>4469519</v>
      </c>
      <c r="T6" s="109">
        <f t="shared" si="1"/>
        <v>1479350</v>
      </c>
      <c r="U6" s="8">
        <f t="shared" si="1"/>
        <v>1479350</v>
      </c>
      <c r="V6" s="8">
        <f t="shared" si="1"/>
        <v>758499</v>
      </c>
      <c r="W6" s="9">
        <f t="shared" ref="W6:W33" si="4">V6/U6*100</f>
        <v>51.272450738500019</v>
      </c>
      <c r="X6" s="8">
        <f t="shared" si="1"/>
        <v>880965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10">
        <f t="shared" ref="E7:G10" si="5">SUM(J7,O7)</f>
        <v>3560000</v>
      </c>
      <c r="F7" s="110">
        <f t="shared" si="5"/>
        <v>3601800</v>
      </c>
      <c r="G7" s="110">
        <f t="shared" si="5"/>
        <v>1281114</v>
      </c>
      <c r="H7" s="111">
        <f t="shared" si="0"/>
        <v>35.568715642178908</v>
      </c>
      <c r="I7" s="112">
        <f>SUM(N7,S7)</f>
        <v>1291831</v>
      </c>
      <c r="J7" s="113">
        <v>3560000</v>
      </c>
      <c r="K7" s="114">
        <f>J7+4700+37100</f>
        <v>3601800</v>
      </c>
      <c r="L7" s="114">
        <f>1141504+61785+4700+37100+13825+2200</f>
        <v>1261114</v>
      </c>
      <c r="M7" s="111">
        <f t="shared" si="2"/>
        <v>35.013437725581653</v>
      </c>
      <c r="N7" s="114">
        <v>1242430</v>
      </c>
      <c r="O7" s="114"/>
      <c r="P7" s="114"/>
      <c r="Q7" s="114">
        <v>20000</v>
      </c>
      <c r="R7" s="111">
        <v>0</v>
      </c>
      <c r="S7" s="115">
        <v>49401</v>
      </c>
      <c r="T7" s="116">
        <v>1479350</v>
      </c>
      <c r="U7" s="114">
        <f>T7</f>
        <v>1479350</v>
      </c>
      <c r="V7" s="114">
        <v>758499</v>
      </c>
      <c r="W7" s="111">
        <f t="shared" si="4"/>
        <v>51.272450738500019</v>
      </c>
      <c r="X7" s="114">
        <v>880965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10">
        <f t="shared" si="5"/>
        <v>5000</v>
      </c>
      <c r="F8" s="110">
        <f t="shared" si="5"/>
        <v>5000</v>
      </c>
      <c r="G8" s="110">
        <f t="shared" si="5"/>
        <v>124.17</v>
      </c>
      <c r="H8" s="111">
        <f t="shared" si="0"/>
        <v>2.4834000000000001</v>
      </c>
      <c r="I8" s="112">
        <f>SUM(N8,S8)</f>
        <v>1304</v>
      </c>
      <c r="J8" s="117">
        <v>5000</v>
      </c>
      <c r="K8" s="114">
        <f t="shared" ref="K8" si="6">J8</f>
        <v>5000</v>
      </c>
      <c r="L8" s="110">
        <f>124.17</f>
        <v>124.17</v>
      </c>
      <c r="M8" s="111">
        <f t="shared" si="2"/>
        <v>2.4834000000000001</v>
      </c>
      <c r="N8" s="110">
        <v>1304</v>
      </c>
      <c r="O8" s="110"/>
      <c r="P8" s="110"/>
      <c r="Q8" s="110"/>
      <c r="R8" s="111">
        <v>0</v>
      </c>
      <c r="S8" s="112"/>
      <c r="T8" s="118"/>
      <c r="U8" s="110"/>
      <c r="V8" s="110"/>
      <c r="W8" s="111">
        <v>0</v>
      </c>
      <c r="X8" s="110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10">
        <f t="shared" si="5"/>
        <v>16848110</v>
      </c>
      <c r="F9" s="110">
        <f t="shared" si="5"/>
        <v>17811160</v>
      </c>
      <c r="G9" s="110">
        <f t="shared" si="5"/>
        <v>8677036.370000001</v>
      </c>
      <c r="H9" s="111">
        <f t="shared" si="0"/>
        <v>48.716851513320869</v>
      </c>
      <c r="I9" s="112">
        <f>SUM(N9,S9)</f>
        <v>8299063</v>
      </c>
      <c r="J9" s="117">
        <v>8581610</v>
      </c>
      <c r="K9" s="114">
        <f>J9+788150</f>
        <v>9369760</v>
      </c>
      <c r="L9" s="110">
        <v>4553523</v>
      </c>
      <c r="M9" s="111">
        <f t="shared" si="2"/>
        <v>48.598075084100337</v>
      </c>
      <c r="N9" s="110">
        <v>3878945</v>
      </c>
      <c r="O9" s="110">
        <f>8024500+242000</f>
        <v>8266500</v>
      </c>
      <c r="P9" s="110">
        <f>O9+174900</f>
        <v>8441400</v>
      </c>
      <c r="Q9" s="110">
        <v>4123513.37</v>
      </c>
      <c r="R9" s="111">
        <f t="shared" si="3"/>
        <v>48.848690620039328</v>
      </c>
      <c r="S9" s="112">
        <v>4420118</v>
      </c>
      <c r="T9" s="118"/>
      <c r="U9" s="110"/>
      <c r="V9" s="110"/>
      <c r="W9" s="111">
        <v>0</v>
      </c>
      <c r="X9" s="110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5"/>
        <v>0</v>
      </c>
      <c r="F10" s="18">
        <f t="shared" si="5"/>
        <v>0</v>
      </c>
      <c r="G10" s="18">
        <f t="shared" si="5"/>
        <v>0</v>
      </c>
      <c r="H10" s="9">
        <v>0</v>
      </c>
      <c r="I10" s="119">
        <f>SUM(N10,S10)</f>
        <v>0</v>
      </c>
      <c r="J10" s="120"/>
      <c r="K10" s="18"/>
      <c r="L10" s="18"/>
      <c r="M10" s="9">
        <v>0</v>
      </c>
      <c r="N10" s="18"/>
      <c r="O10" s="18"/>
      <c r="P10" s="18"/>
      <c r="Q10" s="18"/>
      <c r="R10" s="9">
        <v>0</v>
      </c>
      <c r="S10" s="119"/>
      <c r="T10" s="121"/>
      <c r="U10" s="18"/>
      <c r="V10" s="18"/>
      <c r="W10" s="9">
        <v>0</v>
      </c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20413110</v>
      </c>
      <c r="F11" s="8">
        <f>SUM(F12:F31)</f>
        <v>21417960</v>
      </c>
      <c r="G11" s="8">
        <f>SUM(G12:G31)</f>
        <v>9438803.25</v>
      </c>
      <c r="H11" s="9">
        <f t="shared" si="0"/>
        <v>44.069571751931555</v>
      </c>
      <c r="I11" s="108">
        <f>SUM(I12:I31)</f>
        <v>9753996</v>
      </c>
      <c r="J11" s="109">
        <f>SUM(J12:J31)</f>
        <v>12146610</v>
      </c>
      <c r="K11" s="8">
        <f>SUM(K12:K31)</f>
        <v>12976560</v>
      </c>
      <c r="L11" s="8">
        <f>SUM(L12:L31)</f>
        <v>5200819.88</v>
      </c>
      <c r="M11" s="9">
        <f t="shared" si="2"/>
        <v>40.078571516642313</v>
      </c>
      <c r="N11" s="8">
        <f>SUM(N12:N31)</f>
        <v>5262104</v>
      </c>
      <c r="O11" s="8">
        <f>SUM(O12:O31)</f>
        <v>8266500</v>
      </c>
      <c r="P11" s="8">
        <f>SUM(P12:P31)</f>
        <v>8441400</v>
      </c>
      <c r="Q11" s="8">
        <f>SUM(Q12:Q31)</f>
        <v>4237983.37</v>
      </c>
      <c r="R11" s="9">
        <f t="shared" si="3"/>
        <v>50.204745302911832</v>
      </c>
      <c r="S11" s="108">
        <f>SUM(S12:S31)</f>
        <v>4491892</v>
      </c>
      <c r="T11" s="109">
        <f>SUM(T12:T31)</f>
        <v>1307215</v>
      </c>
      <c r="U11" s="8">
        <f>SUM(U12:U31)</f>
        <v>1307215</v>
      </c>
      <c r="V11" s="8">
        <f>SUM(V12:V31)</f>
        <v>758307.09</v>
      </c>
      <c r="W11" s="9">
        <f t="shared" si="4"/>
        <v>58.009362652662332</v>
      </c>
      <c r="X11" s="8">
        <f>SUM(X12:X31)</f>
        <v>654414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10">
        <f t="shared" ref="E12:I29" si="7">SUM(J12,O12)</f>
        <v>1591655</v>
      </c>
      <c r="F12" s="110">
        <f t="shared" si="7"/>
        <v>1591655</v>
      </c>
      <c r="G12" s="110">
        <f t="shared" si="7"/>
        <v>601822.59000000008</v>
      </c>
      <c r="H12" s="111">
        <f t="shared" si="0"/>
        <v>37.811120500359699</v>
      </c>
      <c r="I12" s="112">
        <f t="shared" si="7"/>
        <v>788456</v>
      </c>
      <c r="J12" s="122">
        <v>1381155</v>
      </c>
      <c r="K12" s="123">
        <f>J12</f>
        <v>1381155</v>
      </c>
      <c r="L12" s="123">
        <v>499864.59</v>
      </c>
      <c r="M12" s="111">
        <f t="shared" si="2"/>
        <v>36.19178079216308</v>
      </c>
      <c r="N12" s="124">
        <v>667005</v>
      </c>
      <c r="O12" s="124">
        <f>80500+130000</f>
        <v>210500</v>
      </c>
      <c r="P12" s="123">
        <f>O12</f>
        <v>210500</v>
      </c>
      <c r="Q12" s="123">
        <v>101958</v>
      </c>
      <c r="R12" s="111">
        <f t="shared" si="3"/>
        <v>48.43610451306413</v>
      </c>
      <c r="S12" s="125">
        <v>121451</v>
      </c>
      <c r="T12" s="126">
        <v>67540</v>
      </c>
      <c r="U12" s="123">
        <f>T12</f>
        <v>67540</v>
      </c>
      <c r="V12" s="123">
        <v>21935.06</v>
      </c>
      <c r="W12" s="111">
        <f t="shared" si="4"/>
        <v>32.477139472904945</v>
      </c>
      <c r="X12" s="124">
        <v>38115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10">
        <f t="shared" si="7"/>
        <v>1999000</v>
      </c>
      <c r="F13" s="110">
        <f t="shared" si="7"/>
        <v>1999000</v>
      </c>
      <c r="G13" s="110">
        <f t="shared" si="7"/>
        <v>1013596.58</v>
      </c>
      <c r="H13" s="111">
        <f t="shared" si="0"/>
        <v>50.705181590795398</v>
      </c>
      <c r="I13" s="112">
        <f t="shared" si="7"/>
        <v>1182019</v>
      </c>
      <c r="J13" s="122">
        <v>1999000</v>
      </c>
      <c r="K13" s="123">
        <f t="shared" ref="K13:K29" si="8">J13</f>
        <v>1999000</v>
      </c>
      <c r="L13" s="110">
        <v>1013596.58</v>
      </c>
      <c r="M13" s="111">
        <f t="shared" si="2"/>
        <v>50.705181590795398</v>
      </c>
      <c r="N13" s="110">
        <v>1182019</v>
      </c>
      <c r="O13" s="110"/>
      <c r="P13" s="123"/>
      <c r="Q13" s="110"/>
      <c r="R13" s="111"/>
      <c r="S13" s="112"/>
      <c r="T13" s="118">
        <v>301850</v>
      </c>
      <c r="U13" s="123">
        <f t="shared" ref="U13:U29" si="9">T13</f>
        <v>301850</v>
      </c>
      <c r="V13" s="110">
        <v>176194.62</v>
      </c>
      <c r="W13" s="111">
        <f t="shared" si="4"/>
        <v>58.371581911545469</v>
      </c>
      <c r="X13" s="110">
        <v>186206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10">
        <f t="shared" si="7"/>
        <v>0</v>
      </c>
      <c r="F14" s="110">
        <f t="shared" si="7"/>
        <v>0</v>
      </c>
      <c r="G14" s="110">
        <f t="shared" si="7"/>
        <v>0</v>
      </c>
      <c r="H14" s="111">
        <v>0</v>
      </c>
      <c r="I14" s="112">
        <f t="shared" si="7"/>
        <v>0</v>
      </c>
      <c r="J14" s="122"/>
      <c r="K14" s="123"/>
      <c r="L14" s="110"/>
      <c r="M14" s="111"/>
      <c r="N14" s="110"/>
      <c r="O14" s="110"/>
      <c r="P14" s="123"/>
      <c r="Q14" s="110"/>
      <c r="R14" s="111"/>
      <c r="S14" s="112"/>
      <c r="T14" s="118"/>
      <c r="U14" s="123"/>
      <c r="V14" s="110"/>
      <c r="W14" s="111"/>
      <c r="X14" s="110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10">
        <f t="shared" si="7"/>
        <v>310000</v>
      </c>
      <c r="F15" s="110">
        <f t="shared" si="7"/>
        <v>310000</v>
      </c>
      <c r="G15" s="110">
        <f t="shared" si="7"/>
        <v>77085.509999999995</v>
      </c>
      <c r="H15" s="111">
        <f t="shared" si="0"/>
        <v>24.866293548387095</v>
      </c>
      <c r="I15" s="112">
        <f t="shared" si="7"/>
        <v>105946</v>
      </c>
      <c r="J15" s="122">
        <v>310000</v>
      </c>
      <c r="K15" s="123">
        <f t="shared" si="8"/>
        <v>310000</v>
      </c>
      <c r="L15" s="110">
        <v>77085.509999999995</v>
      </c>
      <c r="M15" s="111">
        <f t="shared" si="2"/>
        <v>24.866293548387095</v>
      </c>
      <c r="N15" s="110">
        <v>105946</v>
      </c>
      <c r="O15" s="110"/>
      <c r="P15" s="123"/>
      <c r="Q15" s="110"/>
      <c r="R15" s="111"/>
      <c r="S15" s="112"/>
      <c r="T15" s="118">
        <v>49350</v>
      </c>
      <c r="U15" s="123">
        <f t="shared" si="9"/>
        <v>49350</v>
      </c>
      <c r="V15" s="110">
        <v>6869.85</v>
      </c>
      <c r="W15" s="111">
        <f t="shared" si="4"/>
        <v>13.920668693009119</v>
      </c>
      <c r="X15" s="110">
        <v>13514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10">
        <f t="shared" si="7"/>
        <v>30000</v>
      </c>
      <c r="F16" s="110">
        <f t="shared" si="7"/>
        <v>30000</v>
      </c>
      <c r="G16" s="110">
        <f t="shared" si="7"/>
        <v>6009</v>
      </c>
      <c r="H16" s="111">
        <f t="shared" si="0"/>
        <v>20.03</v>
      </c>
      <c r="I16" s="112">
        <f t="shared" si="7"/>
        <v>26610</v>
      </c>
      <c r="J16" s="122">
        <v>30000</v>
      </c>
      <c r="K16" s="123">
        <f t="shared" si="8"/>
        <v>30000</v>
      </c>
      <c r="L16" s="110">
        <v>6009</v>
      </c>
      <c r="M16" s="111">
        <f t="shared" si="2"/>
        <v>20.03</v>
      </c>
      <c r="N16" s="110">
        <v>25518</v>
      </c>
      <c r="O16" s="110"/>
      <c r="P16" s="123"/>
      <c r="Q16" s="110"/>
      <c r="R16" s="111"/>
      <c r="S16" s="112">
        <v>1092</v>
      </c>
      <c r="T16" s="118"/>
      <c r="U16" s="123"/>
      <c r="V16" s="110"/>
      <c r="W16" s="111"/>
      <c r="X16" s="110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10">
        <f t="shared" si="7"/>
        <v>2000</v>
      </c>
      <c r="F17" s="110">
        <f t="shared" si="7"/>
        <v>2000</v>
      </c>
      <c r="G17" s="110">
        <f t="shared" si="7"/>
        <v>687</v>
      </c>
      <c r="H17" s="111">
        <f t="shared" si="0"/>
        <v>34.35</v>
      </c>
      <c r="I17" s="112">
        <f t="shared" si="7"/>
        <v>494</v>
      </c>
      <c r="J17" s="122">
        <v>2000</v>
      </c>
      <c r="K17" s="123">
        <f t="shared" si="8"/>
        <v>2000</v>
      </c>
      <c r="L17" s="110">
        <v>687</v>
      </c>
      <c r="M17" s="111">
        <f t="shared" si="2"/>
        <v>34.35</v>
      </c>
      <c r="N17" s="110">
        <v>494</v>
      </c>
      <c r="O17" s="110"/>
      <c r="P17" s="123"/>
      <c r="Q17" s="110"/>
      <c r="R17" s="111"/>
      <c r="S17" s="112"/>
      <c r="T17" s="118"/>
      <c r="U17" s="123"/>
      <c r="V17" s="110"/>
      <c r="W17" s="111"/>
      <c r="X17" s="110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10">
        <f t="shared" si="7"/>
        <v>3078050</v>
      </c>
      <c r="F18" s="110">
        <f t="shared" si="7"/>
        <v>3078550</v>
      </c>
      <c r="G18" s="110">
        <f t="shared" si="7"/>
        <v>897434.76</v>
      </c>
      <c r="H18" s="111">
        <f t="shared" si="0"/>
        <v>29.151215994542884</v>
      </c>
      <c r="I18" s="112">
        <f t="shared" si="7"/>
        <v>1059848</v>
      </c>
      <c r="J18" s="122">
        <v>3078050</v>
      </c>
      <c r="K18" s="123">
        <f>J18+500</f>
        <v>3078550</v>
      </c>
      <c r="L18" s="110">
        <v>867109.76</v>
      </c>
      <c r="M18" s="111">
        <f t="shared" si="2"/>
        <v>28.1661743353202</v>
      </c>
      <c r="N18" s="110">
        <v>1029739</v>
      </c>
      <c r="O18" s="110"/>
      <c r="P18" s="123"/>
      <c r="Q18" s="110">
        <v>30325</v>
      </c>
      <c r="R18" s="111">
        <v>0</v>
      </c>
      <c r="S18" s="112">
        <v>30109</v>
      </c>
      <c r="T18" s="118">
        <v>54430</v>
      </c>
      <c r="U18" s="123">
        <f t="shared" si="9"/>
        <v>54430</v>
      </c>
      <c r="V18" s="110">
        <v>27854.37</v>
      </c>
      <c r="W18" s="111">
        <f t="shared" si="4"/>
        <v>51.174664706963071</v>
      </c>
      <c r="X18" s="110">
        <v>19922</v>
      </c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10">
        <f t="shared" si="7"/>
        <v>8480540</v>
      </c>
      <c r="F19" s="110">
        <f t="shared" si="7"/>
        <v>9239340</v>
      </c>
      <c r="G19" s="110">
        <f t="shared" si="7"/>
        <v>4395946</v>
      </c>
      <c r="H19" s="111">
        <f t="shared" si="0"/>
        <v>47.578571629575272</v>
      </c>
      <c r="I19" s="112">
        <f t="shared" si="7"/>
        <v>4259909</v>
      </c>
      <c r="J19" s="127">
        <f>1667440+850000</f>
        <v>2517440</v>
      </c>
      <c r="K19" s="123">
        <f>J19+535500+57600+37100</f>
        <v>3147640</v>
      </c>
      <c r="L19" s="110">
        <v>1277922</v>
      </c>
      <c r="M19" s="111">
        <f t="shared" si="2"/>
        <v>40.59936968649528</v>
      </c>
      <c r="N19" s="110">
        <v>941063</v>
      </c>
      <c r="O19" s="110">
        <f>5176100+675000+112000</f>
        <v>5963100</v>
      </c>
      <c r="P19" s="123">
        <f>O19+128600</f>
        <v>6091700</v>
      </c>
      <c r="Q19" s="110">
        <v>3118024</v>
      </c>
      <c r="R19" s="111">
        <f t="shared" si="3"/>
        <v>51.184792422476491</v>
      </c>
      <c r="S19" s="112">
        <v>3318846</v>
      </c>
      <c r="T19" s="128">
        <v>371860</v>
      </c>
      <c r="U19" s="123">
        <f t="shared" si="9"/>
        <v>371860</v>
      </c>
      <c r="V19" s="129">
        <v>257819</v>
      </c>
      <c r="W19" s="111">
        <f t="shared" si="4"/>
        <v>69.332275587586722</v>
      </c>
      <c r="X19" s="129">
        <v>178248</v>
      </c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10">
        <f t="shared" si="7"/>
        <v>2665920</v>
      </c>
      <c r="F20" s="110">
        <f t="shared" si="7"/>
        <v>2896560</v>
      </c>
      <c r="G20" s="110">
        <f t="shared" si="7"/>
        <v>1302329.29</v>
      </c>
      <c r="H20" s="111">
        <f t="shared" si="0"/>
        <v>44.961239884552711</v>
      </c>
      <c r="I20" s="112">
        <f t="shared" si="7"/>
        <v>1236640</v>
      </c>
      <c r="J20" s="122">
        <v>573020</v>
      </c>
      <c r="K20" s="123">
        <f>J20+133890+48200+2250</f>
        <v>757360</v>
      </c>
      <c r="L20" s="110">
        <f>388824+5617.56</f>
        <v>394441.56</v>
      </c>
      <c r="M20" s="111">
        <f t="shared" si="2"/>
        <v>52.081118622583709</v>
      </c>
      <c r="N20" s="110">
        <v>252535</v>
      </c>
      <c r="O20" s="110">
        <v>2092900</v>
      </c>
      <c r="P20" s="123">
        <f>O20+46300</f>
        <v>2139200</v>
      </c>
      <c r="Q20" s="110">
        <f>897614+10273.73</f>
        <v>907887.73</v>
      </c>
      <c r="R20" s="111">
        <f t="shared" si="3"/>
        <v>42.440525897531792</v>
      </c>
      <c r="S20" s="112">
        <v>984105</v>
      </c>
      <c r="T20" s="118">
        <v>124275</v>
      </c>
      <c r="U20" s="123">
        <f t="shared" si="9"/>
        <v>124275</v>
      </c>
      <c r="V20" s="110">
        <f>87659+1082.81</f>
        <v>88741.81</v>
      </c>
      <c r="W20" s="111">
        <f t="shared" si="4"/>
        <v>71.407612150472744</v>
      </c>
      <c r="X20" s="110">
        <v>61456</v>
      </c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10">
        <f t="shared" si="7"/>
        <v>112395</v>
      </c>
      <c r="F21" s="110">
        <f t="shared" si="7"/>
        <v>123105</v>
      </c>
      <c r="G21" s="110">
        <f t="shared" si="7"/>
        <v>110893.51999999999</v>
      </c>
      <c r="H21" s="111">
        <f t="shared" si="0"/>
        <v>90.080435400674205</v>
      </c>
      <c r="I21" s="112">
        <f t="shared" si="7"/>
        <v>87496</v>
      </c>
      <c r="J21" s="122">
        <v>112395</v>
      </c>
      <c r="K21" s="123">
        <f>J21+10710</f>
        <v>123105</v>
      </c>
      <c r="L21" s="110">
        <v>62549.88</v>
      </c>
      <c r="M21" s="111">
        <f t="shared" si="2"/>
        <v>50.810186426221513</v>
      </c>
      <c r="N21" s="110">
        <v>51207</v>
      </c>
      <c r="O21" s="110"/>
      <c r="P21" s="123"/>
      <c r="Q21" s="110">
        <v>48343.64</v>
      </c>
      <c r="R21" s="111">
        <v>0</v>
      </c>
      <c r="S21" s="112">
        <v>36289</v>
      </c>
      <c r="T21" s="118">
        <v>5890</v>
      </c>
      <c r="U21" s="123">
        <f t="shared" si="9"/>
        <v>5890</v>
      </c>
      <c r="V21" s="110">
        <v>5156.38</v>
      </c>
      <c r="W21" s="111">
        <f t="shared" si="4"/>
        <v>87.544651952461805</v>
      </c>
      <c r="X21" s="110">
        <v>2449</v>
      </c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10">
        <f t="shared" si="7"/>
        <v>4500</v>
      </c>
      <c r="F22" s="110">
        <f t="shared" si="7"/>
        <v>4500</v>
      </c>
      <c r="G22" s="110">
        <f t="shared" si="7"/>
        <v>160</v>
      </c>
      <c r="H22" s="111">
        <f t="shared" si="0"/>
        <v>3.5555555555555554</v>
      </c>
      <c r="I22" s="112">
        <f t="shared" si="7"/>
        <v>4629</v>
      </c>
      <c r="J22" s="122">
        <v>4500</v>
      </c>
      <c r="K22" s="123">
        <f t="shared" si="8"/>
        <v>4500</v>
      </c>
      <c r="L22" s="110">
        <v>160</v>
      </c>
      <c r="M22" s="111">
        <f t="shared" si="2"/>
        <v>3.5555555555555554</v>
      </c>
      <c r="N22" s="110">
        <v>4629</v>
      </c>
      <c r="O22" s="110"/>
      <c r="P22" s="123"/>
      <c r="Q22" s="110"/>
      <c r="R22" s="111"/>
      <c r="S22" s="112"/>
      <c r="T22" s="118">
        <v>6500</v>
      </c>
      <c r="U22" s="123">
        <f t="shared" si="9"/>
        <v>6500</v>
      </c>
      <c r="V22" s="110"/>
      <c r="W22" s="111">
        <f t="shared" si="4"/>
        <v>0</v>
      </c>
      <c r="X22" s="110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10">
        <f t="shared" si="7"/>
        <v>0</v>
      </c>
      <c r="F23" s="110">
        <f t="shared" si="7"/>
        <v>0</v>
      </c>
      <c r="G23" s="110">
        <f t="shared" si="7"/>
        <v>0</v>
      </c>
      <c r="H23" s="111">
        <v>0</v>
      </c>
      <c r="I23" s="112">
        <f t="shared" si="7"/>
        <v>20000</v>
      </c>
      <c r="J23" s="122"/>
      <c r="K23" s="123"/>
      <c r="L23" s="110"/>
      <c r="M23" s="111">
        <v>0</v>
      </c>
      <c r="N23" s="110">
        <v>20000</v>
      </c>
      <c r="O23" s="110"/>
      <c r="P23" s="123"/>
      <c r="Q23" s="110"/>
      <c r="R23" s="111"/>
      <c r="S23" s="112"/>
      <c r="T23" s="118"/>
      <c r="U23" s="123"/>
      <c r="V23" s="110"/>
      <c r="W23" s="111"/>
      <c r="X23" s="110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10">
        <f t="shared" si="7"/>
        <v>0</v>
      </c>
      <c r="F24" s="110">
        <f t="shared" si="7"/>
        <v>0</v>
      </c>
      <c r="G24" s="110">
        <f t="shared" si="7"/>
        <v>0</v>
      </c>
      <c r="H24" s="111">
        <v>0</v>
      </c>
      <c r="I24" s="112">
        <f t="shared" si="7"/>
        <v>0</v>
      </c>
      <c r="J24" s="122"/>
      <c r="K24" s="123"/>
      <c r="L24" s="110"/>
      <c r="M24" s="111"/>
      <c r="N24" s="110"/>
      <c r="O24" s="110"/>
      <c r="P24" s="123"/>
      <c r="Q24" s="110"/>
      <c r="R24" s="111"/>
      <c r="S24" s="112"/>
      <c r="T24" s="118"/>
      <c r="U24" s="123"/>
      <c r="V24" s="110"/>
      <c r="W24" s="111"/>
      <c r="X24" s="110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10">
        <f t="shared" si="7"/>
        <v>0</v>
      </c>
      <c r="F25" s="110">
        <f t="shared" si="7"/>
        <v>4200</v>
      </c>
      <c r="G25" s="110">
        <f t="shared" si="7"/>
        <v>4200</v>
      </c>
      <c r="H25" s="111">
        <f t="shared" ref="H25" si="10">G25/F25*100</f>
        <v>100</v>
      </c>
      <c r="I25" s="112">
        <f t="shared" si="7"/>
        <v>4400</v>
      </c>
      <c r="J25" s="122"/>
      <c r="K25" s="123">
        <v>4200</v>
      </c>
      <c r="L25" s="123">
        <v>4200</v>
      </c>
      <c r="M25" s="111">
        <f t="shared" ref="M25" si="11">L25/K25*100</f>
        <v>100</v>
      </c>
      <c r="N25" s="124">
        <v>4400</v>
      </c>
      <c r="O25" s="123"/>
      <c r="P25" s="123"/>
      <c r="Q25" s="123"/>
      <c r="R25" s="111"/>
      <c r="S25" s="125"/>
      <c r="T25" s="126"/>
      <c r="U25" s="123"/>
      <c r="V25" s="123"/>
      <c r="W25" s="111"/>
      <c r="X25" s="123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10">
        <f t="shared" si="7"/>
        <v>1902050</v>
      </c>
      <c r="F26" s="110">
        <f t="shared" si="7"/>
        <v>1902050</v>
      </c>
      <c r="G26" s="110">
        <f t="shared" si="7"/>
        <v>931187.75</v>
      </c>
      <c r="H26" s="111">
        <f>G26/F26*100</f>
        <v>48.957059488446674</v>
      </c>
      <c r="I26" s="112">
        <f>SUM(N26,S26)</f>
        <v>923855</v>
      </c>
      <c r="J26" s="122">
        <v>1902050</v>
      </c>
      <c r="K26" s="123">
        <f t="shared" si="8"/>
        <v>1902050</v>
      </c>
      <c r="L26" s="124">
        <v>931187.75</v>
      </c>
      <c r="M26" s="111">
        <f>L26/K26*100</f>
        <v>48.957059488446674</v>
      </c>
      <c r="N26" s="124">
        <v>923855</v>
      </c>
      <c r="O26" s="124"/>
      <c r="P26" s="123"/>
      <c r="Q26" s="124"/>
      <c r="R26" s="111"/>
      <c r="S26" s="130"/>
      <c r="T26" s="131">
        <v>284220</v>
      </c>
      <c r="U26" s="123">
        <f t="shared" si="9"/>
        <v>284220</v>
      </c>
      <c r="V26" s="110">
        <v>164327.25</v>
      </c>
      <c r="W26" s="111">
        <f>V26/U26*100</f>
        <v>57.816919991555835</v>
      </c>
      <c r="X26" s="132">
        <v>147902</v>
      </c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10">
        <f t="shared" si="7"/>
        <v>0</v>
      </c>
      <c r="F27" s="110">
        <f t="shared" si="7"/>
        <v>0</v>
      </c>
      <c r="G27" s="110">
        <f t="shared" si="7"/>
        <v>0</v>
      </c>
      <c r="H27" s="111">
        <v>0</v>
      </c>
      <c r="I27" s="112">
        <f t="shared" si="7"/>
        <v>594</v>
      </c>
      <c r="J27" s="122"/>
      <c r="K27" s="123"/>
      <c r="L27" s="124"/>
      <c r="M27" s="111">
        <v>0</v>
      </c>
      <c r="N27" s="110">
        <v>594</v>
      </c>
      <c r="O27" s="124"/>
      <c r="P27" s="123"/>
      <c r="Q27" s="124"/>
      <c r="R27" s="111"/>
      <c r="S27" s="130"/>
      <c r="T27" s="131"/>
      <c r="U27" s="123"/>
      <c r="V27" s="132"/>
      <c r="W27" s="111"/>
      <c r="X27" s="132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10">
        <f>SUM(J28,O28)</f>
        <v>90000</v>
      </c>
      <c r="F28" s="110">
        <f>SUM(K28,P28)</f>
        <v>90000</v>
      </c>
      <c r="G28" s="110">
        <f>SUM(L28,Q28)</f>
        <v>39935</v>
      </c>
      <c r="H28" s="111">
        <f>G28/F28*100</f>
        <v>44.372222222222227</v>
      </c>
      <c r="I28" s="112">
        <f>SUM(N28,S28)</f>
        <v>29553</v>
      </c>
      <c r="J28" s="122">
        <v>90000</v>
      </c>
      <c r="K28" s="123">
        <f t="shared" si="8"/>
        <v>90000</v>
      </c>
      <c r="L28" s="124">
        <v>8490</v>
      </c>
      <c r="M28" s="111">
        <f>L28/K28*100</f>
        <v>9.4333333333333336</v>
      </c>
      <c r="N28" s="110">
        <v>29553</v>
      </c>
      <c r="O28" s="124"/>
      <c r="P28" s="123"/>
      <c r="Q28" s="124">
        <v>31445</v>
      </c>
      <c r="R28" s="111">
        <v>0</v>
      </c>
      <c r="S28" s="130"/>
      <c r="T28" s="131">
        <v>20000</v>
      </c>
      <c r="U28" s="123">
        <f t="shared" si="9"/>
        <v>20000</v>
      </c>
      <c r="V28" s="132"/>
      <c r="W28" s="111">
        <f>V28/U28*100</f>
        <v>0</v>
      </c>
      <c r="X28" s="132">
        <v>3507</v>
      </c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10">
        <f t="shared" si="7"/>
        <v>147000</v>
      </c>
      <c r="F29" s="110">
        <f t="shared" si="7"/>
        <v>147000</v>
      </c>
      <c r="G29" s="110">
        <f t="shared" si="7"/>
        <v>57516.25</v>
      </c>
      <c r="H29" s="111">
        <f t="shared" si="0"/>
        <v>39.126700680272108</v>
      </c>
      <c r="I29" s="112">
        <f t="shared" si="7"/>
        <v>23547</v>
      </c>
      <c r="J29" s="122">
        <v>147000</v>
      </c>
      <c r="K29" s="123">
        <f t="shared" si="8"/>
        <v>147000</v>
      </c>
      <c r="L29" s="124">
        <v>57516.25</v>
      </c>
      <c r="M29" s="111">
        <f t="shared" si="2"/>
        <v>39.126700680272108</v>
      </c>
      <c r="N29" s="124">
        <v>23547</v>
      </c>
      <c r="O29" s="124"/>
      <c r="P29" s="123"/>
      <c r="Q29" s="124"/>
      <c r="R29" s="111"/>
      <c r="S29" s="130"/>
      <c r="T29" s="131">
        <v>21300</v>
      </c>
      <c r="U29" s="123">
        <f t="shared" si="9"/>
        <v>21300</v>
      </c>
      <c r="V29" s="110">
        <v>9408.75</v>
      </c>
      <c r="W29" s="111">
        <f t="shared" si="4"/>
        <v>44.172535211267608</v>
      </c>
      <c r="X29" s="132">
        <v>3095</v>
      </c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10">
        <f t="shared" ref="E30:G31" si="12">SUM(J30,O30)</f>
        <v>0</v>
      </c>
      <c r="F30" s="110">
        <f t="shared" si="12"/>
        <v>0</v>
      </c>
      <c r="G30" s="110">
        <f t="shared" si="12"/>
        <v>0</v>
      </c>
      <c r="H30" s="111">
        <v>0</v>
      </c>
      <c r="I30" s="112">
        <f>SUM(N30,S30)</f>
        <v>0</v>
      </c>
      <c r="J30" s="122"/>
      <c r="K30" s="123"/>
      <c r="L30" s="124"/>
      <c r="M30" s="111"/>
      <c r="N30" s="124"/>
      <c r="O30" s="124"/>
      <c r="P30" s="123"/>
      <c r="Q30" s="124"/>
      <c r="R30" s="111"/>
      <c r="S30" s="130"/>
      <c r="T30" s="133"/>
      <c r="U30" s="123"/>
      <c r="V30" s="132"/>
      <c r="W30" s="111"/>
      <c r="X30" s="132"/>
    </row>
    <row r="31" spans="1:24" s="31" customFormat="1" x14ac:dyDescent="0.2">
      <c r="A31" s="10" t="s">
        <v>65</v>
      </c>
      <c r="B31" s="16" t="s">
        <v>66</v>
      </c>
      <c r="C31" s="16"/>
      <c r="D31" s="11" t="s">
        <v>16</v>
      </c>
      <c r="E31" s="110">
        <f t="shared" si="12"/>
        <v>0</v>
      </c>
      <c r="F31" s="110">
        <f t="shared" si="12"/>
        <v>0</v>
      </c>
      <c r="G31" s="110">
        <f t="shared" si="12"/>
        <v>0</v>
      </c>
      <c r="H31" s="111">
        <v>0</v>
      </c>
      <c r="I31" s="112">
        <f>SUM(N31,S31)</f>
        <v>0</v>
      </c>
      <c r="J31" s="122"/>
      <c r="K31" s="123"/>
      <c r="L31" s="134"/>
      <c r="M31" s="111"/>
      <c r="N31" s="134"/>
      <c r="O31" s="134"/>
      <c r="P31" s="123"/>
      <c r="Q31" s="134"/>
      <c r="R31" s="111"/>
      <c r="S31" s="135"/>
      <c r="T31" s="136"/>
      <c r="U31" s="123"/>
      <c r="V31" s="137"/>
      <c r="W31" s="111"/>
      <c r="X31" s="137"/>
    </row>
    <row r="32" spans="1:24" s="31" customFormat="1" x14ac:dyDescent="0.2">
      <c r="A32" s="10" t="s">
        <v>67</v>
      </c>
      <c r="B32" s="16" t="s">
        <v>68</v>
      </c>
      <c r="C32" s="16"/>
      <c r="D32" s="11" t="s">
        <v>16</v>
      </c>
      <c r="E32" s="110">
        <f>SUM(J32,O32)</f>
        <v>0</v>
      </c>
      <c r="F32" s="110">
        <f>SUM(K32,P32)</f>
        <v>0</v>
      </c>
      <c r="G32" s="110">
        <f>SUM(L32,Q32)</f>
        <v>0</v>
      </c>
      <c r="H32" s="111">
        <v>0</v>
      </c>
      <c r="I32" s="112">
        <f>SUM(N32,S32)</f>
        <v>0</v>
      </c>
      <c r="J32" s="138"/>
      <c r="K32" s="123"/>
      <c r="L32" s="137"/>
      <c r="M32" s="111"/>
      <c r="N32" s="137"/>
      <c r="O32" s="137"/>
      <c r="P32" s="123"/>
      <c r="Q32" s="137"/>
      <c r="R32" s="111"/>
      <c r="S32" s="139"/>
      <c r="T32" s="136"/>
      <c r="U32" s="123"/>
      <c r="V32" s="137"/>
      <c r="W32" s="111"/>
      <c r="X32" s="137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519471.29000000097</v>
      </c>
      <c r="H33" s="9">
        <v>0</v>
      </c>
      <c r="I33" s="108">
        <f>I6-I11</f>
        <v>-161798</v>
      </c>
      <c r="J33" s="109">
        <f>J6-J11</f>
        <v>0</v>
      </c>
      <c r="K33" s="8">
        <f>K6-K11</f>
        <v>0</v>
      </c>
      <c r="L33" s="8">
        <f>L6-L11</f>
        <v>613941.29</v>
      </c>
      <c r="M33" s="9">
        <v>0</v>
      </c>
      <c r="N33" s="8">
        <f>N6-N11</f>
        <v>-139425</v>
      </c>
      <c r="O33" s="8">
        <f>O6-O11</f>
        <v>0</v>
      </c>
      <c r="P33" s="8">
        <f>P6-P11</f>
        <v>0</v>
      </c>
      <c r="Q33" s="8">
        <f>Q6-Q11</f>
        <v>-94470</v>
      </c>
      <c r="R33" s="9">
        <v>0</v>
      </c>
      <c r="S33" s="108">
        <f>S6-S11</f>
        <v>-22373</v>
      </c>
      <c r="T33" s="109">
        <f>T6-T11</f>
        <v>172135</v>
      </c>
      <c r="U33" s="8">
        <f>U6-U11</f>
        <v>172135</v>
      </c>
      <c r="V33" s="8">
        <f>V6-V11</f>
        <v>191.9100000000326</v>
      </c>
      <c r="W33" s="9">
        <f t="shared" si="4"/>
        <v>0.11148807621926546</v>
      </c>
      <c r="X33" s="8">
        <f>X6-X11</f>
        <v>226551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17450</v>
      </c>
      <c r="F34" s="37">
        <v>18200</v>
      </c>
      <c r="G34" s="37">
        <v>18764</v>
      </c>
      <c r="H34" s="26">
        <f t="shared" si="0"/>
        <v>103.09890109890109</v>
      </c>
      <c r="I34" s="140">
        <v>17127</v>
      </c>
      <c r="J34" s="141"/>
      <c r="K34" s="38"/>
      <c r="L34" s="38"/>
      <c r="M34" s="9"/>
      <c r="N34" s="38"/>
      <c r="O34" s="38"/>
      <c r="P34" s="38"/>
      <c r="Q34" s="38"/>
      <c r="R34" s="9"/>
      <c r="S34" s="142"/>
      <c r="T34" s="141"/>
      <c r="U34" s="38"/>
      <c r="V34" s="38"/>
      <c r="W34" s="9"/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34</v>
      </c>
      <c r="F35" s="37">
        <v>35</v>
      </c>
      <c r="G35" s="37">
        <v>35.625</v>
      </c>
      <c r="H35" s="26">
        <f t="shared" si="0"/>
        <v>101.78571428571428</v>
      </c>
      <c r="I35" s="140">
        <v>33.5</v>
      </c>
      <c r="J35" s="141"/>
      <c r="K35" s="49"/>
      <c r="L35" s="38"/>
      <c r="M35" s="9"/>
      <c r="N35" s="38"/>
      <c r="O35" s="38"/>
      <c r="P35" s="38"/>
      <c r="Q35" s="38"/>
      <c r="R35" s="9"/>
      <c r="S35" s="142"/>
      <c r="T35" s="141"/>
      <c r="U35" s="38"/>
      <c r="V35" s="38"/>
      <c r="W35" s="9"/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37</v>
      </c>
      <c r="F36" s="37">
        <v>38</v>
      </c>
      <c r="G36" s="37">
        <v>40</v>
      </c>
      <c r="H36" s="26">
        <f t="shared" si="0"/>
        <v>105.26315789473684</v>
      </c>
      <c r="I36" s="140">
        <v>37</v>
      </c>
      <c r="J36" s="141"/>
      <c r="K36" s="38"/>
      <c r="L36" s="38"/>
      <c r="M36" s="9"/>
      <c r="N36" s="38"/>
      <c r="O36" s="38"/>
      <c r="P36" s="38"/>
      <c r="Q36" s="38"/>
      <c r="R36" s="9"/>
      <c r="S36" s="142"/>
      <c r="T36" s="141"/>
      <c r="U36" s="38"/>
      <c r="V36" s="38"/>
      <c r="W36" s="9"/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91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5" width="9" style="43" customWidth="1"/>
    <col min="6" max="6" width="9.140625" style="43" customWidth="1"/>
    <col min="7" max="7" width="8" style="43" customWidth="1"/>
    <col min="8" max="8" width="5" style="43" customWidth="1"/>
    <col min="9" max="9" width="8.7109375" style="43" customWidth="1"/>
    <col min="10" max="11" width="8.42578125" style="43" customWidth="1"/>
    <col min="12" max="12" width="8.7109375" style="43" customWidth="1"/>
    <col min="13" max="13" width="6.140625" style="43" customWidth="1"/>
    <col min="14" max="14" width="9.28515625" style="43" customWidth="1"/>
    <col min="15" max="15" width="8.28515625" style="43" customWidth="1"/>
    <col min="16" max="16" width="7.5703125" style="43" customWidth="1"/>
    <col min="17" max="17" width="8.28515625" style="43" customWidth="1"/>
    <col min="18" max="18" width="5" style="43" customWidth="1"/>
    <col min="19" max="19" width="7.85546875" style="43" customWidth="1"/>
    <col min="20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86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11.25" x14ac:dyDescent="0.2">
      <c r="A3" s="927" t="s">
        <v>1</v>
      </c>
      <c r="B3" s="931" t="s">
        <v>2</v>
      </c>
      <c r="C3" s="930"/>
      <c r="D3" s="931" t="s">
        <v>3</v>
      </c>
      <c r="E3" s="932" t="s">
        <v>4</v>
      </c>
      <c r="F3" s="932"/>
      <c r="G3" s="932"/>
      <c r="H3" s="932"/>
      <c r="I3" s="932"/>
      <c r="J3" s="932" t="s">
        <v>5</v>
      </c>
      <c r="K3" s="932"/>
      <c r="L3" s="932"/>
      <c r="M3" s="932"/>
      <c r="N3" s="932"/>
      <c r="O3" s="932" t="s">
        <v>6</v>
      </c>
      <c r="P3" s="932"/>
      <c r="Q3" s="932"/>
      <c r="R3" s="932"/>
      <c r="S3" s="932"/>
      <c r="T3" s="932" t="s">
        <v>7</v>
      </c>
      <c r="U3" s="932"/>
      <c r="V3" s="932"/>
      <c r="W3" s="932"/>
      <c r="X3" s="932"/>
    </row>
    <row r="4" spans="1:24" s="3" customFormat="1" ht="11.25" x14ac:dyDescent="0.2">
      <c r="A4" s="930"/>
      <c r="B4" s="930"/>
      <c r="C4" s="930"/>
      <c r="D4" s="931"/>
      <c r="E4" s="928" t="s">
        <v>8</v>
      </c>
      <c r="F4" s="929" t="s">
        <v>9</v>
      </c>
      <c r="G4" s="929"/>
      <c r="H4" s="929"/>
      <c r="I4" s="927" t="s">
        <v>10</v>
      </c>
      <c r="J4" s="928" t="s">
        <v>8</v>
      </c>
      <c r="K4" s="929" t="s">
        <v>9</v>
      </c>
      <c r="L4" s="929"/>
      <c r="M4" s="929"/>
      <c r="N4" s="927" t="s">
        <v>10</v>
      </c>
      <c r="O4" s="928" t="s">
        <v>8</v>
      </c>
      <c r="P4" s="929" t="s">
        <v>9</v>
      </c>
      <c r="Q4" s="929"/>
      <c r="R4" s="929"/>
      <c r="S4" s="927" t="s">
        <v>10</v>
      </c>
      <c r="T4" s="928" t="s">
        <v>8</v>
      </c>
      <c r="U4" s="929" t="s">
        <v>9</v>
      </c>
      <c r="V4" s="929"/>
      <c r="W4" s="929"/>
      <c r="X4" s="927" t="s">
        <v>10</v>
      </c>
    </row>
    <row r="5" spans="1:24" s="5" customFormat="1" ht="11.25" x14ac:dyDescent="0.2">
      <c r="A5" s="930"/>
      <c r="B5" s="930"/>
      <c r="C5" s="930"/>
      <c r="D5" s="931"/>
      <c r="E5" s="928"/>
      <c r="F5" s="88" t="s">
        <v>11</v>
      </c>
      <c r="G5" s="88" t="s">
        <v>12</v>
      </c>
      <c r="H5" s="88" t="s">
        <v>13</v>
      </c>
      <c r="I5" s="927"/>
      <c r="J5" s="928"/>
      <c r="K5" s="88" t="s">
        <v>11</v>
      </c>
      <c r="L5" s="88" t="s">
        <v>12</v>
      </c>
      <c r="M5" s="88" t="s">
        <v>13</v>
      </c>
      <c r="N5" s="927"/>
      <c r="O5" s="928"/>
      <c r="P5" s="88" t="s">
        <v>11</v>
      </c>
      <c r="Q5" s="88" t="s">
        <v>12</v>
      </c>
      <c r="R5" s="88" t="s">
        <v>13</v>
      </c>
      <c r="S5" s="927"/>
      <c r="T5" s="928"/>
      <c r="U5" s="88" t="s">
        <v>11</v>
      </c>
      <c r="V5" s="88" t="s">
        <v>12</v>
      </c>
      <c r="W5" s="88" t="s">
        <v>13</v>
      </c>
      <c r="X5" s="927"/>
    </row>
    <row r="6" spans="1:24" s="2" customFormat="1" ht="11.25" x14ac:dyDescent="0.2">
      <c r="A6" s="52" t="s">
        <v>14</v>
      </c>
      <c r="B6" s="926" t="s">
        <v>15</v>
      </c>
      <c r="C6" s="926"/>
      <c r="D6" s="53" t="s">
        <v>16</v>
      </c>
      <c r="E6" s="54">
        <f>SUM(E7:E9)</f>
        <v>12894380</v>
      </c>
      <c r="F6" s="54">
        <f>SUM(F7:F9)</f>
        <v>13597380</v>
      </c>
      <c r="G6" s="54">
        <f>SUM(G7:G9)</f>
        <v>7260483</v>
      </c>
      <c r="H6" s="55">
        <f t="shared" ref="H6:H34" si="0">G6/F6*100</f>
        <v>53.396191030919191</v>
      </c>
      <c r="I6" s="54">
        <f>SUM(I7:I9)</f>
        <v>8370823</v>
      </c>
      <c r="J6" s="54">
        <f>SUM(J7:J9)</f>
        <v>3687600</v>
      </c>
      <c r="K6" s="54">
        <f t="shared" ref="K6:X6" si="1">SUM(K7:K9)</f>
        <v>4390600</v>
      </c>
      <c r="L6" s="54">
        <f t="shared" si="1"/>
        <v>2655333</v>
      </c>
      <c r="M6" s="55">
        <f t="shared" ref="M6:M29" si="2">L6/K6*100</f>
        <v>60.477679588211174</v>
      </c>
      <c r="N6" s="54">
        <f t="shared" si="1"/>
        <v>2519023</v>
      </c>
      <c r="O6" s="54">
        <f t="shared" si="1"/>
        <v>9206780</v>
      </c>
      <c r="P6" s="54">
        <f t="shared" si="1"/>
        <v>9206780</v>
      </c>
      <c r="Q6" s="54">
        <f t="shared" si="1"/>
        <v>4605150</v>
      </c>
      <c r="R6" s="55">
        <f t="shared" ref="R6:R21" si="3">Q6/P6*100</f>
        <v>50.019116346866113</v>
      </c>
      <c r="S6" s="54">
        <f t="shared" si="1"/>
        <v>5851800</v>
      </c>
      <c r="T6" s="54">
        <f t="shared" si="1"/>
        <v>0</v>
      </c>
      <c r="U6" s="54">
        <f t="shared" si="1"/>
        <v>0</v>
      </c>
      <c r="V6" s="54">
        <f t="shared" si="1"/>
        <v>0</v>
      </c>
      <c r="W6" s="55">
        <v>0</v>
      </c>
      <c r="X6" s="54">
        <f t="shared" si="1"/>
        <v>0</v>
      </c>
    </row>
    <row r="7" spans="1:24" s="2" customFormat="1" ht="11.25" x14ac:dyDescent="0.2">
      <c r="A7" s="57" t="s">
        <v>17</v>
      </c>
      <c r="B7" s="922" t="s">
        <v>18</v>
      </c>
      <c r="C7" s="922"/>
      <c r="D7" s="58" t="s">
        <v>16</v>
      </c>
      <c r="E7" s="59">
        <f t="shared" ref="E7:G10" si="4">SUM(J7,O7)</f>
        <v>1103600</v>
      </c>
      <c r="F7" s="59">
        <f t="shared" si="4"/>
        <v>1103600</v>
      </c>
      <c r="G7" s="59">
        <f t="shared" si="4"/>
        <v>662333</v>
      </c>
      <c r="H7" s="60">
        <f t="shared" si="0"/>
        <v>60.015675969554181</v>
      </c>
      <c r="I7" s="59">
        <v>670710</v>
      </c>
      <c r="J7" s="61">
        <v>1103600</v>
      </c>
      <c r="K7" s="62">
        <v>1103600</v>
      </c>
      <c r="L7" s="62">
        <v>662333</v>
      </c>
      <c r="M7" s="60">
        <f t="shared" si="2"/>
        <v>60.015675969554181</v>
      </c>
      <c r="N7" s="62">
        <v>670710</v>
      </c>
      <c r="O7" s="62">
        <v>0</v>
      </c>
      <c r="P7" s="62">
        <v>0</v>
      </c>
      <c r="Q7" s="62">
        <v>0</v>
      </c>
      <c r="R7" s="60">
        <v>0</v>
      </c>
      <c r="S7" s="62">
        <v>0</v>
      </c>
      <c r="T7" s="62">
        <v>0</v>
      </c>
      <c r="U7" s="62">
        <v>0</v>
      </c>
      <c r="V7" s="62">
        <v>0</v>
      </c>
      <c r="W7" s="60">
        <v>0</v>
      </c>
      <c r="X7" s="62"/>
    </row>
    <row r="8" spans="1:24" s="2" customFormat="1" ht="11.25" x14ac:dyDescent="0.2">
      <c r="A8" s="63" t="s">
        <v>19</v>
      </c>
      <c r="B8" s="925" t="s">
        <v>20</v>
      </c>
      <c r="C8" s="925"/>
      <c r="D8" s="58" t="s">
        <v>16</v>
      </c>
      <c r="E8" s="59">
        <f t="shared" si="4"/>
        <v>4000</v>
      </c>
      <c r="F8" s="59">
        <f t="shared" si="4"/>
        <v>4000</v>
      </c>
      <c r="G8" s="59">
        <f t="shared" si="4"/>
        <v>0</v>
      </c>
      <c r="H8" s="60">
        <f t="shared" si="0"/>
        <v>0</v>
      </c>
      <c r="I8" s="59">
        <v>2659</v>
      </c>
      <c r="J8" s="64">
        <v>4000</v>
      </c>
      <c r="K8" s="59">
        <v>4000</v>
      </c>
      <c r="L8" s="59">
        <v>0</v>
      </c>
      <c r="M8" s="60">
        <f t="shared" si="2"/>
        <v>0</v>
      </c>
      <c r="N8" s="59">
        <v>2659</v>
      </c>
      <c r="O8" s="59">
        <v>0</v>
      </c>
      <c r="P8" s="59">
        <v>0</v>
      </c>
      <c r="Q8" s="59">
        <v>0</v>
      </c>
      <c r="R8" s="60">
        <v>0</v>
      </c>
      <c r="S8" s="59">
        <v>0</v>
      </c>
      <c r="T8" s="59">
        <v>0</v>
      </c>
      <c r="U8" s="59">
        <v>0</v>
      </c>
      <c r="V8" s="59">
        <v>0</v>
      </c>
      <c r="W8" s="60">
        <v>0</v>
      </c>
      <c r="X8" s="59"/>
    </row>
    <row r="9" spans="1:24" s="2" customFormat="1" ht="11.25" x14ac:dyDescent="0.2">
      <c r="A9" s="63" t="s">
        <v>21</v>
      </c>
      <c r="B9" s="65" t="s">
        <v>22</v>
      </c>
      <c r="C9" s="66"/>
      <c r="D9" s="58" t="s">
        <v>16</v>
      </c>
      <c r="E9" s="59">
        <f t="shared" si="4"/>
        <v>11786780</v>
      </c>
      <c r="F9" s="59">
        <f t="shared" si="4"/>
        <v>12489780</v>
      </c>
      <c r="G9" s="59">
        <f t="shared" si="4"/>
        <v>6598150</v>
      </c>
      <c r="H9" s="60">
        <f t="shared" si="0"/>
        <v>52.82839249370285</v>
      </c>
      <c r="I9" s="59">
        <v>7697454</v>
      </c>
      <c r="J9" s="64">
        <v>2580000</v>
      </c>
      <c r="K9" s="59">
        <v>3283000</v>
      </c>
      <c r="L9" s="59">
        <v>1993000</v>
      </c>
      <c r="M9" s="60">
        <f t="shared" si="2"/>
        <v>60.706670727992687</v>
      </c>
      <c r="N9" s="59">
        <v>1845654</v>
      </c>
      <c r="O9" s="59">
        <v>9206780</v>
      </c>
      <c r="P9" s="59">
        <v>9206780</v>
      </c>
      <c r="Q9" s="59">
        <v>4605150</v>
      </c>
      <c r="R9" s="60">
        <f t="shared" si="3"/>
        <v>50.019116346866113</v>
      </c>
      <c r="S9" s="59">
        <v>5851800</v>
      </c>
      <c r="T9" s="59">
        <v>0</v>
      </c>
      <c r="U9" s="59">
        <v>0</v>
      </c>
      <c r="V9" s="59">
        <v>0</v>
      </c>
      <c r="W9" s="60">
        <v>0</v>
      </c>
      <c r="X9" s="59"/>
    </row>
    <row r="10" spans="1:24" s="2" customFormat="1" ht="11.25" x14ac:dyDescent="0.2">
      <c r="A10" s="52" t="s">
        <v>23</v>
      </c>
      <c r="B10" s="926" t="s">
        <v>24</v>
      </c>
      <c r="C10" s="926"/>
      <c r="D10" s="53" t="s">
        <v>16</v>
      </c>
      <c r="E10" s="67">
        <f t="shared" si="4"/>
        <v>0</v>
      </c>
      <c r="F10" s="67">
        <f t="shared" si="4"/>
        <v>468700</v>
      </c>
      <c r="G10" s="67">
        <f t="shared" si="4"/>
        <v>0</v>
      </c>
      <c r="H10" s="55">
        <f t="shared" si="0"/>
        <v>0</v>
      </c>
      <c r="I10" s="67">
        <f>SUM(N10,S10)</f>
        <v>0</v>
      </c>
      <c r="J10" s="68"/>
      <c r="K10" s="67">
        <v>468700</v>
      </c>
      <c r="L10" s="67"/>
      <c r="M10" s="55">
        <f t="shared" si="2"/>
        <v>0</v>
      </c>
      <c r="N10" s="67"/>
      <c r="O10" s="67"/>
      <c r="P10" s="67"/>
      <c r="Q10" s="67"/>
      <c r="R10" s="55">
        <v>0</v>
      </c>
      <c r="S10" s="67"/>
      <c r="T10" s="67">
        <v>0</v>
      </c>
      <c r="U10" s="67"/>
      <c r="V10" s="67"/>
      <c r="W10" s="55">
        <v>0</v>
      </c>
      <c r="X10" s="67"/>
    </row>
    <row r="11" spans="1:24" s="2" customFormat="1" ht="11.25" x14ac:dyDescent="0.2">
      <c r="A11" s="52" t="s">
        <v>25</v>
      </c>
      <c r="B11" s="926" t="s">
        <v>26</v>
      </c>
      <c r="C11" s="926"/>
      <c r="D11" s="53" t="s">
        <v>16</v>
      </c>
      <c r="E11" s="54">
        <f>SUM(E12:E31)</f>
        <v>12894380</v>
      </c>
      <c r="F11" s="54">
        <f>SUM(F12:F31)</f>
        <v>13597380</v>
      </c>
      <c r="G11" s="54">
        <f>SUM(G12:G31)</f>
        <v>6151793</v>
      </c>
      <c r="H11" s="55">
        <f t="shared" si="0"/>
        <v>45.242487891049599</v>
      </c>
      <c r="I11" s="54">
        <f>SUM(I12:I31)</f>
        <v>5699149</v>
      </c>
      <c r="J11" s="54">
        <f>SUM(J12:J31)</f>
        <v>3687600</v>
      </c>
      <c r="K11" s="54">
        <f>SUM(K12:K31)</f>
        <v>4390600</v>
      </c>
      <c r="L11" s="54">
        <f>SUM(L12:L31)</f>
        <v>1610935</v>
      </c>
      <c r="M11" s="55">
        <f t="shared" si="2"/>
        <v>36.690543433699268</v>
      </c>
      <c r="N11" s="54">
        <f>SUM(N12:N31)</f>
        <v>1450620</v>
      </c>
      <c r="O11" s="54">
        <f>SUM(O12:O31)</f>
        <v>9206780</v>
      </c>
      <c r="P11" s="54">
        <f>SUM(P12:P31)</f>
        <v>9206780</v>
      </c>
      <c r="Q11" s="54">
        <f>SUM(Q12:Q31)</f>
        <v>4540858</v>
      </c>
      <c r="R11" s="55">
        <f t="shared" si="3"/>
        <v>49.320804885095548</v>
      </c>
      <c r="S11" s="54">
        <f>SUM(S12:S31)</f>
        <v>4248529</v>
      </c>
      <c r="T11" s="54">
        <f>SUM(T12:T31)</f>
        <v>0</v>
      </c>
      <c r="U11" s="54">
        <f>SUM(U12:U31)</f>
        <v>0</v>
      </c>
      <c r="V11" s="54">
        <f>SUM(V12:V31)</f>
        <v>0</v>
      </c>
      <c r="W11" s="55">
        <v>0</v>
      </c>
      <c r="X11" s="54">
        <f>SUM(X12:X31)</f>
        <v>0</v>
      </c>
    </row>
    <row r="12" spans="1:24" s="2" customFormat="1" ht="11.25" x14ac:dyDescent="0.2">
      <c r="A12" s="57" t="s">
        <v>27</v>
      </c>
      <c r="B12" s="922" t="s">
        <v>28</v>
      </c>
      <c r="C12" s="922"/>
      <c r="D12" s="58" t="s">
        <v>16</v>
      </c>
      <c r="E12" s="59">
        <f t="shared" ref="E12:I29" si="5">SUM(J12,O12)</f>
        <v>931697</v>
      </c>
      <c r="F12" s="59">
        <f t="shared" si="5"/>
        <v>931697</v>
      </c>
      <c r="G12" s="59">
        <f t="shared" si="5"/>
        <v>556708</v>
      </c>
      <c r="H12" s="60">
        <f t="shared" si="0"/>
        <v>59.752043851166206</v>
      </c>
      <c r="I12" s="59">
        <v>461023</v>
      </c>
      <c r="J12" s="69">
        <v>897717</v>
      </c>
      <c r="K12" s="70">
        <v>897717</v>
      </c>
      <c r="L12" s="70">
        <v>553808</v>
      </c>
      <c r="M12" s="60">
        <f t="shared" si="2"/>
        <v>61.690710992439712</v>
      </c>
      <c r="N12" s="71">
        <v>461023</v>
      </c>
      <c r="O12" s="70">
        <v>33980</v>
      </c>
      <c r="P12" s="70">
        <v>33980</v>
      </c>
      <c r="Q12" s="70">
        <v>2900</v>
      </c>
      <c r="R12" s="60">
        <f t="shared" si="3"/>
        <v>8.5344320188346092</v>
      </c>
      <c r="S12" s="70">
        <v>0</v>
      </c>
      <c r="T12" s="70">
        <v>0</v>
      </c>
      <c r="U12" s="70">
        <v>0</v>
      </c>
      <c r="V12" s="70">
        <v>0</v>
      </c>
      <c r="W12" s="60">
        <v>0</v>
      </c>
      <c r="X12" s="71"/>
    </row>
    <row r="13" spans="1:24" s="2" customFormat="1" ht="11.25" x14ac:dyDescent="0.2">
      <c r="A13" s="57" t="s">
        <v>29</v>
      </c>
      <c r="B13" s="922" t="s">
        <v>30</v>
      </c>
      <c r="C13" s="922"/>
      <c r="D13" s="58" t="s">
        <v>16</v>
      </c>
      <c r="E13" s="59">
        <f t="shared" si="5"/>
        <v>970000</v>
      </c>
      <c r="F13" s="59">
        <f t="shared" si="5"/>
        <v>970000</v>
      </c>
      <c r="G13" s="59">
        <f t="shared" si="5"/>
        <v>449762</v>
      </c>
      <c r="H13" s="60">
        <f t="shared" si="0"/>
        <v>46.367216494845358</v>
      </c>
      <c r="I13" s="59">
        <v>406990</v>
      </c>
      <c r="J13" s="69">
        <v>970000</v>
      </c>
      <c r="K13" s="59">
        <v>970000</v>
      </c>
      <c r="L13" s="59">
        <v>449762</v>
      </c>
      <c r="M13" s="60">
        <f t="shared" si="2"/>
        <v>46.367216494845358</v>
      </c>
      <c r="N13" s="59">
        <v>406990</v>
      </c>
      <c r="O13" s="59">
        <v>0</v>
      </c>
      <c r="P13" s="59">
        <v>0</v>
      </c>
      <c r="Q13" s="59">
        <v>0</v>
      </c>
      <c r="R13" s="60">
        <v>0</v>
      </c>
      <c r="S13" s="59">
        <v>0</v>
      </c>
      <c r="T13" s="59">
        <v>0</v>
      </c>
      <c r="U13" s="59">
        <v>0</v>
      </c>
      <c r="V13" s="59">
        <v>0</v>
      </c>
      <c r="W13" s="60">
        <v>0</v>
      </c>
      <c r="X13" s="59"/>
    </row>
    <row r="14" spans="1:24" s="2" customFormat="1" ht="11.25" x14ac:dyDescent="0.2">
      <c r="A14" s="57" t="s">
        <v>31</v>
      </c>
      <c r="B14" s="65" t="s">
        <v>32</v>
      </c>
      <c r="C14" s="65"/>
      <c r="D14" s="58" t="s">
        <v>16</v>
      </c>
      <c r="E14" s="59">
        <f t="shared" si="5"/>
        <v>0</v>
      </c>
      <c r="F14" s="59">
        <f t="shared" si="5"/>
        <v>0</v>
      </c>
      <c r="G14" s="59">
        <f t="shared" si="5"/>
        <v>0</v>
      </c>
      <c r="H14" s="60">
        <v>0</v>
      </c>
      <c r="I14" s="59">
        <f t="shared" si="5"/>
        <v>0</v>
      </c>
      <c r="J14" s="69">
        <v>0</v>
      </c>
      <c r="K14" s="59">
        <v>0</v>
      </c>
      <c r="L14" s="59">
        <v>0</v>
      </c>
      <c r="M14" s="60">
        <v>0</v>
      </c>
      <c r="N14" s="59">
        <v>0</v>
      </c>
      <c r="O14" s="59">
        <v>0</v>
      </c>
      <c r="P14" s="59">
        <v>0</v>
      </c>
      <c r="Q14" s="59">
        <v>0</v>
      </c>
      <c r="R14" s="60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59"/>
    </row>
    <row r="15" spans="1:24" s="2" customFormat="1" ht="11.25" x14ac:dyDescent="0.2">
      <c r="A15" s="57" t="s">
        <v>33</v>
      </c>
      <c r="B15" s="922" t="s">
        <v>34</v>
      </c>
      <c r="C15" s="922"/>
      <c r="D15" s="58" t="s">
        <v>16</v>
      </c>
      <c r="E15" s="59">
        <f t="shared" si="5"/>
        <v>477300</v>
      </c>
      <c r="F15" s="59">
        <f t="shared" si="5"/>
        <v>1180300</v>
      </c>
      <c r="G15" s="59">
        <f t="shared" si="5"/>
        <v>95271</v>
      </c>
      <c r="H15" s="60">
        <f t="shared" si="0"/>
        <v>8.0717614165890037</v>
      </c>
      <c r="I15" s="59">
        <v>71452</v>
      </c>
      <c r="J15" s="69">
        <v>477300</v>
      </c>
      <c r="K15" s="59">
        <v>1180300</v>
      </c>
      <c r="L15" s="59">
        <v>95271</v>
      </c>
      <c r="M15" s="60">
        <f t="shared" si="2"/>
        <v>8.0717614165890037</v>
      </c>
      <c r="N15" s="59">
        <v>71452</v>
      </c>
      <c r="O15" s="59">
        <v>0</v>
      </c>
      <c r="P15" s="59">
        <v>0</v>
      </c>
      <c r="Q15" s="59">
        <v>0</v>
      </c>
      <c r="R15" s="60">
        <v>0</v>
      </c>
      <c r="S15" s="59">
        <v>0</v>
      </c>
      <c r="T15" s="59">
        <v>0</v>
      </c>
      <c r="U15" s="59">
        <v>0</v>
      </c>
      <c r="V15" s="59">
        <v>0</v>
      </c>
      <c r="W15" s="60">
        <v>0</v>
      </c>
      <c r="X15" s="59"/>
    </row>
    <row r="16" spans="1:24" s="2" customFormat="1" ht="11.25" x14ac:dyDescent="0.2">
      <c r="A16" s="57" t="s">
        <v>35</v>
      </c>
      <c r="B16" s="922" t="s">
        <v>36</v>
      </c>
      <c r="C16" s="922"/>
      <c r="D16" s="58" t="s">
        <v>16</v>
      </c>
      <c r="E16" s="59">
        <f t="shared" si="5"/>
        <v>1000</v>
      </c>
      <c r="F16" s="59">
        <f t="shared" si="5"/>
        <v>1000</v>
      </c>
      <c r="G16" s="59">
        <f t="shared" si="5"/>
        <v>0</v>
      </c>
      <c r="H16" s="60">
        <f t="shared" si="0"/>
        <v>0</v>
      </c>
      <c r="I16" s="59">
        <f t="shared" si="5"/>
        <v>0</v>
      </c>
      <c r="J16" s="69">
        <v>1000</v>
      </c>
      <c r="K16" s="59">
        <v>1000</v>
      </c>
      <c r="L16" s="59">
        <v>0</v>
      </c>
      <c r="M16" s="60">
        <f t="shared" si="2"/>
        <v>0</v>
      </c>
      <c r="N16" s="59">
        <v>0</v>
      </c>
      <c r="O16" s="59">
        <v>0</v>
      </c>
      <c r="P16" s="59">
        <v>0</v>
      </c>
      <c r="Q16" s="59">
        <v>0</v>
      </c>
      <c r="R16" s="60">
        <v>0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59"/>
    </row>
    <row r="17" spans="1:24" s="2" customFormat="1" ht="11.25" x14ac:dyDescent="0.2">
      <c r="A17" s="57" t="s">
        <v>37</v>
      </c>
      <c r="B17" s="65" t="s">
        <v>38</v>
      </c>
      <c r="C17" s="65"/>
      <c r="D17" s="58" t="s">
        <v>16</v>
      </c>
      <c r="E17" s="59">
        <f t="shared" si="5"/>
        <v>2000</v>
      </c>
      <c r="F17" s="59">
        <f t="shared" si="5"/>
        <v>2000</v>
      </c>
      <c r="G17" s="59">
        <f t="shared" si="5"/>
        <v>860</v>
      </c>
      <c r="H17" s="60">
        <f t="shared" si="0"/>
        <v>43</v>
      </c>
      <c r="I17" s="59">
        <v>183</v>
      </c>
      <c r="J17" s="69">
        <v>2000</v>
      </c>
      <c r="K17" s="59">
        <v>2000</v>
      </c>
      <c r="L17" s="59">
        <v>860</v>
      </c>
      <c r="M17" s="60">
        <f t="shared" si="2"/>
        <v>43</v>
      </c>
      <c r="N17" s="59">
        <v>183</v>
      </c>
      <c r="O17" s="59">
        <v>0</v>
      </c>
      <c r="P17" s="59">
        <v>0</v>
      </c>
      <c r="Q17" s="59">
        <v>0</v>
      </c>
      <c r="R17" s="60">
        <v>0</v>
      </c>
      <c r="S17" s="59">
        <v>0</v>
      </c>
      <c r="T17" s="59">
        <v>0</v>
      </c>
      <c r="U17" s="59">
        <v>0</v>
      </c>
      <c r="V17" s="59">
        <v>0</v>
      </c>
      <c r="W17" s="60">
        <v>0</v>
      </c>
      <c r="X17" s="59"/>
    </row>
    <row r="18" spans="1:24" s="2" customFormat="1" ht="11.25" x14ac:dyDescent="0.2">
      <c r="A18" s="57" t="s">
        <v>39</v>
      </c>
      <c r="B18" s="922" t="s">
        <v>40</v>
      </c>
      <c r="C18" s="922"/>
      <c r="D18" s="58" t="s">
        <v>16</v>
      </c>
      <c r="E18" s="59">
        <f t="shared" si="5"/>
        <v>388500</v>
      </c>
      <c r="F18" s="59">
        <f t="shared" si="5"/>
        <v>388500</v>
      </c>
      <c r="G18" s="59">
        <f t="shared" si="5"/>
        <v>193366</v>
      </c>
      <c r="H18" s="60">
        <f t="shared" si="0"/>
        <v>49.772458172458172</v>
      </c>
      <c r="I18" s="59">
        <v>196693</v>
      </c>
      <c r="J18" s="69">
        <v>381500</v>
      </c>
      <c r="K18" s="59">
        <v>381500</v>
      </c>
      <c r="L18" s="59">
        <v>191116</v>
      </c>
      <c r="M18" s="60">
        <f t="shared" si="2"/>
        <v>50.095937090432507</v>
      </c>
      <c r="N18" s="59">
        <v>191693</v>
      </c>
      <c r="O18" s="59">
        <v>7000</v>
      </c>
      <c r="P18" s="59">
        <v>7000</v>
      </c>
      <c r="Q18" s="59">
        <v>2250</v>
      </c>
      <c r="R18" s="60">
        <f t="shared" si="3"/>
        <v>32.142857142857146</v>
      </c>
      <c r="S18" s="59">
        <v>5000</v>
      </c>
      <c r="T18" s="59">
        <v>0</v>
      </c>
      <c r="U18" s="59">
        <v>0</v>
      </c>
      <c r="V18" s="59">
        <v>0</v>
      </c>
      <c r="W18" s="60">
        <v>0</v>
      </c>
      <c r="X18" s="59"/>
    </row>
    <row r="19" spans="1:24" s="25" customFormat="1" ht="11.25" x14ac:dyDescent="0.2">
      <c r="A19" s="57" t="s">
        <v>41</v>
      </c>
      <c r="B19" s="922" t="s">
        <v>42</v>
      </c>
      <c r="C19" s="922"/>
      <c r="D19" s="58" t="s">
        <v>16</v>
      </c>
      <c r="E19" s="59">
        <f t="shared" si="5"/>
        <v>6705800</v>
      </c>
      <c r="F19" s="59">
        <f t="shared" si="5"/>
        <v>6705800</v>
      </c>
      <c r="G19" s="59">
        <f t="shared" si="5"/>
        <v>3334677</v>
      </c>
      <c r="H19" s="60">
        <f t="shared" si="0"/>
        <v>49.728250171493329</v>
      </c>
      <c r="I19" s="59">
        <v>3134225</v>
      </c>
      <c r="J19" s="72">
        <v>0</v>
      </c>
      <c r="K19" s="59">
        <v>0</v>
      </c>
      <c r="L19" s="59">
        <v>0</v>
      </c>
      <c r="M19" s="60">
        <v>0</v>
      </c>
      <c r="N19" s="59">
        <v>0</v>
      </c>
      <c r="O19" s="59">
        <v>6705800</v>
      </c>
      <c r="P19" s="59">
        <v>6705800</v>
      </c>
      <c r="Q19" s="59">
        <v>3334677</v>
      </c>
      <c r="R19" s="60">
        <f t="shared" si="3"/>
        <v>49.728250171493329</v>
      </c>
      <c r="S19" s="59">
        <v>3134225</v>
      </c>
      <c r="T19" s="73">
        <v>0</v>
      </c>
      <c r="U19" s="73">
        <v>0</v>
      </c>
      <c r="V19" s="73">
        <v>0</v>
      </c>
      <c r="W19" s="60">
        <v>0</v>
      </c>
      <c r="X19" s="73"/>
    </row>
    <row r="20" spans="1:24" s="2" customFormat="1" ht="11.25" x14ac:dyDescent="0.2">
      <c r="A20" s="57" t="s">
        <v>43</v>
      </c>
      <c r="B20" s="922" t="s">
        <v>44</v>
      </c>
      <c r="C20" s="922"/>
      <c r="D20" s="58" t="s">
        <v>16</v>
      </c>
      <c r="E20" s="59">
        <f t="shared" si="5"/>
        <v>2310000</v>
      </c>
      <c r="F20" s="59">
        <f t="shared" si="5"/>
        <v>2310000</v>
      </c>
      <c r="G20" s="59">
        <f t="shared" si="5"/>
        <v>1131137</v>
      </c>
      <c r="H20" s="60">
        <f t="shared" si="0"/>
        <v>48.966969696969699</v>
      </c>
      <c r="I20" s="59">
        <v>1061491</v>
      </c>
      <c r="J20" s="69">
        <v>0</v>
      </c>
      <c r="K20" s="59">
        <v>0</v>
      </c>
      <c r="L20" s="59">
        <v>0</v>
      </c>
      <c r="M20" s="60">
        <v>0</v>
      </c>
      <c r="N20" s="59">
        <v>0</v>
      </c>
      <c r="O20" s="59">
        <v>2310000</v>
      </c>
      <c r="P20" s="59">
        <v>2310000</v>
      </c>
      <c r="Q20" s="59">
        <v>1131137</v>
      </c>
      <c r="R20" s="60">
        <f t="shared" si="3"/>
        <v>48.966969696969699</v>
      </c>
      <c r="S20" s="59">
        <v>1061491</v>
      </c>
      <c r="T20" s="59">
        <v>0</v>
      </c>
      <c r="U20" s="59">
        <v>0</v>
      </c>
      <c r="V20" s="59">
        <v>0</v>
      </c>
      <c r="W20" s="60">
        <v>0</v>
      </c>
      <c r="X20" s="59"/>
    </row>
    <row r="21" spans="1:24" s="2" customFormat="1" ht="11.25" x14ac:dyDescent="0.2">
      <c r="A21" s="57" t="s">
        <v>45</v>
      </c>
      <c r="B21" s="922" t="s">
        <v>46</v>
      </c>
      <c r="C21" s="922"/>
      <c r="D21" s="58" t="s">
        <v>16</v>
      </c>
      <c r="E21" s="59">
        <f t="shared" si="5"/>
        <v>150000</v>
      </c>
      <c r="F21" s="59">
        <f t="shared" si="5"/>
        <v>150000</v>
      </c>
      <c r="G21" s="59">
        <f t="shared" si="5"/>
        <v>69894</v>
      </c>
      <c r="H21" s="60">
        <f t="shared" si="0"/>
        <v>46.595999999999997</v>
      </c>
      <c r="I21" s="59">
        <v>47813</v>
      </c>
      <c r="J21" s="69">
        <v>0</v>
      </c>
      <c r="K21" s="59">
        <v>0</v>
      </c>
      <c r="L21" s="59">
        <v>0</v>
      </c>
      <c r="M21" s="60">
        <v>0</v>
      </c>
      <c r="N21" s="59">
        <v>0</v>
      </c>
      <c r="O21" s="59">
        <v>150000</v>
      </c>
      <c r="P21" s="59">
        <v>150000</v>
      </c>
      <c r="Q21" s="59">
        <v>69894</v>
      </c>
      <c r="R21" s="60">
        <f t="shared" si="3"/>
        <v>46.595999999999997</v>
      </c>
      <c r="S21" s="59">
        <v>47813</v>
      </c>
      <c r="T21" s="59">
        <v>0</v>
      </c>
      <c r="U21" s="59">
        <v>0</v>
      </c>
      <c r="V21" s="59">
        <v>0</v>
      </c>
      <c r="W21" s="60">
        <v>0</v>
      </c>
      <c r="X21" s="59"/>
    </row>
    <row r="22" spans="1:24" s="2" customFormat="1" ht="11.25" x14ac:dyDescent="0.2">
      <c r="A22" s="57" t="s">
        <v>47</v>
      </c>
      <c r="B22" s="922" t="s">
        <v>48</v>
      </c>
      <c r="C22" s="922"/>
      <c r="D22" s="58" t="s">
        <v>16</v>
      </c>
      <c r="E22" s="59">
        <f t="shared" si="5"/>
        <v>0</v>
      </c>
      <c r="F22" s="59">
        <f t="shared" si="5"/>
        <v>0</v>
      </c>
      <c r="G22" s="59">
        <f t="shared" si="5"/>
        <v>0</v>
      </c>
      <c r="H22" s="60">
        <v>0</v>
      </c>
      <c r="I22" s="59">
        <f t="shared" si="5"/>
        <v>0</v>
      </c>
      <c r="J22" s="69">
        <v>0</v>
      </c>
      <c r="K22" s="59">
        <v>0</v>
      </c>
      <c r="L22" s="59">
        <v>0</v>
      </c>
      <c r="M22" s="60">
        <v>0</v>
      </c>
      <c r="N22" s="59">
        <v>0</v>
      </c>
      <c r="O22" s="59">
        <v>0</v>
      </c>
      <c r="P22" s="59">
        <v>0</v>
      </c>
      <c r="Q22" s="59">
        <v>0</v>
      </c>
      <c r="R22" s="60">
        <v>0</v>
      </c>
      <c r="S22" s="59">
        <v>0</v>
      </c>
      <c r="T22" s="59">
        <v>0</v>
      </c>
      <c r="U22" s="59">
        <v>0</v>
      </c>
      <c r="V22" s="59">
        <v>0</v>
      </c>
      <c r="W22" s="60">
        <v>0</v>
      </c>
      <c r="X22" s="59"/>
    </row>
    <row r="23" spans="1:24" s="2" customFormat="1" ht="11.25" x14ac:dyDescent="0.2">
      <c r="A23" s="57" t="s">
        <v>49</v>
      </c>
      <c r="B23" s="65" t="s">
        <v>50</v>
      </c>
      <c r="C23" s="65"/>
      <c r="D23" s="58" t="s">
        <v>16</v>
      </c>
      <c r="E23" s="59">
        <f t="shared" si="5"/>
        <v>0</v>
      </c>
      <c r="F23" s="59">
        <f t="shared" si="5"/>
        <v>0</v>
      </c>
      <c r="G23" s="59">
        <f t="shared" si="5"/>
        <v>0</v>
      </c>
      <c r="H23" s="60">
        <v>0</v>
      </c>
      <c r="I23" s="59">
        <f t="shared" si="5"/>
        <v>0</v>
      </c>
      <c r="J23" s="69">
        <v>0</v>
      </c>
      <c r="K23" s="59">
        <v>0</v>
      </c>
      <c r="L23" s="59">
        <v>0</v>
      </c>
      <c r="M23" s="60">
        <v>0</v>
      </c>
      <c r="N23" s="59">
        <v>0</v>
      </c>
      <c r="O23" s="59">
        <v>0</v>
      </c>
      <c r="P23" s="59">
        <v>0</v>
      </c>
      <c r="Q23" s="59">
        <v>0</v>
      </c>
      <c r="R23" s="60">
        <v>0</v>
      </c>
      <c r="S23" s="59">
        <v>0</v>
      </c>
      <c r="T23" s="59">
        <v>0</v>
      </c>
      <c r="U23" s="59">
        <v>0</v>
      </c>
      <c r="V23" s="59">
        <v>0</v>
      </c>
      <c r="W23" s="60">
        <v>0</v>
      </c>
      <c r="X23" s="59"/>
    </row>
    <row r="24" spans="1:24" s="2" customFormat="1" ht="11.25" x14ac:dyDescent="0.2">
      <c r="A24" s="57" t="s">
        <v>51</v>
      </c>
      <c r="B24" s="65" t="s">
        <v>52</v>
      </c>
      <c r="C24" s="65"/>
      <c r="D24" s="58" t="s">
        <v>16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60">
        <v>0</v>
      </c>
      <c r="I24" s="59">
        <f t="shared" si="5"/>
        <v>0</v>
      </c>
      <c r="J24" s="69">
        <v>0</v>
      </c>
      <c r="K24" s="59">
        <v>0</v>
      </c>
      <c r="L24" s="59">
        <v>0</v>
      </c>
      <c r="M24" s="60">
        <v>0</v>
      </c>
      <c r="N24" s="59">
        <v>0</v>
      </c>
      <c r="O24" s="59">
        <v>0</v>
      </c>
      <c r="P24" s="59">
        <v>0</v>
      </c>
      <c r="Q24" s="59">
        <v>0</v>
      </c>
      <c r="R24" s="60">
        <v>0</v>
      </c>
      <c r="S24" s="59">
        <v>0</v>
      </c>
      <c r="T24" s="59">
        <v>0</v>
      </c>
      <c r="U24" s="59">
        <v>0</v>
      </c>
      <c r="V24" s="59">
        <v>0</v>
      </c>
      <c r="W24" s="60">
        <v>0</v>
      </c>
      <c r="X24" s="59"/>
    </row>
    <row r="25" spans="1:24" s="2" customFormat="1" ht="11.25" x14ac:dyDescent="0.2">
      <c r="A25" s="57" t="s">
        <v>53</v>
      </c>
      <c r="B25" s="65" t="s">
        <v>54</v>
      </c>
      <c r="C25" s="65"/>
      <c r="D25" s="58" t="s">
        <v>16</v>
      </c>
      <c r="E25" s="59">
        <f t="shared" si="5"/>
        <v>0</v>
      </c>
      <c r="F25" s="59">
        <f t="shared" si="5"/>
        <v>0</v>
      </c>
      <c r="G25" s="59">
        <f t="shared" si="5"/>
        <v>0</v>
      </c>
      <c r="H25" s="60">
        <v>0</v>
      </c>
      <c r="I25" s="59">
        <f t="shared" si="5"/>
        <v>0</v>
      </c>
      <c r="J25" s="69">
        <v>0</v>
      </c>
      <c r="K25" s="70">
        <v>0</v>
      </c>
      <c r="L25" s="70">
        <v>0</v>
      </c>
      <c r="M25" s="60">
        <v>0</v>
      </c>
      <c r="N25" s="71">
        <v>0</v>
      </c>
      <c r="O25" s="70">
        <v>0</v>
      </c>
      <c r="P25" s="70">
        <v>0</v>
      </c>
      <c r="Q25" s="70">
        <v>0</v>
      </c>
      <c r="R25" s="60">
        <v>0</v>
      </c>
      <c r="S25" s="70">
        <v>0</v>
      </c>
      <c r="T25" s="70">
        <v>0</v>
      </c>
      <c r="U25" s="70">
        <v>0</v>
      </c>
      <c r="V25" s="70">
        <v>0</v>
      </c>
      <c r="W25" s="60">
        <v>0</v>
      </c>
      <c r="X25" s="70"/>
    </row>
    <row r="26" spans="1:24" s="27" customFormat="1" ht="11.25" x14ac:dyDescent="0.2">
      <c r="A26" s="57" t="s">
        <v>55</v>
      </c>
      <c r="B26" s="922" t="s">
        <v>56</v>
      </c>
      <c r="C26" s="922"/>
      <c r="D26" s="58" t="s">
        <v>16</v>
      </c>
      <c r="E26" s="59">
        <f t="shared" si="5"/>
        <v>478004</v>
      </c>
      <c r="F26" s="59">
        <f t="shared" si="5"/>
        <v>478004</v>
      </c>
      <c r="G26" s="59">
        <f t="shared" si="5"/>
        <v>240072</v>
      </c>
      <c r="H26" s="75">
        <f>G26/F26*100</f>
        <v>50.223847499184103</v>
      </c>
      <c r="I26" s="59">
        <v>230930</v>
      </c>
      <c r="J26" s="69">
        <v>478004</v>
      </c>
      <c r="K26" s="71">
        <v>478004</v>
      </c>
      <c r="L26" s="71">
        <v>240072</v>
      </c>
      <c r="M26" s="60">
        <f>L26/K26*100</f>
        <v>50.223847499184103</v>
      </c>
      <c r="N26" s="71">
        <v>230930</v>
      </c>
      <c r="O26" s="71">
        <v>0</v>
      </c>
      <c r="P26" s="71">
        <v>0</v>
      </c>
      <c r="Q26" s="71">
        <v>0</v>
      </c>
      <c r="R26" s="60">
        <v>0</v>
      </c>
      <c r="S26" s="71">
        <v>0</v>
      </c>
      <c r="T26" s="59">
        <v>0</v>
      </c>
      <c r="U26" s="59">
        <v>0</v>
      </c>
      <c r="V26" s="59">
        <v>0</v>
      </c>
      <c r="W26" s="60">
        <v>0</v>
      </c>
      <c r="X26" s="76"/>
    </row>
    <row r="27" spans="1:24" s="27" customFormat="1" ht="11.25" x14ac:dyDescent="0.2">
      <c r="A27" s="57" t="s">
        <v>57</v>
      </c>
      <c r="B27" s="65" t="s">
        <v>58</v>
      </c>
      <c r="C27" s="65"/>
      <c r="D27" s="58" t="s">
        <v>16</v>
      </c>
      <c r="E27" s="59">
        <f t="shared" si="5"/>
        <v>0</v>
      </c>
      <c r="F27" s="59">
        <f t="shared" si="5"/>
        <v>0</v>
      </c>
      <c r="G27" s="59">
        <f t="shared" si="5"/>
        <v>0</v>
      </c>
      <c r="H27" s="75">
        <v>0</v>
      </c>
      <c r="I27" s="59">
        <f t="shared" si="5"/>
        <v>0</v>
      </c>
      <c r="J27" s="69">
        <v>0</v>
      </c>
      <c r="K27" s="71">
        <v>0</v>
      </c>
      <c r="L27" s="71">
        <v>0</v>
      </c>
      <c r="M27" s="60">
        <v>0</v>
      </c>
      <c r="N27" s="59">
        <v>0</v>
      </c>
      <c r="O27" s="71">
        <v>0</v>
      </c>
      <c r="P27" s="71">
        <v>0</v>
      </c>
      <c r="Q27" s="71">
        <v>0</v>
      </c>
      <c r="R27" s="60">
        <v>0</v>
      </c>
      <c r="S27" s="71">
        <v>0</v>
      </c>
      <c r="T27" s="59">
        <v>0</v>
      </c>
      <c r="U27" s="59">
        <v>0</v>
      </c>
      <c r="V27" s="59">
        <v>0</v>
      </c>
      <c r="W27" s="60">
        <v>0</v>
      </c>
      <c r="X27" s="76"/>
    </row>
    <row r="28" spans="1:24" s="27" customFormat="1" ht="11.25" x14ac:dyDescent="0.2">
      <c r="A28" s="57" t="s">
        <v>59</v>
      </c>
      <c r="B28" s="65" t="s">
        <v>60</v>
      </c>
      <c r="C28" s="65"/>
      <c r="D28" s="58" t="s">
        <v>16</v>
      </c>
      <c r="E28" s="59">
        <f>SUM(J28,O28)</f>
        <v>479850</v>
      </c>
      <c r="F28" s="59">
        <f>SUM(K28,P28)</f>
        <v>479850</v>
      </c>
      <c r="G28" s="59">
        <f>SUM(L28,Q28)</f>
        <v>79818</v>
      </c>
      <c r="H28" s="75">
        <f>G28/F28*100</f>
        <v>16.633948108783994</v>
      </c>
      <c r="I28" s="59">
        <v>88121</v>
      </c>
      <c r="J28" s="69">
        <v>479850</v>
      </c>
      <c r="K28" s="71">
        <v>479850</v>
      </c>
      <c r="L28" s="71">
        <v>79818</v>
      </c>
      <c r="M28" s="60">
        <f>L28/K28*100</f>
        <v>16.633948108783994</v>
      </c>
      <c r="N28" s="59">
        <v>88121</v>
      </c>
      <c r="O28" s="71">
        <v>0</v>
      </c>
      <c r="P28" s="71">
        <v>0</v>
      </c>
      <c r="Q28" s="71">
        <v>0</v>
      </c>
      <c r="R28" s="60">
        <v>0</v>
      </c>
      <c r="S28" s="71">
        <v>0</v>
      </c>
      <c r="T28" s="59">
        <v>0</v>
      </c>
      <c r="U28" s="59">
        <v>0</v>
      </c>
      <c r="V28" s="59">
        <v>0</v>
      </c>
      <c r="W28" s="60">
        <v>0</v>
      </c>
      <c r="X28" s="76"/>
    </row>
    <row r="29" spans="1:24" s="28" customFormat="1" ht="11.25" x14ac:dyDescent="0.2">
      <c r="A29" s="57" t="s">
        <v>61</v>
      </c>
      <c r="B29" s="65" t="s">
        <v>62</v>
      </c>
      <c r="C29" s="65"/>
      <c r="D29" s="58" t="s">
        <v>16</v>
      </c>
      <c r="E29" s="59">
        <f t="shared" si="5"/>
        <v>229</v>
      </c>
      <c r="F29" s="59">
        <f t="shared" si="5"/>
        <v>229</v>
      </c>
      <c r="G29" s="59">
        <f t="shared" si="5"/>
        <v>228</v>
      </c>
      <c r="H29" s="75">
        <f t="shared" si="0"/>
        <v>99.563318777292579</v>
      </c>
      <c r="I29" s="59">
        <v>228</v>
      </c>
      <c r="J29" s="69">
        <v>229</v>
      </c>
      <c r="K29" s="71">
        <v>229</v>
      </c>
      <c r="L29" s="71">
        <v>228</v>
      </c>
      <c r="M29" s="60">
        <f t="shared" si="2"/>
        <v>99.563318777292579</v>
      </c>
      <c r="N29" s="71">
        <v>228</v>
      </c>
      <c r="O29" s="71">
        <v>0</v>
      </c>
      <c r="P29" s="71">
        <v>0</v>
      </c>
      <c r="Q29" s="71">
        <v>0</v>
      </c>
      <c r="R29" s="60">
        <v>0</v>
      </c>
      <c r="S29" s="71">
        <v>0</v>
      </c>
      <c r="T29" s="59">
        <v>0</v>
      </c>
      <c r="U29" s="59">
        <v>0</v>
      </c>
      <c r="V29" s="59">
        <v>0</v>
      </c>
      <c r="W29" s="60">
        <v>0</v>
      </c>
      <c r="X29" s="76"/>
    </row>
    <row r="30" spans="1:24" s="2" customFormat="1" ht="11.25" x14ac:dyDescent="0.2">
      <c r="A30" s="57" t="s">
        <v>63</v>
      </c>
      <c r="B30" s="65" t="s">
        <v>64</v>
      </c>
      <c r="C30" s="65"/>
      <c r="D30" s="58" t="s">
        <v>16</v>
      </c>
      <c r="E30" s="59">
        <f t="shared" ref="E30:G31" si="6">SUM(J30,O30)</f>
        <v>0</v>
      </c>
      <c r="F30" s="59">
        <f t="shared" si="6"/>
        <v>0</v>
      </c>
      <c r="G30" s="59">
        <f t="shared" si="6"/>
        <v>0</v>
      </c>
      <c r="H30" s="75">
        <v>0</v>
      </c>
      <c r="I30" s="59">
        <f>SUM(N30,S30)</f>
        <v>0</v>
      </c>
      <c r="J30" s="69">
        <v>0</v>
      </c>
      <c r="K30" s="71">
        <v>0</v>
      </c>
      <c r="L30" s="71">
        <v>0</v>
      </c>
      <c r="M30" s="60">
        <v>0</v>
      </c>
      <c r="N30" s="71">
        <v>0</v>
      </c>
      <c r="O30" s="71">
        <v>0</v>
      </c>
      <c r="P30" s="71">
        <v>0</v>
      </c>
      <c r="Q30" s="71">
        <v>0</v>
      </c>
      <c r="R30" s="60">
        <v>0</v>
      </c>
      <c r="S30" s="71">
        <v>0</v>
      </c>
      <c r="T30" s="70">
        <v>0</v>
      </c>
      <c r="U30" s="70">
        <v>0</v>
      </c>
      <c r="V30" s="70">
        <v>0</v>
      </c>
      <c r="W30" s="60">
        <v>0</v>
      </c>
      <c r="X30" s="76"/>
    </row>
    <row r="31" spans="1:24" s="31" customFormat="1" ht="11.25" x14ac:dyDescent="0.2">
      <c r="A31" s="57" t="s">
        <v>65</v>
      </c>
      <c r="B31" s="65" t="s">
        <v>66</v>
      </c>
      <c r="C31" s="65"/>
      <c r="D31" s="58" t="s">
        <v>16</v>
      </c>
      <c r="E31" s="59">
        <f t="shared" si="6"/>
        <v>0</v>
      </c>
      <c r="F31" s="59">
        <f t="shared" si="6"/>
        <v>0</v>
      </c>
      <c r="G31" s="59">
        <f t="shared" si="6"/>
        <v>0</v>
      </c>
      <c r="H31" s="75">
        <v>0</v>
      </c>
      <c r="I31" s="59">
        <f>SUM(N31,S31)</f>
        <v>0</v>
      </c>
      <c r="J31" s="69">
        <v>0</v>
      </c>
      <c r="K31" s="79">
        <v>0</v>
      </c>
      <c r="L31" s="79">
        <v>0</v>
      </c>
      <c r="M31" s="60">
        <v>0</v>
      </c>
      <c r="N31" s="79">
        <v>0</v>
      </c>
      <c r="O31" s="79">
        <v>0</v>
      </c>
      <c r="P31" s="79">
        <v>0</v>
      </c>
      <c r="Q31" s="79">
        <v>0</v>
      </c>
      <c r="R31" s="60">
        <v>0</v>
      </c>
      <c r="S31" s="79">
        <v>0</v>
      </c>
      <c r="T31" s="59">
        <v>0</v>
      </c>
      <c r="U31" s="59">
        <v>0</v>
      </c>
      <c r="V31" s="59">
        <v>0</v>
      </c>
      <c r="W31" s="60">
        <v>0</v>
      </c>
      <c r="X31" s="80"/>
    </row>
    <row r="32" spans="1:24" s="31" customFormat="1" ht="11.25" x14ac:dyDescent="0.2">
      <c r="A32" s="57" t="s">
        <v>67</v>
      </c>
      <c r="B32" s="65" t="s">
        <v>68</v>
      </c>
      <c r="C32" s="65"/>
      <c r="D32" s="58" t="s">
        <v>16</v>
      </c>
      <c r="E32" s="59">
        <f>SUM(J32,O32)</f>
        <v>0</v>
      </c>
      <c r="F32" s="59">
        <f>SUM(K32,P32)</f>
        <v>0</v>
      </c>
      <c r="G32" s="59">
        <f>SUM(L32,Q32)</f>
        <v>0</v>
      </c>
      <c r="H32" s="75">
        <v>0</v>
      </c>
      <c r="I32" s="59">
        <f>SUM(N32,S32)</f>
        <v>0</v>
      </c>
      <c r="J32" s="82">
        <v>0</v>
      </c>
      <c r="K32" s="80">
        <v>0</v>
      </c>
      <c r="L32" s="80">
        <v>0</v>
      </c>
      <c r="M32" s="60">
        <v>0</v>
      </c>
      <c r="N32" s="80">
        <v>0</v>
      </c>
      <c r="O32" s="80">
        <v>0</v>
      </c>
      <c r="P32" s="80">
        <v>0</v>
      </c>
      <c r="Q32" s="80">
        <v>0</v>
      </c>
      <c r="R32" s="60">
        <v>0</v>
      </c>
      <c r="S32" s="80">
        <v>0</v>
      </c>
      <c r="T32" s="70">
        <v>0</v>
      </c>
      <c r="U32" s="70">
        <v>0</v>
      </c>
      <c r="V32" s="70">
        <v>0</v>
      </c>
      <c r="W32" s="60">
        <v>0</v>
      </c>
      <c r="X32" s="80"/>
    </row>
    <row r="33" spans="1:24" s="31" customFormat="1" ht="11.25" x14ac:dyDescent="0.2">
      <c r="A33" s="52" t="s">
        <v>69</v>
      </c>
      <c r="B33" s="83" t="s">
        <v>70</v>
      </c>
      <c r="C33" s="83"/>
      <c r="D33" s="53" t="s">
        <v>16</v>
      </c>
      <c r="E33" s="54">
        <f>E6-E11</f>
        <v>0</v>
      </c>
      <c r="F33" s="54">
        <f>F6-F11</f>
        <v>0</v>
      </c>
      <c r="G33" s="54">
        <f>G6-G11</f>
        <v>1108690</v>
      </c>
      <c r="H33" s="84">
        <v>0</v>
      </c>
      <c r="I33" s="54">
        <f>I6-I11</f>
        <v>2671674</v>
      </c>
      <c r="J33" s="54">
        <f>J6-J11</f>
        <v>0</v>
      </c>
      <c r="K33" s="54">
        <f>K6-K11</f>
        <v>0</v>
      </c>
      <c r="L33" s="54">
        <f>L6-L11</f>
        <v>1044398</v>
      </c>
      <c r="M33" s="55">
        <v>0</v>
      </c>
      <c r="N33" s="54">
        <f>N6-N11</f>
        <v>1068403</v>
      </c>
      <c r="O33" s="54">
        <f>O6-O11</f>
        <v>0</v>
      </c>
      <c r="P33" s="54">
        <f>P6-P11</f>
        <v>0</v>
      </c>
      <c r="Q33" s="54">
        <f>Q6-Q11</f>
        <v>64292</v>
      </c>
      <c r="R33" s="55">
        <v>0</v>
      </c>
      <c r="S33" s="54">
        <f>S6-S11</f>
        <v>1603271</v>
      </c>
      <c r="T33" s="54">
        <f>T6-T11</f>
        <v>0</v>
      </c>
      <c r="U33" s="54">
        <f>U6-U11</f>
        <v>0</v>
      </c>
      <c r="V33" s="54">
        <f>V6-V11</f>
        <v>0</v>
      </c>
      <c r="W33" s="55">
        <v>0</v>
      </c>
      <c r="X33" s="54">
        <f>X6-X11</f>
        <v>0</v>
      </c>
    </row>
    <row r="34" spans="1:24" s="39" customFormat="1" ht="11.25" x14ac:dyDescent="0.2">
      <c r="A34" s="89" t="s">
        <v>71</v>
      </c>
      <c r="B34" s="923" t="s">
        <v>72</v>
      </c>
      <c r="C34" s="923"/>
      <c r="D34" s="90" t="s">
        <v>16</v>
      </c>
      <c r="E34" s="91">
        <v>20697</v>
      </c>
      <c r="F34" s="91">
        <v>20697</v>
      </c>
      <c r="G34" s="91">
        <v>20584</v>
      </c>
      <c r="H34" s="75">
        <f t="shared" si="0"/>
        <v>99.454027153693772</v>
      </c>
      <c r="I34" s="91">
        <v>17869</v>
      </c>
      <c r="J34" s="92">
        <v>0</v>
      </c>
      <c r="K34" s="92">
        <v>0</v>
      </c>
      <c r="L34" s="92">
        <v>0</v>
      </c>
      <c r="M34" s="55">
        <v>0</v>
      </c>
      <c r="N34" s="92">
        <v>0</v>
      </c>
      <c r="O34" s="92">
        <v>0</v>
      </c>
      <c r="P34" s="92">
        <v>0</v>
      </c>
      <c r="Q34" s="92">
        <v>0</v>
      </c>
      <c r="R34" s="55">
        <v>0</v>
      </c>
      <c r="S34" s="92">
        <v>0</v>
      </c>
      <c r="T34" s="92">
        <v>0</v>
      </c>
      <c r="U34" s="92">
        <v>0</v>
      </c>
      <c r="V34" s="92">
        <v>0</v>
      </c>
      <c r="W34" s="55">
        <v>0</v>
      </c>
      <c r="X34" s="92"/>
    </row>
    <row r="35" spans="1:24" s="39" customFormat="1" ht="11.25" x14ac:dyDescent="0.2">
      <c r="A35" s="93" t="s">
        <v>73</v>
      </c>
      <c r="B35" s="924" t="s">
        <v>74</v>
      </c>
      <c r="C35" s="924"/>
      <c r="D35" s="93" t="s">
        <v>75</v>
      </c>
      <c r="E35" s="91">
        <v>27</v>
      </c>
      <c r="F35" s="91">
        <v>27</v>
      </c>
      <c r="G35" s="91">
        <v>27</v>
      </c>
      <c r="H35" s="75">
        <v>0</v>
      </c>
      <c r="I35" s="91">
        <v>27</v>
      </c>
      <c r="J35" s="92">
        <v>0</v>
      </c>
      <c r="K35" s="94">
        <v>0</v>
      </c>
      <c r="L35" s="92">
        <v>0</v>
      </c>
      <c r="M35" s="55">
        <v>0</v>
      </c>
      <c r="N35" s="92">
        <v>0</v>
      </c>
      <c r="O35" s="92">
        <v>0</v>
      </c>
      <c r="P35" s="92">
        <v>0</v>
      </c>
      <c r="Q35" s="92">
        <v>0</v>
      </c>
      <c r="R35" s="55">
        <v>0</v>
      </c>
      <c r="S35" s="92">
        <v>0</v>
      </c>
      <c r="T35" s="92">
        <v>0</v>
      </c>
      <c r="U35" s="92">
        <v>0</v>
      </c>
      <c r="V35" s="92">
        <v>0</v>
      </c>
      <c r="W35" s="55">
        <v>0</v>
      </c>
      <c r="X35" s="92"/>
    </row>
    <row r="36" spans="1:24" s="39" customFormat="1" ht="11.25" x14ac:dyDescent="0.2">
      <c r="A36" s="89" t="s">
        <v>76</v>
      </c>
      <c r="B36" s="923" t="s">
        <v>77</v>
      </c>
      <c r="C36" s="923"/>
      <c r="D36" s="90" t="s">
        <v>75</v>
      </c>
      <c r="E36" s="91">
        <v>30</v>
      </c>
      <c r="F36" s="91">
        <v>30</v>
      </c>
      <c r="G36" s="91">
        <v>30</v>
      </c>
      <c r="H36" s="75">
        <v>0</v>
      </c>
      <c r="I36" s="91">
        <v>29</v>
      </c>
      <c r="J36" s="92">
        <v>0</v>
      </c>
      <c r="K36" s="94">
        <v>0</v>
      </c>
      <c r="L36" s="92">
        <v>0</v>
      </c>
      <c r="M36" s="55">
        <v>0</v>
      </c>
      <c r="N36" s="92">
        <v>0</v>
      </c>
      <c r="O36" s="92">
        <v>0</v>
      </c>
      <c r="P36" s="92">
        <v>0</v>
      </c>
      <c r="Q36" s="92">
        <v>0</v>
      </c>
      <c r="R36" s="55">
        <v>0</v>
      </c>
      <c r="S36" s="92">
        <v>0</v>
      </c>
      <c r="T36" s="92">
        <v>0</v>
      </c>
      <c r="U36" s="92">
        <v>0</v>
      </c>
      <c r="V36" s="92">
        <v>0</v>
      </c>
      <c r="W36" s="55">
        <v>0</v>
      </c>
      <c r="X36" s="92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72" firstPageNumber="59" orientation="landscape" useFirstPageNumber="1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8.75" x14ac:dyDescent="0.3">
      <c r="A1" s="919" t="s">
        <v>88</v>
      </c>
      <c r="B1" s="919"/>
      <c r="C1" s="919"/>
      <c r="D1" s="919"/>
      <c r="E1" s="919"/>
      <c r="F1" s="919"/>
      <c r="G1" s="919"/>
      <c r="H1" s="919"/>
      <c r="I1" s="919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38.25" customHeight="1" x14ac:dyDescent="0.2">
      <c r="A6" s="911" t="s">
        <v>107</v>
      </c>
      <c r="B6" s="912"/>
      <c r="C6" s="337">
        <v>613941.29</v>
      </c>
      <c r="D6" s="1316" t="s">
        <v>108</v>
      </c>
      <c r="E6" s="1316"/>
      <c r="F6" s="1316"/>
      <c r="G6" s="1316"/>
      <c r="H6" s="1316"/>
      <c r="I6" s="1316"/>
    </row>
    <row r="7" spans="1:14" s="338" customFormat="1" ht="25.5" customHeight="1" x14ac:dyDescent="0.15">
      <c r="A7" s="911" t="s">
        <v>92</v>
      </c>
      <c r="B7" s="912"/>
      <c r="C7" s="337">
        <v>191.91</v>
      </c>
      <c r="D7" s="1316" t="s">
        <v>109</v>
      </c>
      <c r="E7" s="1316"/>
      <c r="F7" s="1316"/>
      <c r="G7" s="1316"/>
      <c r="H7" s="1316"/>
      <c r="I7" s="1316"/>
    </row>
    <row r="8" spans="1:14" s="338" customFormat="1" ht="10.5" x14ac:dyDescent="0.15">
      <c r="A8" s="911" t="s">
        <v>110</v>
      </c>
      <c r="B8" s="912"/>
      <c r="C8" s="337">
        <v>-94470</v>
      </c>
      <c r="D8" s="915"/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14" s="334" customFormat="1" ht="24.75" customHeight="1" x14ac:dyDescent="0.2">
      <c r="A13" s="343" t="s">
        <v>119</v>
      </c>
      <c r="B13" s="344">
        <v>518.61</v>
      </c>
      <c r="C13" s="344">
        <v>100000</v>
      </c>
      <c r="D13" s="344">
        <v>37100</v>
      </c>
      <c r="E13" s="344">
        <f>B13+C13-D13</f>
        <v>63418.61</v>
      </c>
      <c r="F13" s="345">
        <v>63418.61</v>
      </c>
      <c r="G13" s="1307" t="s">
        <v>120</v>
      </c>
      <c r="H13" s="1308"/>
      <c r="I13" s="1309"/>
    </row>
    <row r="14" spans="1:14" s="334" customFormat="1" ht="73.5" customHeight="1" x14ac:dyDescent="0.2">
      <c r="A14" s="346" t="s">
        <v>121</v>
      </c>
      <c r="B14" s="347">
        <v>71023.23</v>
      </c>
      <c r="C14" s="347">
        <v>79710.899999999994</v>
      </c>
      <c r="D14" s="347">
        <v>57570</v>
      </c>
      <c r="E14" s="347">
        <f>B14+C14-D14</f>
        <v>93164.13</v>
      </c>
      <c r="F14" s="348">
        <v>77240.63</v>
      </c>
      <c r="G14" s="1310" t="s">
        <v>122</v>
      </c>
      <c r="H14" s="1311"/>
      <c r="I14" s="1312"/>
    </row>
    <row r="15" spans="1:14" s="334" customFormat="1" ht="42" customHeight="1" x14ac:dyDescent="0.2">
      <c r="A15" s="346" t="s">
        <v>123</v>
      </c>
      <c r="B15" s="347">
        <f>238678.81</f>
        <v>238678.81</v>
      </c>
      <c r="C15" s="347">
        <f>84063.17</f>
        <v>84063.17</v>
      </c>
      <c r="D15" s="347">
        <v>0</v>
      </c>
      <c r="E15" s="347">
        <f>B15+C15-D15</f>
        <v>322741.98</v>
      </c>
      <c r="F15" s="348">
        <f>323183.97-441.99</f>
        <v>322741.98</v>
      </c>
      <c r="G15" s="1310" t="s">
        <v>124</v>
      </c>
      <c r="H15" s="1311"/>
      <c r="I15" s="1312"/>
      <c r="N15" s="349"/>
    </row>
    <row r="16" spans="1:14" s="334" customFormat="1" ht="39" customHeight="1" x14ac:dyDescent="0.2">
      <c r="A16" s="346" t="s">
        <v>125</v>
      </c>
      <c r="B16" s="347">
        <v>441.99</v>
      </c>
      <c r="C16" s="347">
        <v>30000</v>
      </c>
      <c r="D16" s="347">
        <v>30000</v>
      </c>
      <c r="E16" s="347">
        <f>B16+C16-D16</f>
        <v>441.9900000000016</v>
      </c>
      <c r="F16" s="348">
        <v>441.99</v>
      </c>
      <c r="G16" s="1310" t="s">
        <v>126</v>
      </c>
      <c r="H16" s="1311"/>
      <c r="I16" s="1312"/>
    </row>
    <row r="17" spans="1:9" s="334" customFormat="1" ht="109.5" customHeight="1" x14ac:dyDescent="0.2">
      <c r="A17" s="350" t="s">
        <v>127</v>
      </c>
      <c r="B17" s="351">
        <v>807373.99</v>
      </c>
      <c r="C17" s="351">
        <v>1099715</v>
      </c>
      <c r="D17" s="351">
        <v>869132</v>
      </c>
      <c r="E17" s="351">
        <f>B17+C17-D17</f>
        <v>1037956.99</v>
      </c>
      <c r="F17" s="352">
        <v>1037956.99</v>
      </c>
      <c r="G17" s="1313" t="s">
        <v>128</v>
      </c>
      <c r="H17" s="1314"/>
      <c r="I17" s="1315"/>
    </row>
    <row r="18" spans="1:9" s="334" customFormat="1" ht="11.25" x14ac:dyDescent="0.2">
      <c r="A18" s="353" t="s">
        <v>90</v>
      </c>
      <c r="B18" s="354">
        <f>SUM(B13:B17)</f>
        <v>1118036.6299999999</v>
      </c>
      <c r="C18" s="354">
        <f t="shared" ref="C18:F18" si="0">SUM(C13:C17)</f>
        <v>1393489.07</v>
      </c>
      <c r="D18" s="354">
        <f t="shared" si="0"/>
        <v>993802</v>
      </c>
      <c r="E18" s="354">
        <f t="shared" si="0"/>
        <v>1517723.7</v>
      </c>
      <c r="F18" s="354">
        <f t="shared" si="0"/>
        <v>1501800.2</v>
      </c>
      <c r="G18" s="910"/>
      <c r="H18" s="910"/>
      <c r="I18" s="910"/>
    </row>
    <row r="19" spans="1:9" s="355" customFormat="1" ht="11.25" x14ac:dyDescent="0.2">
      <c r="C19" s="356"/>
    </row>
    <row r="20" spans="1:9" s="340" customFormat="1" ht="11.25" x14ac:dyDescent="0.2">
      <c r="A20" s="861" t="s">
        <v>129</v>
      </c>
      <c r="B20" s="861"/>
      <c r="C20" s="861"/>
      <c r="D20" s="861"/>
      <c r="E20" s="861"/>
      <c r="F20" s="861"/>
      <c r="G20" s="861"/>
      <c r="H20" s="861"/>
      <c r="I20" s="861"/>
    </row>
    <row r="21" spans="1:9" s="334" customFormat="1" ht="11.25" x14ac:dyDescent="0.2">
      <c r="C21" s="339"/>
    </row>
    <row r="22" spans="1:9" s="334" customFormat="1" ht="11.25" x14ac:dyDescent="0.2">
      <c r="A22" s="335" t="s">
        <v>130</v>
      </c>
      <c r="B22" s="335" t="s">
        <v>16</v>
      </c>
      <c r="C22" s="357" t="s">
        <v>131</v>
      </c>
      <c r="D22" s="902" t="s">
        <v>132</v>
      </c>
      <c r="E22" s="902"/>
      <c r="F22" s="902"/>
      <c r="G22" s="902"/>
      <c r="H22" s="902"/>
      <c r="I22" s="902"/>
    </row>
    <row r="23" spans="1:9" s="334" customFormat="1" ht="11.25" customHeight="1" x14ac:dyDescent="0.2">
      <c r="A23" s="1064" t="s">
        <v>133</v>
      </c>
      <c r="B23" s="358">
        <v>14400</v>
      </c>
      <c r="C23" s="359" t="s">
        <v>134</v>
      </c>
      <c r="D23" s="1298" t="s">
        <v>135</v>
      </c>
      <c r="E23" s="1299"/>
      <c r="F23" s="1299"/>
      <c r="G23" s="1299"/>
      <c r="H23" s="1299"/>
      <c r="I23" s="1300"/>
    </row>
    <row r="24" spans="1:9" s="334" customFormat="1" ht="11.25" customHeight="1" x14ac:dyDescent="0.2">
      <c r="A24" s="883"/>
      <c r="B24" s="360">
        <v>67540</v>
      </c>
      <c r="C24" s="361" t="s">
        <v>136</v>
      </c>
      <c r="D24" s="1301"/>
      <c r="E24" s="1302"/>
      <c r="F24" s="1302"/>
      <c r="G24" s="1302"/>
      <c r="H24" s="1302"/>
      <c r="I24" s="1303"/>
    </row>
    <row r="25" spans="1:9" s="334" customFormat="1" ht="11.25" customHeight="1" x14ac:dyDescent="0.2">
      <c r="A25" s="883"/>
      <c r="B25" s="362">
        <v>31798</v>
      </c>
      <c r="C25" s="363" t="s">
        <v>137</v>
      </c>
      <c r="D25" s="1301"/>
      <c r="E25" s="1302"/>
      <c r="F25" s="1302"/>
      <c r="G25" s="1302"/>
      <c r="H25" s="1302"/>
      <c r="I25" s="1303"/>
    </row>
    <row r="26" spans="1:9" s="334" customFormat="1" ht="11.25" customHeight="1" x14ac:dyDescent="0.2">
      <c r="A26" s="883"/>
      <c r="B26" s="362">
        <v>17520</v>
      </c>
      <c r="C26" s="364" t="s">
        <v>138</v>
      </c>
      <c r="D26" s="1301"/>
      <c r="E26" s="1302"/>
      <c r="F26" s="1302"/>
      <c r="G26" s="1302"/>
      <c r="H26" s="1302"/>
      <c r="I26" s="1303"/>
    </row>
    <row r="27" spans="1:9" s="334" customFormat="1" ht="11.25" customHeight="1" x14ac:dyDescent="0.2">
      <c r="A27" s="1065"/>
      <c r="B27" s="360">
        <v>5943</v>
      </c>
      <c r="C27" s="361" t="s">
        <v>139</v>
      </c>
      <c r="D27" s="1304"/>
      <c r="E27" s="1305"/>
      <c r="F27" s="1305"/>
      <c r="G27" s="1305"/>
      <c r="H27" s="1305"/>
      <c r="I27" s="1306"/>
    </row>
    <row r="28" spans="1:9" s="338" customFormat="1" ht="11.25" x14ac:dyDescent="0.2">
      <c r="A28" s="365" t="s">
        <v>90</v>
      </c>
      <c r="B28" s="366">
        <f>SUM(B23:B27)</f>
        <v>137201</v>
      </c>
      <c r="C28" s="900"/>
      <c r="D28" s="900"/>
      <c r="E28" s="900"/>
      <c r="F28" s="900"/>
      <c r="G28" s="900"/>
      <c r="H28" s="900"/>
      <c r="I28" s="901"/>
    </row>
    <row r="29" spans="1:9" s="355" customFormat="1" ht="11.25" x14ac:dyDescent="0.2">
      <c r="C29" s="356"/>
    </row>
    <row r="30" spans="1:9" s="340" customFormat="1" ht="11.25" x14ac:dyDescent="0.2">
      <c r="A30" s="861" t="s">
        <v>140</v>
      </c>
      <c r="B30" s="861"/>
      <c r="C30" s="861"/>
      <c r="D30" s="861"/>
      <c r="E30" s="861"/>
      <c r="F30" s="861"/>
      <c r="G30" s="861"/>
      <c r="H30" s="861"/>
      <c r="I30" s="861"/>
    </row>
    <row r="31" spans="1:9" s="334" customFormat="1" ht="11.25" x14ac:dyDescent="0.2">
      <c r="C31" s="339"/>
    </row>
    <row r="32" spans="1:9" s="334" customFormat="1" ht="11.25" x14ac:dyDescent="0.2">
      <c r="A32" s="335" t="s">
        <v>130</v>
      </c>
      <c r="B32" s="335" t="s">
        <v>16</v>
      </c>
      <c r="C32" s="357" t="s">
        <v>131</v>
      </c>
      <c r="D32" s="902" t="s">
        <v>141</v>
      </c>
      <c r="E32" s="902"/>
      <c r="F32" s="902"/>
      <c r="G32" s="902"/>
      <c r="H32" s="902"/>
      <c r="I32" s="903"/>
    </row>
    <row r="33" spans="1:9" s="334" customFormat="1" ht="24" customHeight="1" x14ac:dyDescent="0.2">
      <c r="A33" s="367" t="s">
        <v>142</v>
      </c>
      <c r="B33" s="358">
        <v>0</v>
      </c>
      <c r="C33" s="368"/>
      <c r="D33" s="897"/>
      <c r="E33" s="898"/>
      <c r="F33" s="898"/>
      <c r="G33" s="898"/>
      <c r="H33" s="898"/>
      <c r="I33" s="899"/>
    </row>
    <row r="34" spans="1:9" s="338" customFormat="1" ht="10.5" x14ac:dyDescent="0.15">
      <c r="A34" s="365" t="s">
        <v>90</v>
      </c>
      <c r="B34" s="366">
        <f>SUM(B33:B33)</f>
        <v>0</v>
      </c>
      <c r="C34" s="891"/>
      <c r="D34" s="891"/>
      <c r="E34" s="891"/>
      <c r="F34" s="891"/>
      <c r="G34" s="891"/>
      <c r="H34" s="891"/>
      <c r="I34" s="891"/>
    </row>
    <row r="35" spans="1:9" s="334" customFormat="1" ht="11.25" x14ac:dyDescent="0.2">
      <c r="C35" s="339"/>
    </row>
    <row r="36" spans="1:9" s="340" customFormat="1" ht="11.25" x14ac:dyDescent="0.2">
      <c r="A36" s="861" t="s">
        <v>143</v>
      </c>
      <c r="B36" s="861"/>
      <c r="C36" s="861"/>
      <c r="D36" s="861"/>
      <c r="E36" s="861"/>
      <c r="F36" s="861"/>
      <c r="G36" s="861"/>
      <c r="H36" s="861"/>
      <c r="I36" s="861"/>
    </row>
    <row r="37" spans="1:9" s="334" customFormat="1" ht="11.25" x14ac:dyDescent="0.2">
      <c r="C37" s="369"/>
    </row>
    <row r="38" spans="1:9" s="334" customFormat="1" ht="11.25" x14ac:dyDescent="0.2">
      <c r="A38" s="335" t="s">
        <v>144</v>
      </c>
      <c r="B38" s="357" t="s">
        <v>145</v>
      </c>
      <c r="C38" s="892" t="s">
        <v>146</v>
      </c>
      <c r="D38" s="892"/>
      <c r="E38" s="892"/>
      <c r="F38" s="892"/>
      <c r="G38" s="892"/>
      <c r="H38" s="892"/>
      <c r="I38" s="893"/>
    </row>
    <row r="39" spans="1:9" s="334" customFormat="1" ht="11.25" x14ac:dyDescent="0.2">
      <c r="A39" s="370">
        <v>30000</v>
      </c>
      <c r="B39" s="370">
        <v>30000</v>
      </c>
      <c r="C39" s="934" t="s">
        <v>147</v>
      </c>
      <c r="D39" s="934"/>
      <c r="E39" s="934"/>
      <c r="F39" s="934"/>
      <c r="G39" s="934"/>
      <c r="H39" s="934"/>
      <c r="I39" s="934"/>
    </row>
    <row r="40" spans="1:9" s="338" customFormat="1" ht="10.5" x14ac:dyDescent="0.15">
      <c r="A40" s="371">
        <f>SUM(A39:A39)</f>
        <v>30000</v>
      </c>
      <c r="B40" s="371">
        <f>SUM(B39:B39)</f>
        <v>30000</v>
      </c>
      <c r="C40" s="878" t="s">
        <v>90</v>
      </c>
      <c r="D40" s="879"/>
      <c r="E40" s="879"/>
      <c r="F40" s="879"/>
      <c r="G40" s="879"/>
      <c r="H40" s="879"/>
      <c r="I40" s="880"/>
    </row>
    <row r="41" spans="1:9" s="334" customFormat="1" ht="11.25" x14ac:dyDescent="0.2">
      <c r="C41" s="369"/>
    </row>
    <row r="42" spans="1:9" s="334" customFormat="1" ht="11.25" x14ac:dyDescent="0.2">
      <c r="A42" s="861" t="s">
        <v>148</v>
      </c>
      <c r="B42" s="865"/>
      <c r="C42" s="865"/>
      <c r="D42" s="865"/>
      <c r="E42" s="865"/>
      <c r="F42" s="865"/>
      <c r="G42" s="865"/>
      <c r="H42" s="865"/>
      <c r="I42" s="865"/>
    </row>
    <row r="43" spans="1:9" s="334" customFormat="1" ht="11.25" x14ac:dyDescent="0.2">
      <c r="C43" s="369"/>
    </row>
    <row r="44" spans="1:9" s="373" customFormat="1" ht="31.5" x14ac:dyDescent="0.25">
      <c r="A44" s="866" t="s">
        <v>149</v>
      </c>
      <c r="B44" s="867"/>
      <c r="C44" s="372" t="s">
        <v>150</v>
      </c>
      <c r="D44" s="372" t="s">
        <v>151</v>
      </c>
      <c r="E44" s="372" t="s">
        <v>152</v>
      </c>
      <c r="F44" s="372" t="s">
        <v>153</v>
      </c>
      <c r="G44" s="372" t="s">
        <v>154</v>
      </c>
    </row>
    <row r="45" spans="1:9" s="334" customFormat="1" ht="12" x14ac:dyDescent="0.2">
      <c r="A45" s="1292" t="s">
        <v>155</v>
      </c>
      <c r="B45" s="1293"/>
      <c r="C45" s="374" t="s">
        <v>156</v>
      </c>
      <c r="D45" s="375"/>
      <c r="E45" s="375">
        <v>535500</v>
      </c>
      <c r="F45" s="376">
        <v>42815</v>
      </c>
      <c r="G45" s="376">
        <v>42855</v>
      </c>
    </row>
    <row r="46" spans="1:9" s="334" customFormat="1" ht="12" x14ac:dyDescent="0.2">
      <c r="A46" s="1294"/>
      <c r="B46" s="1295"/>
      <c r="C46" s="377" t="s">
        <v>157</v>
      </c>
      <c r="D46" s="378"/>
      <c r="E46" s="378">
        <v>57600</v>
      </c>
      <c r="F46" s="379">
        <v>42815</v>
      </c>
      <c r="G46" s="379">
        <v>42855</v>
      </c>
    </row>
    <row r="47" spans="1:9" s="334" customFormat="1" ht="12" x14ac:dyDescent="0.2">
      <c r="A47" s="1294"/>
      <c r="B47" s="1295"/>
      <c r="C47" s="377" t="s">
        <v>158</v>
      </c>
      <c r="D47" s="378"/>
      <c r="E47" s="378">
        <v>133890</v>
      </c>
      <c r="F47" s="379">
        <v>42815</v>
      </c>
      <c r="G47" s="379">
        <v>42855</v>
      </c>
    </row>
    <row r="48" spans="1:9" s="334" customFormat="1" ht="12" x14ac:dyDescent="0.2">
      <c r="A48" s="1294"/>
      <c r="B48" s="1295"/>
      <c r="C48" s="377" t="s">
        <v>159</v>
      </c>
      <c r="D48" s="378"/>
      <c r="E48" s="378">
        <v>48200</v>
      </c>
      <c r="F48" s="379">
        <v>42815</v>
      </c>
      <c r="G48" s="379">
        <v>42855</v>
      </c>
    </row>
    <row r="49" spans="1:9" s="334" customFormat="1" ht="12" x14ac:dyDescent="0.2">
      <c r="A49" s="1294"/>
      <c r="B49" s="1295"/>
      <c r="C49" s="377" t="s">
        <v>160</v>
      </c>
      <c r="D49" s="378"/>
      <c r="E49" s="378">
        <v>2250</v>
      </c>
      <c r="F49" s="379">
        <v>42815</v>
      </c>
      <c r="G49" s="379">
        <v>42855</v>
      </c>
    </row>
    <row r="50" spans="1:9" s="334" customFormat="1" ht="12" x14ac:dyDescent="0.2">
      <c r="A50" s="1294"/>
      <c r="B50" s="1295"/>
      <c r="C50" s="377" t="s">
        <v>161</v>
      </c>
      <c r="D50" s="378"/>
      <c r="E50" s="378">
        <v>10710</v>
      </c>
      <c r="F50" s="379">
        <v>42815</v>
      </c>
      <c r="G50" s="379">
        <v>42855</v>
      </c>
    </row>
    <row r="51" spans="1:9" s="334" customFormat="1" ht="12" x14ac:dyDescent="0.2">
      <c r="A51" s="1290"/>
      <c r="B51" s="1291"/>
      <c r="C51" s="380" t="s">
        <v>162</v>
      </c>
      <c r="D51" s="381">
        <v>788150</v>
      </c>
      <c r="E51" s="381"/>
      <c r="F51" s="382">
        <v>42815</v>
      </c>
      <c r="G51" s="382">
        <v>42855</v>
      </c>
    </row>
    <row r="52" spans="1:9" s="334" customFormat="1" ht="12" x14ac:dyDescent="0.2">
      <c r="A52" s="1296" t="s">
        <v>163</v>
      </c>
      <c r="B52" s="1297"/>
      <c r="C52" s="383" t="s">
        <v>164</v>
      </c>
      <c r="D52" s="384">
        <v>4700</v>
      </c>
      <c r="E52" s="384"/>
      <c r="F52" s="385">
        <v>42873</v>
      </c>
      <c r="G52" s="385">
        <v>42873</v>
      </c>
    </row>
    <row r="53" spans="1:9" s="334" customFormat="1" ht="12" x14ac:dyDescent="0.2">
      <c r="A53" s="1294"/>
      <c r="B53" s="1295"/>
      <c r="C53" s="377" t="s">
        <v>165</v>
      </c>
      <c r="D53" s="386"/>
      <c r="E53" s="378">
        <v>4200</v>
      </c>
      <c r="F53" s="379">
        <v>42873</v>
      </c>
      <c r="G53" s="379">
        <v>42873</v>
      </c>
    </row>
    <row r="54" spans="1:9" s="334" customFormat="1" ht="12" x14ac:dyDescent="0.2">
      <c r="A54" s="1290"/>
      <c r="B54" s="1291"/>
      <c r="C54" s="377" t="s">
        <v>166</v>
      </c>
      <c r="D54" s="386"/>
      <c r="E54" s="378">
        <v>500</v>
      </c>
      <c r="F54" s="379">
        <v>42873</v>
      </c>
      <c r="G54" s="382">
        <v>42873</v>
      </c>
    </row>
    <row r="55" spans="1:9" s="334" customFormat="1" ht="12" x14ac:dyDescent="0.2">
      <c r="A55" s="1296" t="s">
        <v>167</v>
      </c>
      <c r="B55" s="1297"/>
      <c r="C55" s="383" t="s">
        <v>156</v>
      </c>
      <c r="D55" s="384"/>
      <c r="E55" s="384">
        <v>37100</v>
      </c>
      <c r="F55" s="385">
        <v>42916</v>
      </c>
      <c r="G55" s="385">
        <v>42916</v>
      </c>
    </row>
    <row r="56" spans="1:9" s="334" customFormat="1" ht="12" x14ac:dyDescent="0.2">
      <c r="A56" s="1294"/>
      <c r="B56" s="1295"/>
      <c r="C56" s="377" t="s">
        <v>168</v>
      </c>
      <c r="D56" s="378">
        <v>37100</v>
      </c>
      <c r="E56" s="378"/>
      <c r="F56" s="379">
        <v>42916</v>
      </c>
      <c r="G56" s="382">
        <v>42916</v>
      </c>
    </row>
    <row r="57" spans="1:9" s="334" customFormat="1" ht="11.25" x14ac:dyDescent="0.2">
      <c r="A57" s="872" t="s">
        <v>169</v>
      </c>
      <c r="B57" s="873"/>
      <c r="C57" s="387"/>
      <c r="D57" s="354">
        <f>SUM(D45:D56)</f>
        <v>829950</v>
      </c>
      <c r="E57" s="354">
        <f>SUM(E45:E56)</f>
        <v>829950</v>
      </c>
      <c r="F57" s="881"/>
      <c r="G57" s="882"/>
    </row>
    <row r="58" spans="1:9" s="334" customFormat="1" ht="11.25" x14ac:dyDescent="0.2">
      <c r="C58" s="369"/>
    </row>
    <row r="59" spans="1:9" s="334" customFormat="1" ht="11.25" x14ac:dyDescent="0.2">
      <c r="A59" s="865" t="s">
        <v>170</v>
      </c>
      <c r="B59" s="865"/>
      <c r="C59" s="865"/>
      <c r="D59" s="865"/>
      <c r="E59" s="865"/>
      <c r="F59" s="865"/>
      <c r="G59" s="865"/>
      <c r="H59" s="865"/>
      <c r="I59" s="865"/>
    </row>
    <row r="60" spans="1:9" s="334" customFormat="1" ht="11.25" x14ac:dyDescent="0.2">
      <c r="C60" s="369"/>
    </row>
    <row r="61" spans="1:9" s="373" customFormat="1" ht="31.5" x14ac:dyDescent="0.25">
      <c r="A61" s="866" t="s">
        <v>149</v>
      </c>
      <c r="B61" s="867"/>
      <c r="C61" s="372" t="s">
        <v>150</v>
      </c>
      <c r="D61" s="372" t="s">
        <v>151</v>
      </c>
      <c r="E61" s="372" t="s">
        <v>152</v>
      </c>
      <c r="F61" s="372" t="s">
        <v>153</v>
      </c>
      <c r="G61" s="372" t="s">
        <v>154</v>
      </c>
    </row>
    <row r="62" spans="1:9" s="334" customFormat="1" ht="11.25" customHeight="1" x14ac:dyDescent="0.2">
      <c r="A62" s="1290" t="s">
        <v>171</v>
      </c>
      <c r="B62" s="1291"/>
      <c r="C62" s="388"/>
      <c r="D62" s="389">
        <v>0</v>
      </c>
      <c r="E62" s="389">
        <v>0</v>
      </c>
      <c r="F62" s="390"/>
      <c r="G62" s="390"/>
    </row>
    <row r="63" spans="1:9" s="334" customFormat="1" ht="11.25" x14ac:dyDescent="0.2">
      <c r="A63" s="872" t="s">
        <v>169</v>
      </c>
      <c r="B63" s="873"/>
      <c r="C63" s="387"/>
      <c r="D63" s="354">
        <f>SUM(D62:D62)</f>
        <v>0</v>
      </c>
      <c r="E63" s="354">
        <f>SUM(E62:E62)</f>
        <v>0</v>
      </c>
      <c r="F63" s="874"/>
      <c r="G63" s="875"/>
    </row>
    <row r="64" spans="1:9" s="334" customFormat="1" ht="11.25" x14ac:dyDescent="0.2">
      <c r="C64" s="369"/>
    </row>
    <row r="65" spans="1:9" s="340" customFormat="1" ht="11.25" x14ac:dyDescent="0.2">
      <c r="A65" s="860" t="s">
        <v>172</v>
      </c>
      <c r="B65" s="860"/>
      <c r="C65" s="860"/>
      <c r="D65" s="860"/>
      <c r="E65" s="860"/>
      <c r="F65" s="860"/>
      <c r="G65" s="860"/>
      <c r="H65" s="860"/>
      <c r="I65" s="860"/>
    </row>
    <row r="66" spans="1:9" s="334" customFormat="1" ht="11.25" x14ac:dyDescent="0.2"/>
    <row r="67" spans="1:9" s="334" customFormat="1" ht="24.75" customHeight="1" x14ac:dyDescent="0.2">
      <c r="A67" s="1132" t="s">
        <v>173</v>
      </c>
      <c r="B67" s="1134"/>
      <c r="C67" s="1134"/>
      <c r="D67" s="1134"/>
      <c r="E67" s="1134"/>
      <c r="F67" s="1134"/>
      <c r="G67" s="1134"/>
      <c r="H67" s="1134"/>
      <c r="I67" s="1135"/>
    </row>
    <row r="68" spans="1:9" s="334" customFormat="1" ht="11.25" customHeight="1" x14ac:dyDescent="0.2">
      <c r="A68" s="1286" t="s">
        <v>174</v>
      </c>
      <c r="B68" s="1287"/>
      <c r="C68" s="1287"/>
      <c r="D68" s="1287"/>
      <c r="E68" s="1287"/>
      <c r="F68" s="1287"/>
      <c r="G68" s="1287"/>
      <c r="H68" s="1287"/>
      <c r="I68" s="1288"/>
    </row>
    <row r="69" spans="1:9" s="334" customFormat="1" ht="11.25" x14ac:dyDescent="0.2"/>
    <row r="70" spans="1:9" s="333" customFormat="1" ht="10.5" x14ac:dyDescent="0.15">
      <c r="A70" s="861" t="s">
        <v>175</v>
      </c>
      <c r="B70" s="861"/>
      <c r="C70" s="861"/>
      <c r="D70" s="861"/>
      <c r="E70" s="861"/>
      <c r="F70" s="861"/>
      <c r="G70" s="861"/>
      <c r="H70" s="861"/>
      <c r="I70" s="861"/>
    </row>
    <row r="71" spans="1:9" s="334" customFormat="1" ht="11.25" x14ac:dyDescent="0.2"/>
    <row r="72" spans="1:9" s="334" customFormat="1" ht="25.5" customHeight="1" x14ac:dyDescent="0.2">
      <c r="A72" s="862" t="s">
        <v>176</v>
      </c>
      <c r="B72" s="863"/>
      <c r="C72" s="863"/>
      <c r="D72" s="863"/>
      <c r="E72" s="863"/>
      <c r="F72" s="863"/>
      <c r="G72" s="863"/>
      <c r="H72" s="863"/>
      <c r="I72" s="864"/>
    </row>
    <row r="73" spans="1:9" s="334" customFormat="1" ht="38.25" customHeight="1" x14ac:dyDescent="0.2">
      <c r="A73" s="1132" t="s">
        <v>177</v>
      </c>
      <c r="B73" s="1134"/>
      <c r="C73" s="1134"/>
      <c r="D73" s="1134"/>
      <c r="E73" s="1134"/>
      <c r="F73" s="1134"/>
      <c r="G73" s="1134"/>
      <c r="H73" s="1134"/>
      <c r="I73" s="1135"/>
    </row>
    <row r="74" spans="1:9" s="334" customFormat="1" ht="11.25" customHeight="1" x14ac:dyDescent="0.2">
      <c r="A74" s="1286" t="s">
        <v>178</v>
      </c>
      <c r="B74" s="1287"/>
      <c r="C74" s="1287"/>
      <c r="D74" s="1287"/>
      <c r="E74" s="1287"/>
      <c r="F74" s="1287"/>
      <c r="G74" s="1287"/>
      <c r="H74" s="1287"/>
      <c r="I74" s="1288"/>
    </row>
    <row r="76" spans="1:9" ht="18.75" x14ac:dyDescent="0.3">
      <c r="A76" s="391"/>
    </row>
    <row r="77" spans="1:9" ht="18.75" x14ac:dyDescent="0.3">
      <c r="A77" s="391"/>
    </row>
    <row r="78" spans="1:9" x14ac:dyDescent="0.2">
      <c r="A78" s="393" t="s">
        <v>179</v>
      </c>
      <c r="B78" s="393"/>
      <c r="C78" s="393"/>
      <c r="D78" s="1289" t="s">
        <v>180</v>
      </c>
      <c r="E78" s="1289"/>
      <c r="F78" s="1289"/>
      <c r="G78" s="1289"/>
    </row>
    <row r="79" spans="1:9" x14ac:dyDescent="0.2">
      <c r="A79" s="393" t="s">
        <v>181</v>
      </c>
      <c r="B79" s="393"/>
      <c r="C79" s="393"/>
      <c r="D79" s="1289" t="s">
        <v>182</v>
      </c>
      <c r="E79" s="1289"/>
      <c r="F79" s="1289"/>
      <c r="G79" s="1289"/>
    </row>
    <row r="80" spans="1:9" x14ac:dyDescent="0.2">
      <c r="A80" s="393"/>
      <c r="B80" s="393"/>
      <c r="C80" s="393"/>
      <c r="D80" s="1289" t="s">
        <v>183</v>
      </c>
      <c r="E80" s="1289"/>
      <c r="F80" s="1289"/>
      <c r="G80" s="1289"/>
    </row>
  </sheetData>
  <mergeCells count="53">
    <mergeCell ref="A1:I1"/>
    <mergeCell ref="A3:I3"/>
    <mergeCell ref="A5:B5"/>
    <mergeCell ref="D5:I5"/>
    <mergeCell ref="A6:B6"/>
    <mergeCell ref="D6:I6"/>
    <mergeCell ref="G18:I18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C39:I39"/>
    <mergeCell ref="A20:I20"/>
    <mergeCell ref="D22:I22"/>
    <mergeCell ref="A23:A27"/>
    <mergeCell ref="D23:I27"/>
    <mergeCell ref="C28:I28"/>
    <mergeCell ref="A30:I30"/>
    <mergeCell ref="D32:I32"/>
    <mergeCell ref="D33:I33"/>
    <mergeCell ref="C34:I34"/>
    <mergeCell ref="A36:I36"/>
    <mergeCell ref="C38:I38"/>
    <mergeCell ref="A63:B63"/>
    <mergeCell ref="F63:G63"/>
    <mergeCell ref="C40:I40"/>
    <mergeCell ref="A42:I42"/>
    <mergeCell ref="A44:B44"/>
    <mergeCell ref="A45:B51"/>
    <mergeCell ref="A52:B54"/>
    <mergeCell ref="A55:B56"/>
    <mergeCell ref="A57:B57"/>
    <mergeCell ref="F57:G57"/>
    <mergeCell ref="A59:I59"/>
    <mergeCell ref="A61:B61"/>
    <mergeCell ref="A62:B62"/>
    <mergeCell ref="A74:I74"/>
    <mergeCell ref="D78:G78"/>
    <mergeCell ref="D79:G79"/>
    <mergeCell ref="D80:G80"/>
    <mergeCell ref="A65:I65"/>
    <mergeCell ref="A67:I67"/>
    <mergeCell ref="A68:I68"/>
    <mergeCell ref="A70:I70"/>
    <mergeCell ref="A72:I72"/>
    <mergeCell ref="A73:I73"/>
  </mergeCells>
  <pageMargins left="0.70866141732283472" right="0.70866141732283472" top="0.78740157480314965" bottom="0.78740157480314965" header="0.31496062992125984" footer="0.31496062992125984"/>
  <pageSetup paperSize="9" scale="61" firstPageNumber="92" fitToHeight="3" orientation="portrait" useFirstPageNumber="1" r:id="rId1"/>
  <headerFooter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80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10992037</v>
      </c>
      <c r="F6" s="8">
        <f>SUM(F7:F9)</f>
        <v>11025237</v>
      </c>
      <c r="G6" s="8">
        <f>SUM(G7:G9)</f>
        <v>5486454</v>
      </c>
      <c r="H6" s="9">
        <f t="shared" ref="H6:H36" si="0">G6/F6*100</f>
        <v>49.762685373566114</v>
      </c>
      <c r="I6" s="8">
        <f>SUM(I7:I9)</f>
        <v>4464510</v>
      </c>
      <c r="J6" s="8">
        <f>SUM(J7:J9)</f>
        <v>9125000</v>
      </c>
      <c r="K6" s="8">
        <f t="shared" ref="K6:X6" si="1">SUM(K7:K9)</f>
        <v>9158200</v>
      </c>
      <c r="L6" s="8">
        <f t="shared" si="1"/>
        <v>4590417</v>
      </c>
      <c r="M6" s="9">
        <f t="shared" ref="M6:M36" si="2">L6/K6*100</f>
        <v>50.123572317704358</v>
      </c>
      <c r="N6" s="8">
        <f t="shared" si="1"/>
        <v>4464510</v>
      </c>
      <c r="O6" s="8">
        <f t="shared" si="1"/>
        <v>1867037</v>
      </c>
      <c r="P6" s="8">
        <f t="shared" si="1"/>
        <v>1867037</v>
      </c>
      <c r="Q6" s="8">
        <f t="shared" si="1"/>
        <v>896037</v>
      </c>
      <c r="R6" s="9">
        <f t="shared" ref="R6:R36" si="3">Q6/P6*100</f>
        <v>47.992460781441402</v>
      </c>
      <c r="S6" s="8">
        <f t="shared" si="1"/>
        <v>0</v>
      </c>
      <c r="T6" s="8">
        <f t="shared" si="1"/>
        <v>0</v>
      </c>
      <c r="U6" s="8">
        <f t="shared" si="1"/>
        <v>0</v>
      </c>
      <c r="V6" s="8">
        <f t="shared" si="1"/>
        <v>0</v>
      </c>
      <c r="W6" s="9" t="e">
        <f t="shared" ref="W6:W36" si="4">V6/U6*100</f>
        <v>#DIV/0!</v>
      </c>
      <c r="X6" s="8">
        <f t="shared" si="1"/>
        <v>0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5">SUM(J7,O7)</f>
        <v>626000</v>
      </c>
      <c r="F7" s="12">
        <f t="shared" si="5"/>
        <v>659200</v>
      </c>
      <c r="G7" s="12">
        <f t="shared" si="5"/>
        <v>340917</v>
      </c>
      <c r="H7" s="13">
        <f t="shared" si="0"/>
        <v>51.71677791262136</v>
      </c>
      <c r="I7" s="12">
        <f>SUM(N7,S7)</f>
        <v>323706</v>
      </c>
      <c r="J7" s="44">
        <v>626000</v>
      </c>
      <c r="K7" s="14">
        <v>659200</v>
      </c>
      <c r="L7" s="14">
        <v>340917</v>
      </c>
      <c r="M7" s="13">
        <f t="shared" si="2"/>
        <v>51.71677791262136</v>
      </c>
      <c r="N7" s="14">
        <v>323706</v>
      </c>
      <c r="O7" s="14"/>
      <c r="P7" s="14"/>
      <c r="Q7" s="14"/>
      <c r="R7" s="13" t="e">
        <f t="shared" si="3"/>
        <v>#DIV/0!</v>
      </c>
      <c r="S7" s="14"/>
      <c r="T7" s="14"/>
      <c r="U7" s="14"/>
      <c r="V7" s="14"/>
      <c r="W7" s="13" t="e">
        <f t="shared" si="4"/>
        <v>#DIV/0!</v>
      </c>
      <c r="X7" s="14"/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5"/>
        <v>0</v>
      </c>
      <c r="F8" s="12">
        <f t="shared" si="5"/>
        <v>0</v>
      </c>
      <c r="G8" s="12">
        <f t="shared" si="5"/>
        <v>0</v>
      </c>
      <c r="H8" s="13" t="e">
        <f t="shared" si="0"/>
        <v>#DIV/0!</v>
      </c>
      <c r="I8" s="12">
        <f>SUM(N8,S8)</f>
        <v>0</v>
      </c>
      <c r="J8" s="45">
        <v>0</v>
      </c>
      <c r="K8" s="12">
        <v>0</v>
      </c>
      <c r="L8" s="12">
        <v>0</v>
      </c>
      <c r="M8" s="13" t="e">
        <f t="shared" si="2"/>
        <v>#DIV/0!</v>
      </c>
      <c r="N8" s="12">
        <v>0</v>
      </c>
      <c r="O8" s="12"/>
      <c r="P8" s="12"/>
      <c r="Q8" s="12"/>
      <c r="R8" s="13" t="e">
        <f t="shared" si="3"/>
        <v>#DIV/0!</v>
      </c>
      <c r="S8" s="12"/>
      <c r="T8" s="12"/>
      <c r="U8" s="12"/>
      <c r="V8" s="12"/>
      <c r="W8" s="13" t="e">
        <f t="shared" si="4"/>
        <v>#DIV/0!</v>
      </c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5"/>
        <v>10366037</v>
      </c>
      <c r="F9" s="12">
        <f t="shared" si="5"/>
        <v>10366037</v>
      </c>
      <c r="G9" s="12">
        <f t="shared" si="5"/>
        <v>5145537</v>
      </c>
      <c r="H9" s="13">
        <f t="shared" si="0"/>
        <v>49.638420159989785</v>
      </c>
      <c r="I9" s="12">
        <f>SUM(N9,S9)</f>
        <v>4140804</v>
      </c>
      <c r="J9" s="45">
        <v>8499000</v>
      </c>
      <c r="K9" s="12">
        <v>8499000</v>
      </c>
      <c r="L9" s="12">
        <v>4249500</v>
      </c>
      <c r="M9" s="13">
        <f t="shared" si="2"/>
        <v>50</v>
      </c>
      <c r="N9" s="12">
        <v>4140804</v>
      </c>
      <c r="O9" s="12">
        <v>1867037</v>
      </c>
      <c r="P9" s="12">
        <v>1867037</v>
      </c>
      <c r="Q9" s="12">
        <v>896037</v>
      </c>
      <c r="R9" s="13">
        <f t="shared" si="3"/>
        <v>47.992460781441402</v>
      </c>
      <c r="S9" s="12">
        <v>0</v>
      </c>
      <c r="T9" s="12"/>
      <c r="U9" s="12"/>
      <c r="V9" s="12"/>
      <c r="W9" s="13" t="e">
        <f t="shared" si="4"/>
        <v>#DIV/0!</v>
      </c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5"/>
        <v>0</v>
      </c>
      <c r="F10" s="18">
        <f t="shared" si="5"/>
        <v>0</v>
      </c>
      <c r="G10" s="18">
        <f t="shared" si="5"/>
        <v>0</v>
      </c>
      <c r="H10" s="9" t="e">
        <f t="shared" si="0"/>
        <v>#DIV/0!</v>
      </c>
      <c r="I10" s="18">
        <f>SUM(N10,S10)</f>
        <v>0</v>
      </c>
      <c r="J10" s="19"/>
      <c r="K10" s="18"/>
      <c r="L10" s="18"/>
      <c r="M10" s="9" t="e">
        <f t="shared" si="2"/>
        <v>#DIV/0!</v>
      </c>
      <c r="N10" s="18"/>
      <c r="O10" s="18"/>
      <c r="P10" s="18"/>
      <c r="Q10" s="18"/>
      <c r="R10" s="9" t="e">
        <f t="shared" si="3"/>
        <v>#DIV/0!</v>
      </c>
      <c r="S10" s="18"/>
      <c r="T10" s="18"/>
      <c r="U10" s="18"/>
      <c r="V10" s="18"/>
      <c r="W10" s="9" t="e">
        <f t="shared" si="4"/>
        <v>#DIV/0!</v>
      </c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10992037</v>
      </c>
      <c r="F11" s="8">
        <f>SUM(F12:F31)</f>
        <v>11025237</v>
      </c>
      <c r="G11" s="8">
        <f>SUM(G12:G31)</f>
        <v>5323272</v>
      </c>
      <c r="H11" s="9">
        <f t="shared" si="0"/>
        <v>48.282608346650505</v>
      </c>
      <c r="I11" s="8">
        <f>SUM(I12:I31)</f>
        <v>4927399</v>
      </c>
      <c r="J11" s="8">
        <f>SUM(J12:J31)</f>
        <v>9125000</v>
      </c>
      <c r="K11" s="8">
        <f>SUM(K12:K31)</f>
        <v>9158200</v>
      </c>
      <c r="L11" s="8">
        <f>SUM(L12:L31)</f>
        <v>4417235</v>
      </c>
      <c r="M11" s="9">
        <f t="shared" si="2"/>
        <v>48.232567535105154</v>
      </c>
      <c r="N11" s="8">
        <f>SUM(N12:N31)</f>
        <v>4193320</v>
      </c>
      <c r="O11" s="8">
        <f>SUM(O12:O31)</f>
        <v>1867037</v>
      </c>
      <c r="P11" s="8">
        <f>SUM(P12:P31)</f>
        <v>1867037</v>
      </c>
      <c r="Q11" s="8">
        <f>SUM(Q12:Q31)</f>
        <v>906037</v>
      </c>
      <c r="R11" s="9">
        <f t="shared" si="3"/>
        <v>48.52806880634931</v>
      </c>
      <c r="S11" s="8">
        <f>SUM(S12:S31)</f>
        <v>734079</v>
      </c>
      <c r="T11" s="8">
        <f>SUM(T12:T31)</f>
        <v>0</v>
      </c>
      <c r="U11" s="8">
        <f>SUM(U12:U31)</f>
        <v>0</v>
      </c>
      <c r="V11" s="8">
        <f>SUM(V12:V31)</f>
        <v>0</v>
      </c>
      <c r="W11" s="9" t="e">
        <f t="shared" si="4"/>
        <v>#DIV/0!</v>
      </c>
      <c r="X11" s="8">
        <f>SUM(X12:X31)</f>
        <v>0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6">SUM(J12,O12)</f>
        <v>1531637</v>
      </c>
      <c r="F12" s="12">
        <f t="shared" si="6"/>
        <v>1531637</v>
      </c>
      <c r="G12" s="12">
        <f t="shared" si="6"/>
        <v>769900</v>
      </c>
      <c r="H12" s="13">
        <f t="shared" si="0"/>
        <v>50.26647959013787</v>
      </c>
      <c r="I12" s="12">
        <f t="shared" si="6"/>
        <v>579419</v>
      </c>
      <c r="J12" s="20">
        <v>1160000</v>
      </c>
      <c r="K12" s="21">
        <v>1160000</v>
      </c>
      <c r="L12" s="21">
        <v>585238</v>
      </c>
      <c r="M12" s="13">
        <f t="shared" si="2"/>
        <v>50.451551724137936</v>
      </c>
      <c r="N12" s="22">
        <v>579419</v>
      </c>
      <c r="O12" s="21">
        <v>371637</v>
      </c>
      <c r="P12" s="21">
        <v>371637</v>
      </c>
      <c r="Q12" s="21">
        <v>184662</v>
      </c>
      <c r="R12" s="13">
        <f t="shared" si="3"/>
        <v>49.688809241275763</v>
      </c>
      <c r="S12" s="21">
        <v>0</v>
      </c>
      <c r="T12" s="21"/>
      <c r="U12" s="21"/>
      <c r="V12" s="21"/>
      <c r="W12" s="13" t="e">
        <f t="shared" si="4"/>
        <v>#DIV/0!</v>
      </c>
      <c r="X12" s="22"/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6"/>
        <v>630500</v>
      </c>
      <c r="F13" s="12">
        <f t="shared" si="6"/>
        <v>582500</v>
      </c>
      <c r="G13" s="12">
        <f t="shared" si="6"/>
        <v>187497</v>
      </c>
      <c r="H13" s="13">
        <f t="shared" si="0"/>
        <v>32.188326180257512</v>
      </c>
      <c r="I13" s="12">
        <f t="shared" si="6"/>
        <v>223702</v>
      </c>
      <c r="J13" s="20">
        <v>625000</v>
      </c>
      <c r="K13" s="12">
        <v>577000</v>
      </c>
      <c r="L13" s="12">
        <v>187497</v>
      </c>
      <c r="M13" s="13">
        <f t="shared" si="2"/>
        <v>32.495147313691511</v>
      </c>
      <c r="N13" s="12">
        <v>223702</v>
      </c>
      <c r="O13" s="12">
        <v>5500</v>
      </c>
      <c r="P13" s="12">
        <v>5500</v>
      </c>
      <c r="Q13" s="12">
        <v>0</v>
      </c>
      <c r="R13" s="13">
        <f t="shared" si="3"/>
        <v>0</v>
      </c>
      <c r="S13" s="12">
        <v>0</v>
      </c>
      <c r="T13" s="12"/>
      <c r="U13" s="12"/>
      <c r="V13" s="12"/>
      <c r="W13" s="13" t="e">
        <f t="shared" si="4"/>
        <v>#DIV/0!</v>
      </c>
      <c r="X13" s="12"/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3" t="e">
        <f t="shared" si="0"/>
        <v>#DIV/0!</v>
      </c>
      <c r="I14" s="12">
        <f t="shared" si="6"/>
        <v>0</v>
      </c>
      <c r="J14" s="20"/>
      <c r="K14" s="12"/>
      <c r="L14" s="12"/>
      <c r="M14" s="13" t="e">
        <f t="shared" si="2"/>
        <v>#DIV/0!</v>
      </c>
      <c r="N14" s="12"/>
      <c r="O14" s="12"/>
      <c r="P14" s="12"/>
      <c r="Q14" s="12"/>
      <c r="R14" s="13" t="e">
        <f t="shared" si="3"/>
        <v>#DIV/0!</v>
      </c>
      <c r="S14" s="12"/>
      <c r="T14" s="12"/>
      <c r="U14" s="12"/>
      <c r="V14" s="12"/>
      <c r="W14" s="13" t="e">
        <f t="shared" si="4"/>
        <v>#DIV/0!</v>
      </c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6"/>
        <v>142000</v>
      </c>
      <c r="F15" s="12">
        <f t="shared" si="6"/>
        <v>142000</v>
      </c>
      <c r="G15" s="12">
        <f t="shared" si="6"/>
        <v>42932</v>
      </c>
      <c r="H15" s="13">
        <f t="shared" si="0"/>
        <v>30.233802816901406</v>
      </c>
      <c r="I15" s="12">
        <f t="shared" si="6"/>
        <v>36047</v>
      </c>
      <c r="J15" s="20">
        <v>142000</v>
      </c>
      <c r="K15" s="12">
        <v>142000</v>
      </c>
      <c r="L15" s="12">
        <v>42932</v>
      </c>
      <c r="M15" s="13">
        <f t="shared" si="2"/>
        <v>30.233802816901406</v>
      </c>
      <c r="N15" s="12">
        <v>36047</v>
      </c>
      <c r="O15" s="12"/>
      <c r="P15" s="12"/>
      <c r="Q15" s="12"/>
      <c r="R15" s="13" t="e">
        <f t="shared" si="3"/>
        <v>#DIV/0!</v>
      </c>
      <c r="S15" s="12"/>
      <c r="T15" s="12"/>
      <c r="U15" s="12"/>
      <c r="V15" s="12"/>
      <c r="W15" s="13" t="e">
        <f t="shared" si="4"/>
        <v>#DIV/0!</v>
      </c>
      <c r="X15" s="12"/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6"/>
        <v>40000</v>
      </c>
      <c r="F16" s="12">
        <f t="shared" si="6"/>
        <v>40000</v>
      </c>
      <c r="G16" s="12">
        <f t="shared" si="6"/>
        <v>17714</v>
      </c>
      <c r="H16" s="13">
        <f t="shared" si="0"/>
        <v>44.285000000000004</v>
      </c>
      <c r="I16" s="12">
        <f t="shared" si="6"/>
        <v>20587</v>
      </c>
      <c r="J16" s="20">
        <v>20000</v>
      </c>
      <c r="K16" s="12">
        <v>20000</v>
      </c>
      <c r="L16" s="12">
        <v>7913</v>
      </c>
      <c r="M16" s="13">
        <f t="shared" si="2"/>
        <v>39.564999999999998</v>
      </c>
      <c r="N16" s="12">
        <v>12471</v>
      </c>
      <c r="O16" s="12">
        <v>20000</v>
      </c>
      <c r="P16" s="12">
        <v>20000</v>
      </c>
      <c r="Q16" s="12">
        <v>9801</v>
      </c>
      <c r="R16" s="13">
        <f t="shared" si="3"/>
        <v>49.004999999999995</v>
      </c>
      <c r="S16" s="12">
        <v>8116</v>
      </c>
      <c r="T16" s="12"/>
      <c r="U16" s="12"/>
      <c r="V16" s="12"/>
      <c r="W16" s="13" t="e">
        <f t="shared" si="4"/>
        <v>#DIV/0!</v>
      </c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6"/>
        <v>4000</v>
      </c>
      <c r="F17" s="12">
        <f t="shared" si="6"/>
        <v>4000</v>
      </c>
      <c r="G17" s="12">
        <f t="shared" si="6"/>
        <v>1839</v>
      </c>
      <c r="H17" s="13">
        <f t="shared" si="0"/>
        <v>45.975000000000001</v>
      </c>
      <c r="I17" s="12">
        <f t="shared" si="6"/>
        <v>2894</v>
      </c>
      <c r="J17" s="20">
        <v>4000</v>
      </c>
      <c r="K17" s="12">
        <v>4000</v>
      </c>
      <c r="L17" s="12">
        <v>1839</v>
      </c>
      <c r="M17" s="13">
        <f t="shared" si="2"/>
        <v>45.975000000000001</v>
      </c>
      <c r="N17" s="12">
        <v>2894</v>
      </c>
      <c r="O17" s="12"/>
      <c r="P17" s="12"/>
      <c r="Q17" s="12"/>
      <c r="R17" s="13" t="e">
        <f t="shared" si="3"/>
        <v>#DIV/0!</v>
      </c>
      <c r="S17" s="12"/>
      <c r="T17" s="12"/>
      <c r="U17" s="12"/>
      <c r="V17" s="12"/>
      <c r="W17" s="13" t="e">
        <f t="shared" si="4"/>
        <v>#DIV/0!</v>
      </c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6"/>
        <v>648500</v>
      </c>
      <c r="F18" s="12">
        <f t="shared" si="6"/>
        <v>696500</v>
      </c>
      <c r="G18" s="12">
        <f t="shared" si="6"/>
        <v>363690</v>
      </c>
      <c r="H18" s="13">
        <f t="shared" si="0"/>
        <v>52.216798277099784</v>
      </c>
      <c r="I18" s="12">
        <f t="shared" si="6"/>
        <v>280686</v>
      </c>
      <c r="J18" s="20">
        <v>631000</v>
      </c>
      <c r="K18" s="12">
        <v>679000</v>
      </c>
      <c r="L18" s="12">
        <v>353649</v>
      </c>
      <c r="M18" s="13">
        <f t="shared" si="2"/>
        <v>52.083799705449188</v>
      </c>
      <c r="N18" s="12">
        <v>280493</v>
      </c>
      <c r="O18" s="12">
        <v>17500</v>
      </c>
      <c r="P18" s="12">
        <v>17500</v>
      </c>
      <c r="Q18" s="12">
        <v>10041</v>
      </c>
      <c r="R18" s="13">
        <f t="shared" si="3"/>
        <v>57.377142857142857</v>
      </c>
      <c r="S18" s="12">
        <v>193</v>
      </c>
      <c r="T18" s="12"/>
      <c r="U18" s="12"/>
      <c r="V18" s="12"/>
      <c r="W18" s="13" t="e">
        <f t="shared" si="4"/>
        <v>#DIV/0!</v>
      </c>
      <c r="X18" s="12"/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6"/>
        <v>5498000</v>
      </c>
      <c r="F19" s="12">
        <f t="shared" si="6"/>
        <v>5498000</v>
      </c>
      <c r="G19" s="12">
        <f t="shared" si="6"/>
        <v>2701712</v>
      </c>
      <c r="H19" s="13">
        <f t="shared" si="0"/>
        <v>49.139905420152786</v>
      </c>
      <c r="I19" s="12">
        <f t="shared" si="6"/>
        <v>2622479</v>
      </c>
      <c r="J19" s="23">
        <v>4438000</v>
      </c>
      <c r="K19" s="12">
        <v>4438000</v>
      </c>
      <c r="L19" s="12">
        <v>2189456</v>
      </c>
      <c r="M19" s="13">
        <f t="shared" si="2"/>
        <v>49.334294727354667</v>
      </c>
      <c r="N19" s="12">
        <v>2088577</v>
      </c>
      <c r="O19" s="12">
        <v>1060000</v>
      </c>
      <c r="P19" s="12">
        <v>1060000</v>
      </c>
      <c r="Q19" s="12">
        <v>512256</v>
      </c>
      <c r="R19" s="13">
        <f t="shared" si="3"/>
        <v>48.326037735849056</v>
      </c>
      <c r="S19" s="12">
        <v>533902</v>
      </c>
      <c r="T19" s="24"/>
      <c r="U19" s="24"/>
      <c r="V19" s="24"/>
      <c r="W19" s="13" t="e">
        <f t="shared" si="4"/>
        <v>#DIV/0!</v>
      </c>
      <c r="X19" s="24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6"/>
        <v>1873900</v>
      </c>
      <c r="F20" s="12">
        <f t="shared" si="6"/>
        <v>1873900</v>
      </c>
      <c r="G20" s="12">
        <f t="shared" si="6"/>
        <v>911343</v>
      </c>
      <c r="H20" s="13">
        <f t="shared" si="0"/>
        <v>48.633491648433747</v>
      </c>
      <c r="I20" s="12">
        <f t="shared" si="6"/>
        <v>886615</v>
      </c>
      <c r="J20" s="20">
        <v>1510500</v>
      </c>
      <c r="K20" s="12">
        <v>1510500</v>
      </c>
      <c r="L20" s="12">
        <v>735986</v>
      </c>
      <c r="M20" s="13">
        <f t="shared" si="2"/>
        <v>48.724660708374714</v>
      </c>
      <c r="N20" s="12">
        <v>706332</v>
      </c>
      <c r="O20" s="12">
        <v>363400</v>
      </c>
      <c r="P20" s="12">
        <v>363400</v>
      </c>
      <c r="Q20" s="12">
        <v>175357</v>
      </c>
      <c r="R20" s="13">
        <f t="shared" si="3"/>
        <v>48.254540451293344</v>
      </c>
      <c r="S20" s="12">
        <v>180283</v>
      </c>
      <c r="T20" s="12"/>
      <c r="U20" s="12"/>
      <c r="V20" s="12"/>
      <c r="W20" s="13" t="e">
        <f t="shared" si="4"/>
        <v>#DIV/0!</v>
      </c>
      <c r="X20" s="12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6"/>
        <v>214500</v>
      </c>
      <c r="F21" s="12">
        <f t="shared" si="6"/>
        <v>214500</v>
      </c>
      <c r="G21" s="12">
        <f t="shared" si="6"/>
        <v>107434</v>
      </c>
      <c r="H21" s="13">
        <f t="shared" si="0"/>
        <v>50.085780885780885</v>
      </c>
      <c r="I21" s="12">
        <f t="shared" si="6"/>
        <v>100499</v>
      </c>
      <c r="J21" s="20">
        <v>185500</v>
      </c>
      <c r="K21" s="12">
        <v>185500</v>
      </c>
      <c r="L21" s="12">
        <v>93514</v>
      </c>
      <c r="M21" s="13">
        <f t="shared" si="2"/>
        <v>50.411859838274928</v>
      </c>
      <c r="N21" s="12">
        <v>88914</v>
      </c>
      <c r="O21" s="12">
        <v>29000</v>
      </c>
      <c r="P21" s="12">
        <v>29000</v>
      </c>
      <c r="Q21" s="12">
        <v>13920</v>
      </c>
      <c r="R21" s="13">
        <f t="shared" si="3"/>
        <v>48</v>
      </c>
      <c r="S21" s="12">
        <v>11585</v>
      </c>
      <c r="T21" s="12"/>
      <c r="U21" s="12"/>
      <c r="V21" s="12"/>
      <c r="W21" s="13" t="e">
        <f t="shared" si="4"/>
        <v>#DIV/0!</v>
      </c>
      <c r="X21" s="12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3" t="e">
        <f t="shared" si="0"/>
        <v>#DIV/0!</v>
      </c>
      <c r="I22" s="12">
        <f t="shared" si="6"/>
        <v>0</v>
      </c>
      <c r="J22" s="20"/>
      <c r="K22" s="12"/>
      <c r="L22" s="12"/>
      <c r="M22" s="13" t="e">
        <f t="shared" si="2"/>
        <v>#DIV/0!</v>
      </c>
      <c r="N22" s="12"/>
      <c r="O22" s="12"/>
      <c r="P22" s="12"/>
      <c r="Q22" s="12"/>
      <c r="R22" s="13" t="e">
        <f t="shared" si="3"/>
        <v>#DIV/0!</v>
      </c>
      <c r="S22" s="12"/>
      <c r="T22" s="12"/>
      <c r="U22" s="12"/>
      <c r="V22" s="12"/>
      <c r="W22" s="13" t="e">
        <f t="shared" si="4"/>
        <v>#DIV/0!</v>
      </c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6"/>
        <v>0</v>
      </c>
      <c r="F23" s="12">
        <f t="shared" si="6"/>
        <v>0</v>
      </c>
      <c r="G23" s="12">
        <f t="shared" si="6"/>
        <v>0</v>
      </c>
      <c r="H23" s="13" t="e">
        <f t="shared" si="0"/>
        <v>#DIV/0!</v>
      </c>
      <c r="I23" s="12">
        <f t="shared" si="6"/>
        <v>0</v>
      </c>
      <c r="J23" s="20"/>
      <c r="K23" s="12"/>
      <c r="L23" s="12"/>
      <c r="M23" s="13" t="e">
        <f t="shared" si="2"/>
        <v>#DIV/0!</v>
      </c>
      <c r="N23" s="12"/>
      <c r="O23" s="12"/>
      <c r="P23" s="12"/>
      <c r="Q23" s="12"/>
      <c r="R23" s="13" t="e">
        <f t="shared" si="3"/>
        <v>#DIV/0!</v>
      </c>
      <c r="S23" s="12"/>
      <c r="T23" s="12"/>
      <c r="U23" s="12"/>
      <c r="V23" s="12"/>
      <c r="W23" s="13" t="e">
        <f t="shared" si="4"/>
        <v>#DIV/0!</v>
      </c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3" t="e">
        <f t="shared" si="0"/>
        <v>#DIV/0!</v>
      </c>
      <c r="I24" s="12">
        <f t="shared" si="6"/>
        <v>0</v>
      </c>
      <c r="J24" s="20"/>
      <c r="K24" s="12"/>
      <c r="L24" s="12"/>
      <c r="M24" s="13" t="e">
        <f t="shared" si="2"/>
        <v>#DIV/0!</v>
      </c>
      <c r="N24" s="12"/>
      <c r="O24" s="12"/>
      <c r="P24" s="12"/>
      <c r="Q24" s="12"/>
      <c r="R24" s="13" t="e">
        <f t="shared" si="3"/>
        <v>#DIV/0!</v>
      </c>
      <c r="S24" s="12"/>
      <c r="T24" s="12"/>
      <c r="U24" s="12"/>
      <c r="V24" s="12"/>
      <c r="W24" s="13" t="e">
        <f t="shared" si="4"/>
        <v>#DIV/0!</v>
      </c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3" t="e">
        <f t="shared" si="0"/>
        <v>#DIV/0!</v>
      </c>
      <c r="I25" s="12">
        <f t="shared" si="6"/>
        <v>0</v>
      </c>
      <c r="J25" s="20"/>
      <c r="K25" s="21"/>
      <c r="L25" s="21"/>
      <c r="M25" s="13" t="e">
        <f t="shared" si="2"/>
        <v>#DIV/0!</v>
      </c>
      <c r="N25" s="22"/>
      <c r="O25" s="21"/>
      <c r="P25" s="21"/>
      <c r="Q25" s="21"/>
      <c r="R25" s="13" t="e">
        <f t="shared" si="3"/>
        <v>#DIV/0!</v>
      </c>
      <c r="S25" s="21"/>
      <c r="T25" s="21"/>
      <c r="U25" s="21"/>
      <c r="V25" s="21"/>
      <c r="W25" s="13" t="e">
        <f t="shared" si="4"/>
        <v>#DIV/0!</v>
      </c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6"/>
        <v>354000</v>
      </c>
      <c r="F26" s="12">
        <f t="shared" si="6"/>
        <v>354000</v>
      </c>
      <c r="G26" s="12">
        <f t="shared" si="6"/>
        <v>178384</v>
      </c>
      <c r="H26" s="26">
        <f>G26/F26*100</f>
        <v>50.390960451977392</v>
      </c>
      <c r="I26" s="12">
        <f>SUM(N26,S26)</f>
        <v>169050</v>
      </c>
      <c r="J26" s="20">
        <v>354000</v>
      </c>
      <c r="K26" s="22">
        <v>354000</v>
      </c>
      <c r="L26" s="22">
        <v>178384</v>
      </c>
      <c r="M26" s="13">
        <f>L26/K26*100</f>
        <v>50.390960451977392</v>
      </c>
      <c r="N26" s="22">
        <v>169050</v>
      </c>
      <c r="O26" s="22"/>
      <c r="P26" s="22"/>
      <c r="Q26" s="22"/>
      <c r="R26" s="13" t="e">
        <f>Q26/P26*100</f>
        <v>#DIV/0!</v>
      </c>
      <c r="S26" s="22"/>
      <c r="T26" s="47"/>
      <c r="U26" s="47"/>
      <c r="V26" s="47"/>
      <c r="W26" s="13" t="e">
        <f>V26/U26*100</f>
        <v>#DIV/0!</v>
      </c>
      <c r="X26" s="47"/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6"/>
        <v>4100</v>
      </c>
      <c r="F27" s="12">
        <f t="shared" si="6"/>
        <v>3800</v>
      </c>
      <c r="G27" s="12">
        <f t="shared" si="6"/>
        <v>-660</v>
      </c>
      <c r="H27" s="26">
        <f t="shared" si="0"/>
        <v>-17.368421052631579</v>
      </c>
      <c r="I27" s="12">
        <f t="shared" si="6"/>
        <v>-160</v>
      </c>
      <c r="J27" s="20">
        <v>4100</v>
      </c>
      <c r="K27" s="22">
        <v>3800</v>
      </c>
      <c r="L27" s="22">
        <v>-660</v>
      </c>
      <c r="M27" s="13">
        <f t="shared" si="2"/>
        <v>-17.368421052631579</v>
      </c>
      <c r="N27" s="12">
        <v>-160</v>
      </c>
      <c r="O27" s="22"/>
      <c r="P27" s="22"/>
      <c r="Q27" s="22"/>
      <c r="R27" s="13" t="e">
        <f t="shared" si="3"/>
        <v>#DIV/0!</v>
      </c>
      <c r="S27" s="22"/>
      <c r="T27" s="47"/>
      <c r="U27" s="47"/>
      <c r="V27" s="47"/>
      <c r="W27" s="13" t="e">
        <f t="shared" si="4"/>
        <v>#DIV/0!</v>
      </c>
      <c r="X27" s="47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50000</v>
      </c>
      <c r="F28" s="12">
        <f>SUM(K28,P28)</f>
        <v>83200</v>
      </c>
      <c r="G28" s="12">
        <f>SUM(L28,Q28)</f>
        <v>40310</v>
      </c>
      <c r="H28" s="26">
        <f>G28/F28*100</f>
        <v>48.449519230769234</v>
      </c>
      <c r="I28" s="12">
        <f>SUM(N28,S28)</f>
        <v>4797</v>
      </c>
      <c r="J28" s="20">
        <v>50000</v>
      </c>
      <c r="K28" s="22">
        <v>83200</v>
      </c>
      <c r="L28" s="22">
        <v>40310</v>
      </c>
      <c r="M28" s="13">
        <f>L28/K28*100</f>
        <v>48.449519230769234</v>
      </c>
      <c r="N28" s="12">
        <v>4797</v>
      </c>
      <c r="O28" s="22"/>
      <c r="P28" s="22"/>
      <c r="Q28" s="22"/>
      <c r="R28" s="13" t="e">
        <f>Q28/P28*100</f>
        <v>#DIV/0!</v>
      </c>
      <c r="S28" s="22"/>
      <c r="T28" s="47"/>
      <c r="U28" s="47"/>
      <c r="V28" s="47"/>
      <c r="W28" s="13" t="e">
        <f>V28/U28*100</f>
        <v>#DIV/0!</v>
      </c>
      <c r="X28" s="47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6"/>
        <v>900</v>
      </c>
      <c r="F29" s="12">
        <f t="shared" si="6"/>
        <v>1200</v>
      </c>
      <c r="G29" s="12">
        <f t="shared" si="6"/>
        <v>1177</v>
      </c>
      <c r="H29" s="26">
        <f t="shared" si="0"/>
        <v>98.083333333333329</v>
      </c>
      <c r="I29" s="12">
        <f t="shared" si="6"/>
        <v>784</v>
      </c>
      <c r="J29" s="20">
        <v>900</v>
      </c>
      <c r="K29" s="22">
        <v>1200</v>
      </c>
      <c r="L29" s="22">
        <v>1177</v>
      </c>
      <c r="M29" s="13">
        <f t="shared" si="2"/>
        <v>98.083333333333329</v>
      </c>
      <c r="N29" s="22">
        <v>784</v>
      </c>
      <c r="O29" s="22"/>
      <c r="P29" s="22"/>
      <c r="Q29" s="22"/>
      <c r="R29" s="13" t="e">
        <f t="shared" si="3"/>
        <v>#DIV/0!</v>
      </c>
      <c r="S29" s="22"/>
      <c r="T29" s="47"/>
      <c r="U29" s="47"/>
      <c r="V29" s="47"/>
      <c r="W29" s="13" t="e">
        <f t="shared" si="4"/>
        <v>#DIV/0!</v>
      </c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7">SUM(J30,O30)</f>
        <v>0</v>
      </c>
      <c r="F30" s="12">
        <f t="shared" si="7"/>
        <v>0</v>
      </c>
      <c r="G30" s="12">
        <f t="shared" si="7"/>
        <v>0</v>
      </c>
      <c r="H30" s="26" t="e">
        <f t="shared" si="0"/>
        <v>#DIV/0!</v>
      </c>
      <c r="I30" s="12">
        <f>SUM(N30,S30)</f>
        <v>0</v>
      </c>
      <c r="J30" s="20"/>
      <c r="K30" s="22"/>
      <c r="L30" s="22"/>
      <c r="M30" s="13" t="e">
        <f t="shared" si="2"/>
        <v>#DIV/0!</v>
      </c>
      <c r="N30" s="22"/>
      <c r="O30" s="22"/>
      <c r="P30" s="22"/>
      <c r="Q30" s="22"/>
      <c r="R30" s="13" t="e">
        <f t="shared" si="3"/>
        <v>#DIV/0!</v>
      </c>
      <c r="S30" s="22"/>
      <c r="T30" s="47"/>
      <c r="U30" s="47"/>
      <c r="V30" s="47"/>
      <c r="W30" s="13" t="e">
        <f t="shared" si="4"/>
        <v>#DIV/0!</v>
      </c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7"/>
        <v>0</v>
      </c>
      <c r="F31" s="12">
        <f t="shared" si="7"/>
        <v>0</v>
      </c>
      <c r="G31" s="12">
        <f t="shared" si="7"/>
        <v>0</v>
      </c>
      <c r="H31" s="26" t="e">
        <f t="shared" si="0"/>
        <v>#DIV/0!</v>
      </c>
      <c r="I31" s="12">
        <f>SUM(N31,S31)</f>
        <v>0</v>
      </c>
      <c r="J31" s="20"/>
      <c r="K31" s="29"/>
      <c r="L31" s="29"/>
      <c r="M31" s="13" t="e">
        <f t="shared" si="2"/>
        <v>#DIV/0!</v>
      </c>
      <c r="N31" s="29"/>
      <c r="O31" s="29"/>
      <c r="P31" s="29"/>
      <c r="Q31" s="29"/>
      <c r="R31" s="13" t="e">
        <f t="shared" si="3"/>
        <v>#DIV/0!</v>
      </c>
      <c r="S31" s="29"/>
      <c r="T31" s="30"/>
      <c r="U31" s="30"/>
      <c r="V31" s="30"/>
      <c r="W31" s="13" t="e">
        <f t="shared" si="4"/>
        <v>#DIV/0!</v>
      </c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26" t="e">
        <f t="shared" si="0"/>
        <v>#DIV/0!</v>
      </c>
      <c r="I32" s="12">
        <f>SUM(N32,S32)</f>
        <v>0</v>
      </c>
      <c r="J32" s="32"/>
      <c r="K32" s="30"/>
      <c r="L32" s="30"/>
      <c r="M32" s="13" t="e">
        <f t="shared" si="2"/>
        <v>#DIV/0!</v>
      </c>
      <c r="N32" s="30"/>
      <c r="O32" s="30"/>
      <c r="P32" s="30"/>
      <c r="Q32" s="30"/>
      <c r="R32" s="13" t="e">
        <f t="shared" si="3"/>
        <v>#DIV/0!</v>
      </c>
      <c r="S32" s="30"/>
      <c r="T32" s="30"/>
      <c r="U32" s="30"/>
      <c r="V32" s="30"/>
      <c r="W32" s="13" t="e">
        <f t="shared" si="4"/>
        <v>#DIV/0!</v>
      </c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163182</v>
      </c>
      <c r="H33" s="34" t="e">
        <f t="shared" si="0"/>
        <v>#DIV/0!</v>
      </c>
      <c r="I33" s="8">
        <f>I6-I11</f>
        <v>-462889</v>
      </c>
      <c r="J33" s="8">
        <f>J6-J11</f>
        <v>0</v>
      </c>
      <c r="K33" s="8">
        <f>K6-K11</f>
        <v>0</v>
      </c>
      <c r="L33" s="8">
        <f>L6-L11</f>
        <v>173182</v>
      </c>
      <c r="M33" s="9" t="e">
        <f t="shared" si="2"/>
        <v>#DIV/0!</v>
      </c>
      <c r="N33" s="8">
        <f>N6-N11</f>
        <v>271190</v>
      </c>
      <c r="O33" s="8">
        <f>O6-O11</f>
        <v>0</v>
      </c>
      <c r="P33" s="8">
        <f>P6-P11</f>
        <v>0</v>
      </c>
      <c r="Q33" s="8">
        <f>Q6-Q11</f>
        <v>-10000</v>
      </c>
      <c r="R33" s="9" t="e">
        <f t="shared" si="3"/>
        <v>#DIV/0!</v>
      </c>
      <c r="S33" s="8">
        <f>S6-S11</f>
        <v>-734079</v>
      </c>
      <c r="T33" s="8">
        <f>T6-T11</f>
        <v>0</v>
      </c>
      <c r="U33" s="8">
        <f>U6-U11</f>
        <v>0</v>
      </c>
      <c r="V33" s="8">
        <f>V6-V11</f>
        <v>0</v>
      </c>
      <c r="W33" s="9" t="e">
        <f t="shared" si="4"/>
        <v>#DIV/0!</v>
      </c>
      <c r="X33" s="8">
        <f>X6-X11</f>
        <v>0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19212</v>
      </c>
      <c r="F34" s="37">
        <v>19212</v>
      </c>
      <c r="G34" s="37">
        <v>19876</v>
      </c>
      <c r="H34" s="26">
        <f t="shared" si="0"/>
        <v>103.45617322506766</v>
      </c>
      <c r="I34" s="37">
        <v>19126</v>
      </c>
      <c r="J34" s="38"/>
      <c r="K34" s="38"/>
      <c r="L34" s="38"/>
      <c r="M34" s="9" t="e">
        <f t="shared" si="2"/>
        <v>#DIV/0!</v>
      </c>
      <c r="N34" s="38"/>
      <c r="O34" s="38"/>
      <c r="P34" s="38"/>
      <c r="Q34" s="38"/>
      <c r="R34" s="9" t="e">
        <f t="shared" si="3"/>
        <v>#DIV/0!</v>
      </c>
      <c r="S34" s="38"/>
      <c r="T34" s="38"/>
      <c r="U34" s="38"/>
      <c r="V34" s="38"/>
      <c r="W34" s="9" t="e">
        <f t="shared" si="4"/>
        <v>#DIV/0!</v>
      </c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18</v>
      </c>
      <c r="F35" s="37">
        <v>18</v>
      </c>
      <c r="G35" s="37">
        <v>18</v>
      </c>
      <c r="H35" s="26">
        <f t="shared" si="0"/>
        <v>100</v>
      </c>
      <c r="I35" s="37">
        <v>18</v>
      </c>
      <c r="J35" s="38"/>
      <c r="K35" s="49"/>
      <c r="L35" s="38"/>
      <c r="M35" s="9" t="e">
        <f t="shared" si="2"/>
        <v>#DIV/0!</v>
      </c>
      <c r="N35" s="38"/>
      <c r="O35" s="38"/>
      <c r="P35" s="38"/>
      <c r="Q35" s="38"/>
      <c r="R35" s="9" t="e">
        <f t="shared" si="3"/>
        <v>#DIV/0!</v>
      </c>
      <c r="S35" s="38"/>
      <c r="T35" s="38"/>
      <c r="U35" s="38"/>
      <c r="V35" s="38"/>
      <c r="W35" s="9" t="e">
        <f t="shared" si="4"/>
        <v>#DIV/0!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22</v>
      </c>
      <c r="F36" s="37">
        <v>22</v>
      </c>
      <c r="G36" s="37">
        <v>22</v>
      </c>
      <c r="H36" s="26">
        <f t="shared" si="0"/>
        <v>100</v>
      </c>
      <c r="I36" s="37">
        <v>22</v>
      </c>
      <c r="J36" s="38"/>
      <c r="K36" s="38"/>
      <c r="L36" s="38"/>
      <c r="M36" s="9" t="e">
        <f t="shared" si="2"/>
        <v>#DIV/0!</v>
      </c>
      <c r="N36" s="38"/>
      <c r="O36" s="38"/>
      <c r="P36" s="38"/>
      <c r="Q36" s="38"/>
      <c r="R36" s="9" t="e">
        <f t="shared" si="3"/>
        <v>#DIV/0!</v>
      </c>
      <c r="S36" s="38"/>
      <c r="T36" s="38"/>
      <c r="U36" s="38"/>
      <c r="V36" s="38"/>
      <c r="W36" s="9" t="e">
        <f t="shared" si="4"/>
        <v>#DIV/0!</v>
      </c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94" orientation="landscape" useFirstPageNumber="1" r:id="rId1"/>
  <headerFoot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9" s="332" customFormat="1" ht="18.75" x14ac:dyDescent="0.3">
      <c r="A1" s="919" t="s">
        <v>80</v>
      </c>
      <c r="B1" s="919"/>
      <c r="C1" s="919"/>
      <c r="D1" s="919"/>
      <c r="E1" s="919"/>
      <c r="F1" s="919"/>
      <c r="G1" s="919"/>
      <c r="H1" s="919"/>
      <c r="I1" s="919"/>
    </row>
    <row r="3" spans="1:9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9" s="334" customFormat="1" ht="11.25" x14ac:dyDescent="0.2"/>
    <row r="5" spans="1:9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9" s="334" customFormat="1" ht="11.25" x14ac:dyDescent="0.2">
      <c r="A6" s="911" t="s">
        <v>107</v>
      </c>
      <c r="B6" s="912"/>
      <c r="C6" s="337">
        <v>173181.91</v>
      </c>
      <c r="D6" s="913" t="s">
        <v>248</v>
      </c>
      <c r="E6" s="913"/>
      <c r="F6" s="913"/>
      <c r="G6" s="913"/>
      <c r="H6" s="913"/>
      <c r="I6" s="913"/>
    </row>
    <row r="7" spans="1:9" s="338" customFormat="1" ht="11.25" x14ac:dyDescent="0.15">
      <c r="A7" s="911" t="s">
        <v>92</v>
      </c>
      <c r="B7" s="912"/>
      <c r="C7" s="337">
        <v>0</v>
      </c>
      <c r="D7" s="914"/>
      <c r="E7" s="914"/>
      <c r="F7" s="914"/>
      <c r="G7" s="914"/>
      <c r="H7" s="914"/>
      <c r="I7" s="914"/>
    </row>
    <row r="8" spans="1:9" s="338" customFormat="1" ht="10.5" x14ac:dyDescent="0.15">
      <c r="A8" s="911" t="s">
        <v>110</v>
      </c>
      <c r="B8" s="912"/>
      <c r="C8" s="337">
        <v>-10000</v>
      </c>
      <c r="D8" s="915"/>
      <c r="E8" s="916"/>
      <c r="F8" s="916"/>
      <c r="G8" s="916"/>
      <c r="H8" s="916"/>
      <c r="I8" s="917"/>
    </row>
    <row r="9" spans="1:9" s="334" customFormat="1" ht="11.25" x14ac:dyDescent="0.2">
      <c r="C9" s="339"/>
    </row>
    <row r="10" spans="1:9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9" s="334" customFormat="1" ht="11.25" x14ac:dyDescent="0.2">
      <c r="C11" s="339"/>
    </row>
    <row r="12" spans="1:9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9" s="334" customFormat="1" ht="11.25" x14ac:dyDescent="0.2">
      <c r="A13" s="437" t="s">
        <v>187</v>
      </c>
      <c r="B13" s="438">
        <v>131305.35</v>
      </c>
      <c r="C13" s="438">
        <v>78082.460000000006</v>
      </c>
      <c r="D13" s="438">
        <v>33194</v>
      </c>
      <c r="E13" s="438">
        <v>176193.81</v>
      </c>
      <c r="F13" s="438">
        <v>176193.81</v>
      </c>
      <c r="G13" s="904" t="s">
        <v>249</v>
      </c>
      <c r="H13" s="905"/>
      <c r="I13" s="906"/>
    </row>
    <row r="14" spans="1:9" s="334" customFormat="1" ht="11.25" x14ac:dyDescent="0.2">
      <c r="A14" s="437"/>
      <c r="B14" s="438"/>
      <c r="C14" s="438"/>
      <c r="D14" s="438"/>
      <c r="E14" s="438"/>
      <c r="F14" s="438"/>
      <c r="G14" s="904" t="s">
        <v>250</v>
      </c>
      <c r="H14" s="905"/>
      <c r="I14" s="906"/>
    </row>
    <row r="15" spans="1:9" s="334" customFormat="1" ht="11.25" x14ac:dyDescent="0.2">
      <c r="A15" s="437"/>
      <c r="B15" s="438"/>
      <c r="C15" s="438"/>
      <c r="D15" s="438"/>
      <c r="E15" s="438"/>
      <c r="F15" s="438"/>
      <c r="G15" s="904" t="s">
        <v>251</v>
      </c>
      <c r="H15" s="905"/>
      <c r="I15" s="906"/>
    </row>
    <row r="16" spans="1:9" s="334" customFormat="1" ht="11.25" x14ac:dyDescent="0.2">
      <c r="A16" s="437"/>
      <c r="B16" s="438"/>
      <c r="C16" s="438"/>
      <c r="D16" s="438"/>
      <c r="E16" s="438"/>
      <c r="F16" s="438"/>
      <c r="G16" s="904" t="s">
        <v>252</v>
      </c>
      <c r="H16" s="905"/>
      <c r="I16" s="906"/>
    </row>
    <row r="17" spans="1:14" s="334" customFormat="1" ht="11.25" x14ac:dyDescent="0.2">
      <c r="A17" s="437"/>
      <c r="B17" s="438"/>
      <c r="C17" s="438"/>
      <c r="D17" s="438"/>
      <c r="E17" s="438"/>
      <c r="F17" s="438"/>
      <c r="G17" s="904" t="s">
        <v>253</v>
      </c>
      <c r="H17" s="905"/>
      <c r="I17" s="906"/>
    </row>
    <row r="18" spans="1:14" s="334" customFormat="1" ht="11.25" x14ac:dyDescent="0.2">
      <c r="A18" s="437"/>
      <c r="B18" s="438"/>
      <c r="C18" s="438"/>
      <c r="D18" s="438"/>
      <c r="E18" s="438"/>
      <c r="F18" s="438"/>
      <c r="G18" s="904" t="s">
        <v>254</v>
      </c>
      <c r="H18" s="905"/>
      <c r="I18" s="906"/>
    </row>
    <row r="19" spans="1:14" s="334" customFormat="1" ht="11.25" x14ac:dyDescent="0.2">
      <c r="A19" s="437"/>
      <c r="B19" s="438"/>
      <c r="C19" s="438"/>
      <c r="D19" s="438"/>
      <c r="E19" s="438"/>
      <c r="F19" s="438"/>
      <c r="G19" s="904" t="s">
        <v>255</v>
      </c>
      <c r="H19" s="905"/>
      <c r="I19" s="906"/>
    </row>
    <row r="20" spans="1:14" s="334" customFormat="1" ht="11.25" x14ac:dyDescent="0.2">
      <c r="A20" s="440" t="s">
        <v>214</v>
      </c>
      <c r="B20" s="441">
        <v>83876.2</v>
      </c>
      <c r="C20" s="441">
        <v>178384</v>
      </c>
      <c r="D20" s="441">
        <v>150500</v>
      </c>
      <c r="E20" s="441">
        <v>111760.2</v>
      </c>
      <c r="F20" s="441">
        <v>111760.2</v>
      </c>
      <c r="G20" s="862" t="s">
        <v>256</v>
      </c>
      <c r="H20" s="863"/>
      <c r="I20" s="864"/>
      <c r="N20" s="349"/>
    </row>
    <row r="21" spans="1:14" s="334" customFormat="1" ht="11.25" x14ac:dyDescent="0.2">
      <c r="A21" s="440"/>
      <c r="B21" s="441"/>
      <c r="C21" s="441"/>
      <c r="D21" s="441"/>
      <c r="E21" s="441"/>
      <c r="F21" s="441"/>
      <c r="G21" s="862" t="s">
        <v>257</v>
      </c>
      <c r="H21" s="863"/>
      <c r="I21" s="864"/>
      <c r="N21" s="349"/>
    </row>
    <row r="22" spans="1:14" s="334" customFormat="1" ht="11.25" x14ac:dyDescent="0.2">
      <c r="A22" s="440"/>
      <c r="B22" s="441"/>
      <c r="C22" s="441"/>
      <c r="D22" s="441"/>
      <c r="E22" s="441"/>
      <c r="F22" s="441"/>
      <c r="G22" s="862" t="s">
        <v>258</v>
      </c>
      <c r="H22" s="863"/>
      <c r="I22" s="864"/>
      <c r="N22" s="349"/>
    </row>
    <row r="23" spans="1:14" s="334" customFormat="1" ht="11.25" x14ac:dyDescent="0.2">
      <c r="A23" s="440"/>
      <c r="B23" s="441"/>
      <c r="C23" s="441"/>
      <c r="D23" s="441"/>
      <c r="E23" s="441"/>
      <c r="F23" s="441"/>
      <c r="G23" s="862" t="s">
        <v>259</v>
      </c>
      <c r="H23" s="863"/>
      <c r="I23" s="864"/>
      <c r="N23" s="349"/>
    </row>
    <row r="24" spans="1:14" s="334" customFormat="1" ht="11.25" x14ac:dyDescent="0.2">
      <c r="A24" s="440"/>
      <c r="B24" s="441"/>
      <c r="C24" s="441"/>
      <c r="D24" s="441"/>
      <c r="E24" s="441"/>
      <c r="F24" s="441"/>
      <c r="G24" s="862" t="s">
        <v>260</v>
      </c>
      <c r="H24" s="863"/>
      <c r="I24" s="864"/>
      <c r="N24" s="349"/>
    </row>
    <row r="25" spans="1:14" s="334" customFormat="1" ht="11.25" x14ac:dyDescent="0.2">
      <c r="A25" s="440"/>
      <c r="B25" s="441"/>
      <c r="C25" s="441"/>
      <c r="D25" s="441"/>
      <c r="E25" s="441"/>
      <c r="F25" s="441"/>
      <c r="G25" s="862" t="s">
        <v>261</v>
      </c>
      <c r="H25" s="863"/>
      <c r="I25" s="864"/>
      <c r="N25" s="349"/>
    </row>
    <row r="26" spans="1:14" s="334" customFormat="1" ht="11.25" x14ac:dyDescent="0.2">
      <c r="A26" s="440"/>
      <c r="B26" s="441"/>
      <c r="C26" s="441"/>
      <c r="D26" s="441"/>
      <c r="E26" s="441"/>
      <c r="F26" s="441"/>
      <c r="G26" s="862" t="s">
        <v>262</v>
      </c>
      <c r="H26" s="863"/>
      <c r="I26" s="864"/>
      <c r="N26" s="349"/>
    </row>
    <row r="27" spans="1:14" s="334" customFormat="1" ht="11.25" x14ac:dyDescent="0.2">
      <c r="A27" s="440" t="s">
        <v>191</v>
      </c>
      <c r="B27" s="441">
        <v>120135</v>
      </c>
      <c r="C27" s="441">
        <v>0</v>
      </c>
      <c r="D27" s="441">
        <v>0</v>
      </c>
      <c r="E27" s="441">
        <v>120135</v>
      </c>
      <c r="F27" s="441">
        <v>120135</v>
      </c>
      <c r="G27" s="862" t="s">
        <v>263</v>
      </c>
      <c r="H27" s="863"/>
      <c r="I27" s="864"/>
    </row>
    <row r="28" spans="1:14" s="334" customFormat="1" ht="11.25" x14ac:dyDescent="0.2">
      <c r="A28" s="443" t="s">
        <v>193</v>
      </c>
      <c r="B28" s="444">
        <v>29016.04</v>
      </c>
      <c r="C28" s="444">
        <v>53338</v>
      </c>
      <c r="D28" s="444">
        <v>52824</v>
      </c>
      <c r="E28" s="444">
        <v>29530.04</v>
      </c>
      <c r="F28" s="444">
        <v>20576.04</v>
      </c>
      <c r="G28" s="907" t="s">
        <v>264</v>
      </c>
      <c r="H28" s="908"/>
      <c r="I28" s="909"/>
    </row>
    <row r="29" spans="1:14" s="334" customFormat="1" ht="11.25" x14ac:dyDescent="0.2">
      <c r="A29" s="443"/>
      <c r="B29" s="444"/>
      <c r="C29" s="444"/>
      <c r="D29" s="444"/>
      <c r="E29" s="444"/>
      <c r="F29" s="444"/>
      <c r="G29" s="907" t="s">
        <v>265</v>
      </c>
      <c r="H29" s="908"/>
      <c r="I29" s="909"/>
    </row>
    <row r="30" spans="1:14" s="334" customFormat="1" ht="11.25" x14ac:dyDescent="0.2">
      <c r="A30" s="443"/>
      <c r="B30" s="444"/>
      <c r="C30" s="444"/>
      <c r="D30" s="444"/>
      <c r="E30" s="444"/>
      <c r="F30" s="444"/>
      <c r="G30" s="907" t="s">
        <v>266</v>
      </c>
      <c r="H30" s="908"/>
      <c r="I30" s="909"/>
    </row>
    <row r="31" spans="1:14" s="334" customFormat="1" ht="11.25" x14ac:dyDescent="0.2">
      <c r="A31" s="443"/>
      <c r="B31" s="444"/>
      <c r="C31" s="444"/>
      <c r="D31" s="444"/>
      <c r="E31" s="444"/>
      <c r="F31" s="444"/>
      <c r="G31" s="907" t="s">
        <v>267</v>
      </c>
      <c r="H31" s="908"/>
      <c r="I31" s="909"/>
    </row>
    <row r="32" spans="1:14" s="334" customFormat="1" ht="11.25" x14ac:dyDescent="0.2">
      <c r="A32" s="443"/>
      <c r="B32" s="444"/>
      <c r="C32" s="444"/>
      <c r="D32" s="444"/>
      <c r="E32" s="444"/>
      <c r="F32" s="444"/>
      <c r="G32" s="907" t="s">
        <v>268</v>
      </c>
      <c r="H32" s="908"/>
      <c r="I32" s="909"/>
    </row>
    <row r="33" spans="1:12" s="334" customFormat="1" ht="11.25" x14ac:dyDescent="0.2">
      <c r="A33" s="443"/>
      <c r="B33" s="444"/>
      <c r="C33" s="444"/>
      <c r="D33" s="444"/>
      <c r="E33" s="444"/>
      <c r="F33" s="444"/>
      <c r="G33" s="907" t="s">
        <v>269</v>
      </c>
      <c r="H33" s="908"/>
      <c r="I33" s="909"/>
    </row>
    <row r="34" spans="1:12" s="334" customFormat="1" ht="11.25" x14ac:dyDescent="0.2">
      <c r="A34" s="443"/>
      <c r="B34" s="444"/>
      <c r="C34" s="444"/>
      <c r="D34" s="444"/>
      <c r="E34" s="444"/>
      <c r="F34" s="444"/>
      <c r="G34" s="907" t="s">
        <v>270</v>
      </c>
      <c r="H34" s="908"/>
      <c r="I34" s="909"/>
    </row>
    <row r="35" spans="1:12" s="334" customFormat="1" ht="11.25" x14ac:dyDescent="0.2">
      <c r="A35" s="443"/>
      <c r="B35" s="444"/>
      <c r="C35" s="444"/>
      <c r="D35" s="444"/>
      <c r="E35" s="444"/>
      <c r="F35" s="444"/>
      <c r="G35" s="907" t="s">
        <v>271</v>
      </c>
      <c r="H35" s="908"/>
      <c r="I35" s="909"/>
    </row>
    <row r="36" spans="1:12" s="334" customFormat="1" ht="11.25" x14ac:dyDescent="0.2">
      <c r="A36" s="443"/>
      <c r="B36" s="444"/>
      <c r="C36" s="444"/>
      <c r="D36" s="444"/>
      <c r="E36" s="444"/>
      <c r="F36" s="444"/>
      <c r="G36" s="907" t="s">
        <v>272</v>
      </c>
      <c r="H36" s="908"/>
      <c r="I36" s="909"/>
    </row>
    <row r="37" spans="1:12" s="334" customFormat="1" ht="11.25" x14ac:dyDescent="0.2">
      <c r="A37" s="353" t="s">
        <v>90</v>
      </c>
      <c r="B37" s="354">
        <f>SUM(B13:B34)</f>
        <v>364332.58999999997</v>
      </c>
      <c r="C37" s="354">
        <f>SUM(C13:C34)</f>
        <v>309804.46000000002</v>
      </c>
      <c r="D37" s="354">
        <f>SUM(D13:D34)</f>
        <v>236518</v>
      </c>
      <c r="E37" s="354">
        <f>SUM(E13:E34)</f>
        <v>437619.05</v>
      </c>
      <c r="F37" s="354">
        <f>SUM(F13:F34)</f>
        <v>428665.05</v>
      </c>
      <c r="G37" s="910"/>
      <c r="H37" s="910"/>
      <c r="I37" s="910"/>
    </row>
    <row r="38" spans="1:12" s="355" customFormat="1" ht="11.25" x14ac:dyDescent="0.2">
      <c r="C38" s="356"/>
      <c r="L38" s="334"/>
    </row>
    <row r="39" spans="1:12" s="340" customFormat="1" ht="11.25" x14ac:dyDescent="0.2">
      <c r="A39" s="861" t="s">
        <v>129</v>
      </c>
      <c r="B39" s="861"/>
      <c r="C39" s="861"/>
      <c r="D39" s="861"/>
      <c r="E39" s="861"/>
      <c r="F39" s="861"/>
      <c r="G39" s="861"/>
      <c r="H39" s="861"/>
      <c r="I39" s="861"/>
      <c r="L39" s="355"/>
    </row>
    <row r="40" spans="1:12" s="334" customFormat="1" ht="11.25" x14ac:dyDescent="0.2">
      <c r="C40" s="339"/>
      <c r="L40" s="340"/>
    </row>
    <row r="41" spans="1:12" s="334" customFormat="1" ht="11.25" x14ac:dyDescent="0.2">
      <c r="A41" s="335" t="s">
        <v>130</v>
      </c>
      <c r="B41" s="335" t="s">
        <v>16</v>
      </c>
      <c r="C41" s="357" t="s">
        <v>131</v>
      </c>
      <c r="D41" s="902" t="s">
        <v>132</v>
      </c>
      <c r="E41" s="902"/>
      <c r="F41" s="902"/>
      <c r="G41" s="902"/>
      <c r="H41" s="902"/>
      <c r="I41" s="902"/>
    </row>
    <row r="42" spans="1:12" s="334" customFormat="1" ht="11.25" customHeight="1" x14ac:dyDescent="0.2">
      <c r="A42" s="1064" t="s">
        <v>273</v>
      </c>
      <c r="B42" s="358">
        <v>23200</v>
      </c>
      <c r="C42" s="368"/>
      <c r="D42" s="904" t="s">
        <v>274</v>
      </c>
      <c r="E42" s="905"/>
      <c r="F42" s="905"/>
      <c r="G42" s="905"/>
      <c r="H42" s="905"/>
      <c r="I42" s="906"/>
    </row>
    <row r="43" spans="1:12" s="334" customFormat="1" ht="11.25" customHeight="1" x14ac:dyDescent="0.2">
      <c r="A43" s="883"/>
      <c r="B43" s="362"/>
      <c r="C43" s="456"/>
      <c r="D43" s="862" t="s">
        <v>275</v>
      </c>
      <c r="E43" s="863"/>
      <c r="F43" s="863"/>
      <c r="G43" s="863"/>
      <c r="H43" s="863"/>
      <c r="I43" s="864"/>
    </row>
    <row r="44" spans="1:12" s="334" customFormat="1" ht="11.25" customHeight="1" x14ac:dyDescent="0.2">
      <c r="A44" s="895"/>
      <c r="B44" s="362"/>
      <c r="C44" s="456"/>
      <c r="D44" s="862" t="s">
        <v>276</v>
      </c>
      <c r="E44" s="863"/>
      <c r="F44" s="863"/>
      <c r="G44" s="863"/>
      <c r="H44" s="863"/>
      <c r="I44" s="864"/>
    </row>
    <row r="45" spans="1:12" s="334" customFormat="1" ht="11.25" customHeight="1" x14ac:dyDescent="0.2">
      <c r="A45" s="896"/>
      <c r="B45" s="362"/>
      <c r="C45" s="362"/>
      <c r="D45" s="862" t="s">
        <v>277</v>
      </c>
      <c r="E45" s="863"/>
      <c r="F45" s="863"/>
      <c r="G45" s="863"/>
      <c r="H45" s="863"/>
      <c r="I45" s="864"/>
    </row>
    <row r="46" spans="1:12" s="338" customFormat="1" ht="11.25" x14ac:dyDescent="0.2">
      <c r="A46" s="365" t="s">
        <v>90</v>
      </c>
      <c r="B46" s="366">
        <f>SUM(B42:B45)</f>
        <v>23200</v>
      </c>
      <c r="C46" s="900"/>
      <c r="D46" s="900"/>
      <c r="E46" s="900"/>
      <c r="F46" s="900"/>
      <c r="G46" s="900"/>
      <c r="H46" s="900"/>
      <c r="I46" s="901"/>
      <c r="L46" s="334"/>
    </row>
    <row r="47" spans="1:12" s="355" customFormat="1" ht="11.25" x14ac:dyDescent="0.2">
      <c r="C47" s="356"/>
      <c r="L47" s="338"/>
    </row>
    <row r="48" spans="1:12" s="340" customFormat="1" ht="11.25" x14ac:dyDescent="0.2">
      <c r="A48" s="861" t="s">
        <v>140</v>
      </c>
      <c r="B48" s="861"/>
      <c r="C48" s="861"/>
      <c r="D48" s="861"/>
      <c r="E48" s="861"/>
      <c r="F48" s="861"/>
      <c r="G48" s="861"/>
      <c r="H48" s="861"/>
      <c r="I48" s="861"/>
      <c r="L48" s="355"/>
    </row>
    <row r="49" spans="1:12" s="334" customFormat="1" ht="11.25" x14ac:dyDescent="0.2">
      <c r="C49" s="339"/>
      <c r="L49" s="340"/>
    </row>
    <row r="50" spans="1:12" s="334" customFormat="1" ht="11.25" x14ac:dyDescent="0.2">
      <c r="A50" s="335" t="s">
        <v>130</v>
      </c>
      <c r="B50" s="335" t="s">
        <v>16</v>
      </c>
      <c r="C50" s="357" t="s">
        <v>131</v>
      </c>
      <c r="D50" s="902" t="s">
        <v>141</v>
      </c>
      <c r="E50" s="902"/>
      <c r="F50" s="902"/>
      <c r="G50" s="902"/>
      <c r="H50" s="902"/>
      <c r="I50" s="903"/>
    </row>
    <row r="51" spans="1:12" s="334" customFormat="1" ht="11.25" customHeight="1" x14ac:dyDescent="0.2">
      <c r="A51" s="894"/>
      <c r="B51" s="358"/>
      <c r="C51" s="368"/>
      <c r="D51" s="904" t="s">
        <v>142</v>
      </c>
      <c r="E51" s="1317"/>
      <c r="F51" s="1317"/>
      <c r="G51" s="1317"/>
      <c r="H51" s="1317"/>
      <c r="I51" s="1318"/>
    </row>
    <row r="52" spans="1:12" s="334" customFormat="1" ht="11.25" hidden="1" customHeight="1" x14ac:dyDescent="0.2">
      <c r="A52" s="895"/>
      <c r="B52" s="362">
        <v>0</v>
      </c>
      <c r="C52" s="456">
        <v>9999</v>
      </c>
      <c r="D52" s="885" t="s">
        <v>278</v>
      </c>
      <c r="E52" s="886"/>
      <c r="F52" s="886"/>
      <c r="G52" s="886"/>
      <c r="H52" s="886"/>
      <c r="I52" s="887"/>
    </row>
    <row r="53" spans="1:12" s="334" customFormat="1" ht="11.25" hidden="1" customHeight="1" x14ac:dyDescent="0.2">
      <c r="A53" s="896"/>
      <c r="B53" s="362">
        <v>0</v>
      </c>
      <c r="C53" s="362" t="s">
        <v>279</v>
      </c>
      <c r="D53" s="885" t="s">
        <v>278</v>
      </c>
      <c r="E53" s="886"/>
      <c r="F53" s="886"/>
      <c r="G53" s="886"/>
      <c r="H53" s="886"/>
      <c r="I53" s="887"/>
    </row>
    <row r="54" spans="1:12" s="338" customFormat="1" ht="11.25" x14ac:dyDescent="0.2">
      <c r="A54" s="365" t="s">
        <v>90</v>
      </c>
      <c r="B54" s="366">
        <f>SUM(B51:B53)</f>
        <v>0</v>
      </c>
      <c r="C54" s="891"/>
      <c r="D54" s="891"/>
      <c r="E54" s="891"/>
      <c r="F54" s="891"/>
      <c r="G54" s="891"/>
      <c r="H54" s="891"/>
      <c r="I54" s="891"/>
      <c r="L54" s="334"/>
    </row>
    <row r="55" spans="1:12" s="334" customFormat="1" ht="11.25" x14ac:dyDescent="0.2">
      <c r="C55" s="339"/>
      <c r="L55" s="338"/>
    </row>
    <row r="56" spans="1:12" s="340" customFormat="1" ht="11.25" x14ac:dyDescent="0.2">
      <c r="A56" s="861" t="s">
        <v>143</v>
      </c>
      <c r="B56" s="861"/>
      <c r="C56" s="861"/>
      <c r="D56" s="861"/>
      <c r="E56" s="861"/>
      <c r="F56" s="861"/>
      <c r="G56" s="861"/>
      <c r="H56" s="861"/>
      <c r="I56" s="861"/>
      <c r="L56" s="334"/>
    </row>
    <row r="57" spans="1:12" s="334" customFormat="1" ht="11.25" x14ac:dyDescent="0.2">
      <c r="C57" s="369"/>
      <c r="L57" s="340"/>
    </row>
    <row r="58" spans="1:12" s="334" customFormat="1" ht="11.25" x14ac:dyDescent="0.2">
      <c r="A58" s="335" t="s">
        <v>144</v>
      </c>
      <c r="B58" s="357" t="s">
        <v>145</v>
      </c>
      <c r="C58" s="892" t="s">
        <v>146</v>
      </c>
      <c r="D58" s="892"/>
      <c r="E58" s="892"/>
      <c r="F58" s="892"/>
      <c r="G58" s="892"/>
      <c r="H58" s="892"/>
      <c r="I58" s="893"/>
    </row>
    <row r="59" spans="1:12" s="334" customFormat="1" ht="11.25" x14ac:dyDescent="0.2">
      <c r="A59" s="370"/>
      <c r="B59" s="370"/>
      <c r="C59" s="934" t="s">
        <v>280</v>
      </c>
      <c r="D59" s="876"/>
      <c r="E59" s="876"/>
      <c r="F59" s="876"/>
      <c r="G59" s="876"/>
      <c r="H59" s="876"/>
      <c r="I59" s="876"/>
    </row>
    <row r="60" spans="1:12" s="338" customFormat="1" ht="11.25" x14ac:dyDescent="0.2">
      <c r="A60" s="371">
        <f>SUM(A59:A59)</f>
        <v>0</v>
      </c>
      <c r="B60" s="371">
        <f>SUM(B59:B59)</f>
        <v>0</v>
      </c>
      <c r="C60" s="878" t="s">
        <v>90</v>
      </c>
      <c r="D60" s="879"/>
      <c r="E60" s="879"/>
      <c r="F60" s="879"/>
      <c r="G60" s="879"/>
      <c r="H60" s="879"/>
      <c r="I60" s="880"/>
      <c r="L60" s="334"/>
    </row>
    <row r="61" spans="1:12" s="334" customFormat="1" ht="11.25" x14ac:dyDescent="0.2">
      <c r="C61" s="369"/>
      <c r="L61" s="338"/>
    </row>
    <row r="62" spans="1:12" s="334" customFormat="1" ht="11.25" x14ac:dyDescent="0.2">
      <c r="A62" s="861" t="s">
        <v>148</v>
      </c>
      <c r="B62" s="865"/>
      <c r="C62" s="865"/>
      <c r="D62" s="865"/>
      <c r="E62" s="865"/>
      <c r="F62" s="865"/>
      <c r="G62" s="865"/>
      <c r="H62" s="865"/>
      <c r="I62" s="865"/>
    </row>
    <row r="63" spans="1:12" s="334" customFormat="1" ht="11.25" x14ac:dyDescent="0.2">
      <c r="C63" s="369"/>
    </row>
    <row r="64" spans="1:12" s="373" customFormat="1" ht="31.5" x14ac:dyDescent="0.25">
      <c r="A64" s="866" t="s">
        <v>149</v>
      </c>
      <c r="B64" s="867"/>
      <c r="C64" s="372" t="s">
        <v>150</v>
      </c>
      <c r="D64" s="372" t="s">
        <v>151</v>
      </c>
      <c r="E64" s="372" t="s">
        <v>152</v>
      </c>
      <c r="F64" s="372" t="s">
        <v>153</v>
      </c>
      <c r="G64" s="372" t="s">
        <v>154</v>
      </c>
      <c r="L64" s="334"/>
    </row>
    <row r="65" spans="1:12" s="334" customFormat="1" ht="15" x14ac:dyDescent="0.25">
      <c r="A65" s="933" t="s">
        <v>281</v>
      </c>
      <c r="B65" s="905"/>
      <c r="C65" s="388" t="s">
        <v>168</v>
      </c>
      <c r="D65" s="389">
        <v>33200</v>
      </c>
      <c r="E65" s="389">
        <v>0</v>
      </c>
      <c r="F65" s="457">
        <v>42864</v>
      </c>
      <c r="G65" s="457">
        <v>42914</v>
      </c>
      <c r="L65" s="373"/>
    </row>
    <row r="66" spans="1:12" s="334" customFormat="1" ht="11.25" x14ac:dyDescent="0.2">
      <c r="A66" s="933" t="s">
        <v>282</v>
      </c>
      <c r="B66" s="905"/>
      <c r="C66" s="388" t="s">
        <v>200</v>
      </c>
      <c r="D66" s="389">
        <v>0</v>
      </c>
      <c r="E66" s="389">
        <v>33200</v>
      </c>
      <c r="F66" s="457">
        <v>42864</v>
      </c>
      <c r="G66" s="457">
        <v>42914</v>
      </c>
    </row>
    <row r="67" spans="1:12" s="334" customFormat="1" ht="11.25" x14ac:dyDescent="0.2">
      <c r="A67" s="933" t="s">
        <v>283</v>
      </c>
      <c r="B67" s="905"/>
      <c r="C67" s="388" t="s">
        <v>284</v>
      </c>
      <c r="D67" s="389">
        <v>0</v>
      </c>
      <c r="E67" s="389">
        <v>-48000</v>
      </c>
      <c r="F67" s="457">
        <v>42916</v>
      </c>
      <c r="G67" s="457">
        <v>42916</v>
      </c>
    </row>
    <row r="68" spans="1:12" s="334" customFormat="1" ht="11.25" x14ac:dyDescent="0.2">
      <c r="A68" s="933" t="s">
        <v>285</v>
      </c>
      <c r="B68" s="905"/>
      <c r="C68" s="388" t="s">
        <v>286</v>
      </c>
      <c r="D68" s="389">
        <v>0</v>
      </c>
      <c r="E68" s="389">
        <v>48000</v>
      </c>
      <c r="F68" s="457">
        <v>42916</v>
      </c>
      <c r="G68" s="457">
        <v>42916</v>
      </c>
    </row>
    <row r="69" spans="1:12" s="334" customFormat="1" ht="11.25" x14ac:dyDescent="0.2">
      <c r="A69" s="933" t="s">
        <v>287</v>
      </c>
      <c r="B69" s="905"/>
      <c r="C69" s="388" t="s">
        <v>288</v>
      </c>
      <c r="D69" s="389">
        <v>0</v>
      </c>
      <c r="E69" s="389">
        <v>-300</v>
      </c>
      <c r="F69" s="457">
        <v>42916</v>
      </c>
      <c r="G69" s="457">
        <v>42916</v>
      </c>
    </row>
    <row r="70" spans="1:12" s="334" customFormat="1" ht="11.25" x14ac:dyDescent="0.2">
      <c r="A70" s="933" t="s">
        <v>289</v>
      </c>
      <c r="B70" s="905"/>
      <c r="C70" s="388" t="s">
        <v>290</v>
      </c>
      <c r="D70" s="389">
        <v>0</v>
      </c>
      <c r="E70" s="389">
        <v>300</v>
      </c>
      <c r="F70" s="457">
        <v>42916</v>
      </c>
      <c r="G70" s="457">
        <v>42916</v>
      </c>
    </row>
    <row r="71" spans="1:12" s="334" customFormat="1" ht="11.25" x14ac:dyDescent="0.2">
      <c r="A71" s="872" t="s">
        <v>169</v>
      </c>
      <c r="B71" s="873"/>
      <c r="C71" s="387"/>
      <c r="D71" s="354">
        <f>SUM(D65:D66)</f>
        <v>33200</v>
      </c>
      <c r="E71" s="354">
        <f>SUM(E65:E66)</f>
        <v>33200</v>
      </c>
      <c r="F71" s="881"/>
      <c r="G71" s="882"/>
    </row>
    <row r="72" spans="1:12" s="334" customFormat="1" ht="11.25" x14ac:dyDescent="0.2">
      <c r="C72" s="369"/>
    </row>
    <row r="73" spans="1:12" s="334" customFormat="1" ht="11.25" x14ac:dyDescent="0.2">
      <c r="A73" s="865" t="s">
        <v>170</v>
      </c>
      <c r="B73" s="865"/>
      <c r="C73" s="865"/>
      <c r="D73" s="865"/>
      <c r="E73" s="865"/>
      <c r="F73" s="865"/>
      <c r="G73" s="865"/>
      <c r="H73" s="865"/>
      <c r="I73" s="865"/>
    </row>
    <row r="74" spans="1:12" s="334" customFormat="1" ht="11.25" x14ac:dyDescent="0.2">
      <c r="C74" s="369"/>
    </row>
    <row r="75" spans="1:12" s="373" customFormat="1" ht="31.5" x14ac:dyDescent="0.25">
      <c r="A75" s="866" t="s">
        <v>149</v>
      </c>
      <c r="B75" s="867"/>
      <c r="C75" s="372" t="s">
        <v>150</v>
      </c>
      <c r="D75" s="372" t="s">
        <v>151</v>
      </c>
      <c r="E75" s="372" t="s">
        <v>152</v>
      </c>
      <c r="F75" s="372" t="s">
        <v>153</v>
      </c>
      <c r="G75" s="372" t="s">
        <v>154</v>
      </c>
      <c r="L75" s="334"/>
    </row>
    <row r="76" spans="1:12" s="334" customFormat="1" ht="11.25" customHeight="1" x14ac:dyDescent="0.25">
      <c r="A76" s="933" t="s">
        <v>291</v>
      </c>
      <c r="B76" s="869"/>
      <c r="C76" s="388"/>
      <c r="D76" s="389"/>
      <c r="E76" s="389"/>
      <c r="F76" s="390"/>
      <c r="G76" s="390"/>
      <c r="L76" s="373"/>
    </row>
    <row r="77" spans="1:12" s="334" customFormat="1" ht="11.25" x14ac:dyDescent="0.2">
      <c r="A77" s="872" t="s">
        <v>169</v>
      </c>
      <c r="B77" s="873"/>
      <c r="C77" s="387"/>
      <c r="D77" s="354">
        <f>SUM(D76:D76)</f>
        <v>0</v>
      </c>
      <c r="E77" s="354">
        <f>SUM(E76:E76)</f>
        <v>0</v>
      </c>
      <c r="F77" s="874"/>
      <c r="G77" s="875"/>
    </row>
    <row r="78" spans="1:12" s="334" customFormat="1" ht="11.25" x14ac:dyDescent="0.2">
      <c r="C78" s="369"/>
    </row>
    <row r="79" spans="1:12" s="340" customFormat="1" ht="11.25" x14ac:dyDescent="0.2">
      <c r="A79" s="860" t="s">
        <v>292</v>
      </c>
      <c r="B79" s="860"/>
      <c r="C79" s="860"/>
      <c r="D79" s="860"/>
      <c r="E79" s="860"/>
      <c r="F79" s="860"/>
      <c r="G79" s="860"/>
      <c r="H79" s="860"/>
      <c r="I79" s="860"/>
      <c r="L79" s="334"/>
    </row>
    <row r="80" spans="1:12" s="334" customFormat="1" ht="11.25" x14ac:dyDescent="0.2">
      <c r="L80" s="340"/>
    </row>
    <row r="81" spans="1:12" s="334" customFormat="1" ht="11.25" x14ac:dyDescent="0.2">
      <c r="A81" s="862" t="s">
        <v>293</v>
      </c>
      <c r="B81" s="863"/>
      <c r="C81" s="863"/>
      <c r="D81" s="863"/>
      <c r="E81" s="863"/>
      <c r="F81" s="863"/>
      <c r="G81" s="863"/>
      <c r="H81" s="863"/>
      <c r="I81" s="864"/>
    </row>
    <row r="82" spans="1:12" s="334" customFormat="1" ht="11.25" x14ac:dyDescent="0.2"/>
    <row r="83" spans="1:12" s="333" customFormat="1" ht="11.25" x14ac:dyDescent="0.2">
      <c r="A83" s="861" t="s">
        <v>175</v>
      </c>
      <c r="B83" s="861"/>
      <c r="C83" s="861"/>
      <c r="D83" s="861"/>
      <c r="E83" s="861"/>
      <c r="F83" s="861"/>
      <c r="G83" s="861"/>
      <c r="H83" s="861"/>
      <c r="I83" s="861"/>
      <c r="L83" s="334"/>
    </row>
    <row r="84" spans="1:12" s="334" customFormat="1" ht="11.25" x14ac:dyDescent="0.2">
      <c r="L84" s="333"/>
    </row>
    <row r="85" spans="1:12" s="334" customFormat="1" ht="24.75" customHeight="1" x14ac:dyDescent="0.2">
      <c r="A85" s="862" t="s">
        <v>294</v>
      </c>
      <c r="B85" s="863"/>
      <c r="C85" s="863"/>
      <c r="D85" s="863"/>
      <c r="E85" s="863"/>
      <c r="F85" s="863"/>
      <c r="G85" s="863"/>
      <c r="H85" s="863"/>
      <c r="I85" s="864"/>
    </row>
    <row r="86" spans="1:12" s="334" customFormat="1" ht="11.25" x14ac:dyDescent="0.2">
      <c r="A86" s="862" t="s">
        <v>295</v>
      </c>
      <c r="B86" s="863"/>
      <c r="C86" s="863"/>
      <c r="D86" s="863"/>
      <c r="E86" s="863"/>
      <c r="F86" s="863"/>
      <c r="G86" s="863"/>
      <c r="H86" s="863"/>
      <c r="I86" s="864"/>
    </row>
    <row r="87" spans="1:12" s="334" customFormat="1" ht="11.25" x14ac:dyDescent="0.2">
      <c r="A87" s="862" t="s">
        <v>296</v>
      </c>
      <c r="B87" s="858"/>
      <c r="C87" s="858"/>
      <c r="D87" s="858"/>
      <c r="E87" s="858"/>
      <c r="F87" s="858"/>
      <c r="G87" s="858"/>
      <c r="H87" s="858"/>
      <c r="I87" s="859"/>
    </row>
    <row r="88" spans="1:12" x14ac:dyDescent="0.2">
      <c r="A88" s="862" t="s">
        <v>297</v>
      </c>
      <c r="B88" s="858"/>
      <c r="C88" s="858"/>
      <c r="D88" s="858"/>
      <c r="E88" s="858"/>
      <c r="F88" s="858"/>
      <c r="G88" s="858"/>
      <c r="H88" s="858"/>
      <c r="I88" s="859"/>
      <c r="L88" s="334"/>
    </row>
    <row r="89" spans="1:12" x14ac:dyDescent="0.2">
      <c r="A89" s="862" t="s">
        <v>298</v>
      </c>
      <c r="B89" s="858"/>
      <c r="C89" s="858"/>
      <c r="D89" s="858"/>
      <c r="E89" s="858"/>
      <c r="F89" s="858"/>
      <c r="G89" s="858"/>
      <c r="H89" s="858"/>
      <c r="I89" s="859"/>
    </row>
    <row r="90" spans="1:12" ht="18.75" x14ac:dyDescent="0.3">
      <c r="A90" s="391"/>
    </row>
    <row r="91" spans="1:12" x14ac:dyDescent="0.2">
      <c r="A91" s="392" t="s">
        <v>299</v>
      </c>
    </row>
    <row r="93" spans="1:12" x14ac:dyDescent="0.2">
      <c r="A93" s="392" t="s">
        <v>300</v>
      </c>
    </row>
    <row r="95" spans="1:12" x14ac:dyDescent="0.2">
      <c r="A95" s="392" t="s">
        <v>301</v>
      </c>
    </row>
  </sheetData>
  <mergeCells count="79">
    <mergeCell ref="G12:I12"/>
    <mergeCell ref="A1:I1"/>
    <mergeCell ref="A3:I3"/>
    <mergeCell ref="A5:B5"/>
    <mergeCell ref="D5:I5"/>
    <mergeCell ref="A6:B6"/>
    <mergeCell ref="D6:I6"/>
    <mergeCell ref="A7:B7"/>
    <mergeCell ref="D7:I7"/>
    <mergeCell ref="A8:B8"/>
    <mergeCell ref="D8:I8"/>
    <mergeCell ref="A10:I10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A39:I39"/>
    <mergeCell ref="D41:I41"/>
    <mergeCell ref="A42:A45"/>
    <mergeCell ref="D42:I42"/>
    <mergeCell ref="D43:I43"/>
    <mergeCell ref="D44:I44"/>
    <mergeCell ref="D45:I45"/>
    <mergeCell ref="A62:I62"/>
    <mergeCell ref="C46:I46"/>
    <mergeCell ref="A48:I48"/>
    <mergeCell ref="D50:I50"/>
    <mergeCell ref="A51:A53"/>
    <mergeCell ref="D51:I51"/>
    <mergeCell ref="D52:I52"/>
    <mergeCell ref="D53:I53"/>
    <mergeCell ref="C54:I54"/>
    <mergeCell ref="A56:I56"/>
    <mergeCell ref="C58:I58"/>
    <mergeCell ref="C59:I59"/>
    <mergeCell ref="C60:I60"/>
    <mergeCell ref="A76:B76"/>
    <mergeCell ref="A64:B64"/>
    <mergeCell ref="A65:B65"/>
    <mergeCell ref="A66:B66"/>
    <mergeCell ref="A67:B67"/>
    <mergeCell ref="A68:B68"/>
    <mergeCell ref="A69:B69"/>
    <mergeCell ref="A70:B70"/>
    <mergeCell ref="A71:B71"/>
    <mergeCell ref="F71:G71"/>
    <mergeCell ref="A73:I73"/>
    <mergeCell ref="A75:B75"/>
    <mergeCell ref="A86:I86"/>
    <mergeCell ref="A87:I87"/>
    <mergeCell ref="A88:I88"/>
    <mergeCell ref="A89:I89"/>
    <mergeCell ref="A77:B77"/>
    <mergeCell ref="F77:G77"/>
    <mergeCell ref="A79:I79"/>
    <mergeCell ref="A81:I81"/>
    <mergeCell ref="A83:I83"/>
    <mergeCell ref="A85:I85"/>
  </mergeCells>
  <pageMargins left="0.70866141732283472" right="0.70866141732283472" top="0.78740157480314965" bottom="0.78740157480314965" header="0.31496062992125984" footer="0.31496062992125984"/>
  <pageSetup paperSize="9" scale="61" firstPageNumber="95" fitToHeight="3" orientation="portrait" useFirstPageNumber="1" r:id="rId1"/>
  <headerFooter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6.14062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11094000</v>
      </c>
      <c r="F6" s="8">
        <f>SUM(F7:F9)</f>
        <v>11134000</v>
      </c>
      <c r="G6" s="8">
        <f>SUM(G7:G9)</f>
        <v>6642623.0700000003</v>
      </c>
      <c r="H6" s="9">
        <f t="shared" ref="H6:H36" si="0">G6/F6*100</f>
        <v>59.660706574456626</v>
      </c>
      <c r="I6" s="8">
        <f>SUM(I7:I9)</f>
        <v>6065361</v>
      </c>
      <c r="J6" s="8">
        <f>SUM(J7:J9)</f>
        <v>11094000</v>
      </c>
      <c r="K6" s="8">
        <f t="shared" ref="K6:X6" si="1">SUM(K7:K9)</f>
        <v>11134000</v>
      </c>
      <c r="L6" s="8">
        <f t="shared" si="1"/>
        <v>6642622.7799999993</v>
      </c>
      <c r="M6" s="9">
        <f t="shared" ref="M6:M36" si="2">L6/K6*100</f>
        <v>59.660703969822158</v>
      </c>
      <c r="N6" s="8">
        <f t="shared" si="1"/>
        <v>6065361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9" t="e">
        <f t="shared" ref="R6:R36" si="3">Q6/P6*100</f>
        <v>#DIV/0!</v>
      </c>
      <c r="S6" s="8">
        <f t="shared" si="1"/>
        <v>0</v>
      </c>
      <c r="T6" s="8">
        <f t="shared" si="1"/>
        <v>700000</v>
      </c>
      <c r="U6" s="8">
        <f t="shared" si="1"/>
        <v>700000</v>
      </c>
      <c r="V6" s="8">
        <f t="shared" si="1"/>
        <v>473404.1</v>
      </c>
      <c r="W6" s="9">
        <f t="shared" ref="W6:W36" si="4">V6/U6*100</f>
        <v>67.629157142857139</v>
      </c>
      <c r="X6" s="8">
        <f t="shared" si="1"/>
        <v>441749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v>5869190</v>
      </c>
      <c r="F7" s="12">
        <v>5909190</v>
      </c>
      <c r="G7" s="12">
        <v>3989024.78</v>
      </c>
      <c r="H7" s="13">
        <f t="shared" si="0"/>
        <v>67.505441185678578</v>
      </c>
      <c r="I7" s="12">
        <v>3350343</v>
      </c>
      <c r="J7" s="12">
        <v>5869190</v>
      </c>
      <c r="K7" s="12">
        <v>5909190</v>
      </c>
      <c r="L7" s="12">
        <v>3989024.78</v>
      </c>
      <c r="M7" s="13">
        <f t="shared" si="2"/>
        <v>67.505441185678578</v>
      </c>
      <c r="N7" s="12">
        <v>3350343</v>
      </c>
      <c r="O7" s="14"/>
      <c r="P7" s="14"/>
      <c r="Q7" s="14"/>
      <c r="R7" s="13" t="e">
        <f t="shared" si="3"/>
        <v>#DIV/0!</v>
      </c>
      <c r="S7" s="14"/>
      <c r="T7" s="14">
        <v>700000</v>
      </c>
      <c r="U7" s="14">
        <v>700000</v>
      </c>
      <c r="V7" s="14">
        <v>473404.1</v>
      </c>
      <c r="W7" s="13">
        <f t="shared" si="4"/>
        <v>67.629157142857139</v>
      </c>
      <c r="X7" s="14">
        <v>441749</v>
      </c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v>2000</v>
      </c>
      <c r="F8" s="12">
        <v>2000</v>
      </c>
      <c r="G8" s="12">
        <v>229</v>
      </c>
      <c r="H8" s="13">
        <f t="shared" si="0"/>
        <v>11.450000000000001</v>
      </c>
      <c r="I8" s="12">
        <v>654</v>
      </c>
      <c r="J8" s="12">
        <v>2000</v>
      </c>
      <c r="K8" s="12">
        <v>2000</v>
      </c>
      <c r="L8" s="12">
        <v>229</v>
      </c>
      <c r="M8" s="13">
        <f t="shared" si="2"/>
        <v>11.450000000000001</v>
      </c>
      <c r="N8" s="12">
        <v>654</v>
      </c>
      <c r="O8" s="12"/>
      <c r="P8" s="12"/>
      <c r="Q8" s="12"/>
      <c r="R8" s="13" t="e">
        <f t="shared" si="3"/>
        <v>#DIV/0!</v>
      </c>
      <c r="S8" s="12"/>
      <c r="T8" s="12">
        <v>0</v>
      </c>
      <c r="U8" s="12">
        <v>0</v>
      </c>
      <c r="V8" s="12">
        <v>0</v>
      </c>
      <c r="W8" s="13" t="e">
        <f t="shared" si="4"/>
        <v>#DIV/0!</v>
      </c>
      <c r="X8" s="12">
        <v>0</v>
      </c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v>5222810</v>
      </c>
      <c r="F9" s="12">
        <v>5222810</v>
      </c>
      <c r="G9" s="12">
        <v>2653369.29</v>
      </c>
      <c r="H9" s="13">
        <f t="shared" si="0"/>
        <v>50.803481076278864</v>
      </c>
      <c r="I9" s="12">
        <v>2714364</v>
      </c>
      <c r="J9" s="12">
        <v>5222810</v>
      </c>
      <c r="K9" s="12">
        <v>5222810</v>
      </c>
      <c r="L9" s="12">
        <v>2653369</v>
      </c>
      <c r="M9" s="13">
        <f t="shared" si="2"/>
        <v>50.803475523712329</v>
      </c>
      <c r="N9" s="12">
        <v>2714364</v>
      </c>
      <c r="O9" s="12"/>
      <c r="P9" s="12"/>
      <c r="Q9" s="12"/>
      <c r="R9" s="13" t="e">
        <f t="shared" si="3"/>
        <v>#DIV/0!</v>
      </c>
      <c r="S9" s="12"/>
      <c r="T9" s="12">
        <v>0</v>
      </c>
      <c r="U9" s="12">
        <v>0</v>
      </c>
      <c r="V9" s="12">
        <v>0</v>
      </c>
      <c r="W9" s="13" t="e">
        <f>V9/U9*100</f>
        <v>#DIV/0!</v>
      </c>
      <c r="X9" s="12">
        <v>0</v>
      </c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ref="E10:G10" si="5">SUM(J10,O10)</f>
        <v>0</v>
      </c>
      <c r="F10" s="18">
        <f t="shared" si="5"/>
        <v>0</v>
      </c>
      <c r="G10" s="18">
        <f t="shared" si="5"/>
        <v>0</v>
      </c>
      <c r="H10" s="9" t="e">
        <f t="shared" si="0"/>
        <v>#DIV/0!</v>
      </c>
      <c r="I10" s="18">
        <f>SUM(N10,S10)</f>
        <v>0</v>
      </c>
      <c r="J10" s="19"/>
      <c r="K10" s="18"/>
      <c r="L10" s="18"/>
      <c r="M10" s="9" t="e">
        <f t="shared" si="2"/>
        <v>#DIV/0!</v>
      </c>
      <c r="N10" s="18"/>
      <c r="O10" s="18"/>
      <c r="P10" s="18"/>
      <c r="Q10" s="18"/>
      <c r="R10" s="9" t="e">
        <f t="shared" si="3"/>
        <v>#DIV/0!</v>
      </c>
      <c r="S10" s="18"/>
      <c r="T10" s="18"/>
      <c r="U10" s="18"/>
      <c r="V10" s="18"/>
      <c r="W10" s="9" t="e">
        <f t="shared" si="4"/>
        <v>#DIV/0!</v>
      </c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11094000</v>
      </c>
      <c r="F11" s="8">
        <f>SUM(F12:F31)</f>
        <v>11134000</v>
      </c>
      <c r="G11" s="8">
        <f>SUM(G12:G31)</f>
        <v>6642623.3700000001</v>
      </c>
      <c r="H11" s="9">
        <f t="shared" si="0"/>
        <v>59.660709268906054</v>
      </c>
      <c r="I11" s="8">
        <f>SUM(I12:I31)</f>
        <v>6065361</v>
      </c>
      <c r="J11" s="8">
        <f>SUM(J12:J31)</f>
        <v>11094000</v>
      </c>
      <c r="K11" s="8">
        <f>SUM(K12:K31)</f>
        <v>11134000</v>
      </c>
      <c r="L11" s="8">
        <f>SUM(L12:L31)</f>
        <v>6642623.3700000001</v>
      </c>
      <c r="M11" s="9">
        <f t="shared" si="2"/>
        <v>59.660709268906054</v>
      </c>
      <c r="N11" s="8">
        <f>SUM(N12:N31)</f>
        <v>6065361</v>
      </c>
      <c r="O11" s="8">
        <f>SUM(O12:O31)</f>
        <v>0</v>
      </c>
      <c r="P11" s="8">
        <f>SUM(P12:P31)</f>
        <v>0</v>
      </c>
      <c r="Q11" s="8">
        <f>SUM(Q12:Q31)</f>
        <v>0</v>
      </c>
      <c r="R11" s="9" t="e">
        <f t="shared" si="3"/>
        <v>#DIV/0!</v>
      </c>
      <c r="S11" s="8">
        <f>SUM(S12:S31)</f>
        <v>0</v>
      </c>
      <c r="T11" s="8">
        <f>SUM(T12:T31)</f>
        <v>600000</v>
      </c>
      <c r="U11" s="8">
        <f>SUM(U12:U31)</f>
        <v>600000</v>
      </c>
      <c r="V11" s="8">
        <f>SUM(V12:V31)</f>
        <v>121200</v>
      </c>
      <c r="W11" s="9">
        <f t="shared" si="4"/>
        <v>20.200000000000003</v>
      </c>
      <c r="X11" s="8">
        <f>SUM(X12:X31)</f>
        <v>186299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v>325000</v>
      </c>
      <c r="F12" s="12">
        <v>325000</v>
      </c>
      <c r="G12" s="12">
        <v>197673.9</v>
      </c>
      <c r="H12" s="13">
        <f t="shared" si="0"/>
        <v>60.822738461538464</v>
      </c>
      <c r="I12" s="12">
        <v>153122</v>
      </c>
      <c r="J12" s="20">
        <v>325000</v>
      </c>
      <c r="K12" s="12">
        <v>325000</v>
      </c>
      <c r="L12" s="12">
        <v>197673.9</v>
      </c>
      <c r="M12" s="13">
        <f t="shared" si="2"/>
        <v>60.822738461538464</v>
      </c>
      <c r="N12" s="12">
        <v>153122</v>
      </c>
      <c r="O12" s="21"/>
      <c r="P12" s="21"/>
      <c r="Q12" s="21"/>
      <c r="R12" s="13" t="e">
        <f t="shared" si="3"/>
        <v>#DIV/0!</v>
      </c>
      <c r="S12" s="21"/>
      <c r="T12" s="21">
        <v>35000</v>
      </c>
      <c r="U12" s="21">
        <v>35000</v>
      </c>
      <c r="V12" s="21">
        <v>0</v>
      </c>
      <c r="W12" s="13">
        <f t="shared" si="4"/>
        <v>0</v>
      </c>
      <c r="X12" s="22">
        <v>3194</v>
      </c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v>830000</v>
      </c>
      <c r="F13" s="12">
        <v>830000</v>
      </c>
      <c r="G13" s="12">
        <v>433809</v>
      </c>
      <c r="H13" s="13">
        <f t="shared" si="0"/>
        <v>52.266144578313259</v>
      </c>
      <c r="I13" s="12">
        <v>472599</v>
      </c>
      <c r="J13" s="20">
        <v>830000</v>
      </c>
      <c r="K13" s="12">
        <v>830000</v>
      </c>
      <c r="L13" s="12">
        <v>433809</v>
      </c>
      <c r="M13" s="13">
        <f t="shared" si="2"/>
        <v>52.266144578313259</v>
      </c>
      <c r="N13" s="12">
        <v>472599</v>
      </c>
      <c r="O13" s="12"/>
      <c r="P13" s="12"/>
      <c r="Q13" s="12"/>
      <c r="R13" s="13" t="e">
        <f t="shared" si="3"/>
        <v>#DIV/0!</v>
      </c>
      <c r="S13" s="12"/>
      <c r="T13" s="12">
        <v>65000</v>
      </c>
      <c r="U13" s="12">
        <v>65000</v>
      </c>
      <c r="V13" s="12">
        <v>0</v>
      </c>
      <c r="W13" s="13">
        <f t="shared" si="4"/>
        <v>0</v>
      </c>
      <c r="X13" s="12">
        <v>0</v>
      </c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ref="E14:G27" si="6">SUM(J14,O14)</f>
        <v>0</v>
      </c>
      <c r="F14" s="12">
        <f t="shared" si="6"/>
        <v>0</v>
      </c>
      <c r="G14" s="12">
        <f t="shared" si="6"/>
        <v>0</v>
      </c>
      <c r="H14" s="13" t="e">
        <f t="shared" si="0"/>
        <v>#DIV/0!</v>
      </c>
      <c r="I14" s="12">
        <v>0</v>
      </c>
      <c r="J14" s="20">
        <v>0</v>
      </c>
      <c r="K14" s="12">
        <f t="shared" ref="K14:L14" si="7">SUM(P14,U14)</f>
        <v>0</v>
      </c>
      <c r="L14" s="12">
        <f t="shared" si="7"/>
        <v>0</v>
      </c>
      <c r="M14" s="13" t="e">
        <f t="shared" si="2"/>
        <v>#DIV/0!</v>
      </c>
      <c r="N14" s="12">
        <v>0</v>
      </c>
      <c r="O14" s="12"/>
      <c r="P14" s="12"/>
      <c r="Q14" s="12"/>
      <c r="R14" s="13" t="e">
        <f t="shared" si="3"/>
        <v>#DIV/0!</v>
      </c>
      <c r="S14" s="12"/>
      <c r="T14" s="12">
        <v>0</v>
      </c>
      <c r="U14" s="12">
        <v>0</v>
      </c>
      <c r="V14" s="12">
        <v>0</v>
      </c>
      <c r="W14" s="13" t="e">
        <f t="shared" si="4"/>
        <v>#DIV/0!</v>
      </c>
      <c r="X14" s="12">
        <v>0</v>
      </c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v>32000</v>
      </c>
      <c r="F15" s="12">
        <v>32000</v>
      </c>
      <c r="G15" s="12">
        <v>20066.5</v>
      </c>
      <c r="H15" s="13">
        <f t="shared" si="0"/>
        <v>62.707812500000003</v>
      </c>
      <c r="I15" s="12">
        <v>36284</v>
      </c>
      <c r="J15" s="20">
        <v>32000</v>
      </c>
      <c r="K15" s="12">
        <v>32000</v>
      </c>
      <c r="L15" s="12">
        <v>20066.5</v>
      </c>
      <c r="M15" s="13">
        <f t="shared" si="2"/>
        <v>62.707812500000003</v>
      </c>
      <c r="N15" s="12">
        <v>36284</v>
      </c>
      <c r="O15" s="12"/>
      <c r="P15" s="12"/>
      <c r="Q15" s="12"/>
      <c r="R15" s="13" t="e">
        <f t="shared" si="3"/>
        <v>#DIV/0!</v>
      </c>
      <c r="S15" s="12"/>
      <c r="T15" s="12">
        <v>70000</v>
      </c>
      <c r="U15" s="12">
        <v>70000</v>
      </c>
      <c r="V15" s="12">
        <v>0</v>
      </c>
      <c r="W15" s="13">
        <f t="shared" si="4"/>
        <v>0</v>
      </c>
      <c r="X15" s="12">
        <v>0</v>
      </c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v>10000</v>
      </c>
      <c r="F16" s="12">
        <v>10000</v>
      </c>
      <c r="G16" s="12">
        <v>5749</v>
      </c>
      <c r="H16" s="13">
        <f t="shared" si="0"/>
        <v>57.489999999999995</v>
      </c>
      <c r="I16" s="12">
        <v>12245</v>
      </c>
      <c r="J16" s="20">
        <v>10000</v>
      </c>
      <c r="K16" s="12">
        <v>10000</v>
      </c>
      <c r="L16" s="12">
        <v>5749</v>
      </c>
      <c r="M16" s="13">
        <f t="shared" si="2"/>
        <v>57.489999999999995</v>
      </c>
      <c r="N16" s="12">
        <v>12245</v>
      </c>
      <c r="O16" s="12"/>
      <c r="P16" s="12"/>
      <c r="Q16" s="12"/>
      <c r="R16" s="13" t="e">
        <f t="shared" si="3"/>
        <v>#DIV/0!</v>
      </c>
      <c r="S16" s="12"/>
      <c r="T16" s="12">
        <v>0</v>
      </c>
      <c r="U16" s="12">
        <v>0</v>
      </c>
      <c r="V16" s="12">
        <v>0</v>
      </c>
      <c r="W16" s="13" t="e">
        <f t="shared" si="4"/>
        <v>#DIV/0!</v>
      </c>
      <c r="X16" s="12">
        <v>0</v>
      </c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v>10000</v>
      </c>
      <c r="F17" s="12">
        <v>10000</v>
      </c>
      <c r="G17" s="12">
        <v>5142</v>
      </c>
      <c r="H17" s="13">
        <f t="shared" si="0"/>
        <v>51.42</v>
      </c>
      <c r="I17" s="12">
        <v>6592</v>
      </c>
      <c r="J17" s="20">
        <v>10000</v>
      </c>
      <c r="K17" s="12">
        <v>10000</v>
      </c>
      <c r="L17" s="12">
        <v>5142</v>
      </c>
      <c r="M17" s="13">
        <f t="shared" si="2"/>
        <v>51.42</v>
      </c>
      <c r="N17" s="12">
        <v>6592</v>
      </c>
      <c r="O17" s="12"/>
      <c r="P17" s="12"/>
      <c r="Q17" s="12"/>
      <c r="R17" s="13" t="e">
        <f t="shared" si="3"/>
        <v>#DIV/0!</v>
      </c>
      <c r="S17" s="12"/>
      <c r="T17" s="12">
        <v>0</v>
      </c>
      <c r="U17" s="12">
        <v>0</v>
      </c>
      <c r="V17" s="12">
        <v>0</v>
      </c>
      <c r="W17" s="13" t="e">
        <f t="shared" si="4"/>
        <v>#DIV/0!</v>
      </c>
      <c r="X17" s="12">
        <v>0</v>
      </c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v>5096000</v>
      </c>
      <c r="F18" s="12">
        <v>5096000</v>
      </c>
      <c r="G18" s="12">
        <v>3592566.92</v>
      </c>
      <c r="H18" s="13">
        <f t="shared" si="0"/>
        <v>70.497781004709566</v>
      </c>
      <c r="I18" s="12">
        <v>3068116</v>
      </c>
      <c r="J18" s="20">
        <v>5096000</v>
      </c>
      <c r="K18" s="12">
        <v>5096000</v>
      </c>
      <c r="L18" s="12">
        <v>3592566.92</v>
      </c>
      <c r="M18" s="13">
        <f t="shared" si="2"/>
        <v>70.497781004709566</v>
      </c>
      <c r="N18" s="12">
        <v>3068116</v>
      </c>
      <c r="O18" s="12"/>
      <c r="P18" s="12"/>
      <c r="Q18" s="12"/>
      <c r="R18" s="13" t="e">
        <f t="shared" si="3"/>
        <v>#DIV/0!</v>
      </c>
      <c r="S18" s="12"/>
      <c r="T18" s="12">
        <v>90000</v>
      </c>
      <c r="U18" s="12">
        <v>90000</v>
      </c>
      <c r="V18" s="12">
        <v>31560</v>
      </c>
      <c r="W18" s="13">
        <f t="shared" si="4"/>
        <v>35.06666666666667</v>
      </c>
      <c r="X18" s="12">
        <v>31272</v>
      </c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v>2950000</v>
      </c>
      <c r="F19" s="12">
        <v>2950000</v>
      </c>
      <c r="G19" s="12">
        <v>1449625</v>
      </c>
      <c r="H19" s="13">
        <f t="shared" si="0"/>
        <v>49.139830508474574</v>
      </c>
      <c r="I19" s="12">
        <v>1401688</v>
      </c>
      <c r="J19" s="23">
        <v>2950000</v>
      </c>
      <c r="K19" s="12">
        <v>2950000</v>
      </c>
      <c r="L19" s="12">
        <v>1449625</v>
      </c>
      <c r="M19" s="13">
        <f t="shared" si="2"/>
        <v>49.139830508474574</v>
      </c>
      <c r="N19" s="12">
        <v>1401688</v>
      </c>
      <c r="O19" s="12"/>
      <c r="P19" s="12"/>
      <c r="Q19" s="12"/>
      <c r="R19" s="13" t="e">
        <f t="shared" si="3"/>
        <v>#DIV/0!</v>
      </c>
      <c r="S19" s="12"/>
      <c r="T19" s="24">
        <v>250000</v>
      </c>
      <c r="U19" s="24">
        <v>250000</v>
      </c>
      <c r="V19" s="24">
        <v>68427</v>
      </c>
      <c r="W19" s="13">
        <f t="shared" si="4"/>
        <v>27.370799999999999</v>
      </c>
      <c r="X19" s="24">
        <v>131323</v>
      </c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v>981000</v>
      </c>
      <c r="F20" s="12">
        <v>981000</v>
      </c>
      <c r="G20" s="12">
        <v>460892</v>
      </c>
      <c r="H20" s="13">
        <f t="shared" si="0"/>
        <v>46.981855249745159</v>
      </c>
      <c r="I20" s="12">
        <v>468783</v>
      </c>
      <c r="J20" s="20">
        <v>981000</v>
      </c>
      <c r="K20" s="12">
        <v>981000</v>
      </c>
      <c r="L20" s="12">
        <v>460892</v>
      </c>
      <c r="M20" s="13">
        <f t="shared" si="2"/>
        <v>46.981855249745159</v>
      </c>
      <c r="N20" s="12">
        <v>468783</v>
      </c>
      <c r="O20" s="12"/>
      <c r="P20" s="12"/>
      <c r="Q20" s="12"/>
      <c r="R20" s="13" t="e">
        <f t="shared" si="3"/>
        <v>#DIV/0!</v>
      </c>
      <c r="S20" s="12"/>
      <c r="T20" s="12">
        <v>80000</v>
      </c>
      <c r="U20" s="12">
        <v>80000</v>
      </c>
      <c r="V20" s="12">
        <v>21213</v>
      </c>
      <c r="W20" s="13">
        <f t="shared" si="4"/>
        <v>26.516250000000003</v>
      </c>
      <c r="X20" s="12">
        <v>20510</v>
      </c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v>112000</v>
      </c>
      <c r="F21" s="12">
        <v>112000</v>
      </c>
      <c r="G21" s="12">
        <v>60654</v>
      </c>
      <c r="H21" s="13">
        <f t="shared" si="0"/>
        <v>54.155357142857142</v>
      </c>
      <c r="I21" s="12">
        <v>53129</v>
      </c>
      <c r="J21" s="20">
        <v>112000</v>
      </c>
      <c r="K21" s="12">
        <v>112000</v>
      </c>
      <c r="L21" s="12">
        <v>60654</v>
      </c>
      <c r="M21" s="13">
        <f t="shared" si="2"/>
        <v>54.155357142857142</v>
      </c>
      <c r="N21" s="12">
        <v>53129</v>
      </c>
      <c r="O21" s="12"/>
      <c r="P21" s="12"/>
      <c r="Q21" s="12"/>
      <c r="R21" s="13" t="e">
        <f t="shared" si="3"/>
        <v>#DIV/0!</v>
      </c>
      <c r="S21" s="12"/>
      <c r="T21" s="12">
        <v>10000</v>
      </c>
      <c r="U21" s="12">
        <v>10000</v>
      </c>
      <c r="V21" s="12">
        <v>0</v>
      </c>
      <c r="W21" s="13">
        <f t="shared" si="4"/>
        <v>0</v>
      </c>
      <c r="X21" s="12">
        <v>0</v>
      </c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v>4000</v>
      </c>
      <c r="F22" s="12">
        <v>4000</v>
      </c>
      <c r="G22" s="12">
        <v>3300</v>
      </c>
      <c r="H22" s="13">
        <f t="shared" si="0"/>
        <v>82.5</v>
      </c>
      <c r="I22" s="12">
        <v>3300</v>
      </c>
      <c r="J22" s="20">
        <v>4000</v>
      </c>
      <c r="K22" s="12">
        <v>4000</v>
      </c>
      <c r="L22" s="12">
        <v>3300</v>
      </c>
      <c r="M22" s="13">
        <f t="shared" si="2"/>
        <v>82.5</v>
      </c>
      <c r="N22" s="12">
        <v>3300</v>
      </c>
      <c r="O22" s="12"/>
      <c r="P22" s="12"/>
      <c r="Q22" s="12"/>
      <c r="R22" s="13" t="e">
        <f t="shared" si="3"/>
        <v>#DIV/0!</v>
      </c>
      <c r="S22" s="12"/>
      <c r="T22" s="12">
        <v>0</v>
      </c>
      <c r="U22" s="12">
        <v>0</v>
      </c>
      <c r="V22" s="12">
        <v>0</v>
      </c>
      <c r="W22" s="13" t="e">
        <f t="shared" si="4"/>
        <v>#DIV/0!</v>
      </c>
      <c r="X22" s="12">
        <v>0</v>
      </c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6"/>
        <v>0</v>
      </c>
      <c r="F23" s="12">
        <f t="shared" si="6"/>
        <v>0</v>
      </c>
      <c r="G23" s="12">
        <f t="shared" si="6"/>
        <v>0</v>
      </c>
      <c r="H23" s="13" t="e">
        <f t="shared" si="0"/>
        <v>#DIV/0!</v>
      </c>
      <c r="I23" s="12">
        <v>0</v>
      </c>
      <c r="J23" s="20">
        <v>0</v>
      </c>
      <c r="K23" s="12">
        <f t="shared" ref="K23:L25" si="8">SUM(P23,U23)</f>
        <v>0</v>
      </c>
      <c r="L23" s="12">
        <f t="shared" si="8"/>
        <v>0</v>
      </c>
      <c r="M23" s="13" t="e">
        <f t="shared" si="2"/>
        <v>#DIV/0!</v>
      </c>
      <c r="N23" s="12">
        <v>0</v>
      </c>
      <c r="O23" s="12"/>
      <c r="P23" s="12"/>
      <c r="Q23" s="12"/>
      <c r="R23" s="13" t="e">
        <f t="shared" si="3"/>
        <v>#DIV/0!</v>
      </c>
      <c r="S23" s="12"/>
      <c r="T23" s="12">
        <v>0</v>
      </c>
      <c r="U23" s="12">
        <v>0</v>
      </c>
      <c r="V23" s="12">
        <v>0</v>
      </c>
      <c r="W23" s="13" t="e">
        <f t="shared" si="4"/>
        <v>#DIV/0!</v>
      </c>
      <c r="X23" s="12">
        <v>0</v>
      </c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6"/>
        <v>0</v>
      </c>
      <c r="F24" s="12">
        <f t="shared" si="6"/>
        <v>0</v>
      </c>
      <c r="G24" s="12">
        <f t="shared" si="6"/>
        <v>0</v>
      </c>
      <c r="H24" s="13" t="e">
        <f t="shared" si="0"/>
        <v>#DIV/0!</v>
      </c>
      <c r="I24" s="12">
        <v>0</v>
      </c>
      <c r="J24" s="20">
        <v>0</v>
      </c>
      <c r="K24" s="12">
        <f t="shared" si="8"/>
        <v>0</v>
      </c>
      <c r="L24" s="12">
        <f t="shared" si="8"/>
        <v>0</v>
      </c>
      <c r="M24" s="13" t="e">
        <f t="shared" si="2"/>
        <v>#DIV/0!</v>
      </c>
      <c r="N24" s="12">
        <v>0</v>
      </c>
      <c r="O24" s="12"/>
      <c r="P24" s="12"/>
      <c r="Q24" s="12"/>
      <c r="R24" s="13" t="e">
        <f t="shared" si="3"/>
        <v>#DIV/0!</v>
      </c>
      <c r="S24" s="12"/>
      <c r="T24" s="12">
        <v>0</v>
      </c>
      <c r="U24" s="12">
        <v>0</v>
      </c>
      <c r="V24" s="12">
        <v>0</v>
      </c>
      <c r="W24" s="13" t="e">
        <f t="shared" si="4"/>
        <v>#DIV/0!</v>
      </c>
      <c r="X24" s="12">
        <v>0</v>
      </c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v>0</v>
      </c>
      <c r="F25" s="12">
        <f t="shared" si="6"/>
        <v>0</v>
      </c>
      <c r="G25" s="12">
        <f t="shared" si="6"/>
        <v>0</v>
      </c>
      <c r="H25" s="13" t="e">
        <f t="shared" si="0"/>
        <v>#DIV/0!</v>
      </c>
      <c r="I25" s="12">
        <v>3910</v>
      </c>
      <c r="J25" s="20">
        <v>0</v>
      </c>
      <c r="K25" s="12">
        <f t="shared" si="8"/>
        <v>0</v>
      </c>
      <c r="L25" s="12">
        <f t="shared" si="8"/>
        <v>0</v>
      </c>
      <c r="M25" s="13" t="e">
        <f t="shared" si="2"/>
        <v>#DIV/0!</v>
      </c>
      <c r="N25" s="12">
        <v>3910</v>
      </c>
      <c r="O25" s="21"/>
      <c r="P25" s="21"/>
      <c r="Q25" s="21"/>
      <c r="R25" s="13" t="e">
        <f t="shared" si="3"/>
        <v>#DIV/0!</v>
      </c>
      <c r="S25" s="21"/>
      <c r="T25" s="21">
        <v>0</v>
      </c>
      <c r="U25" s="21">
        <v>0</v>
      </c>
      <c r="V25" s="21">
        <v>0</v>
      </c>
      <c r="W25" s="13" t="e">
        <f t="shared" si="4"/>
        <v>#DIV/0!</v>
      </c>
      <c r="X25" s="21">
        <v>0</v>
      </c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v>740000</v>
      </c>
      <c r="F26" s="12">
        <v>740000</v>
      </c>
      <c r="G26" s="12">
        <v>369757</v>
      </c>
      <c r="H26" s="26">
        <f>G26/F26*100</f>
        <v>49.967162162162161</v>
      </c>
      <c r="I26" s="12">
        <v>380683</v>
      </c>
      <c r="J26" s="20">
        <v>740000</v>
      </c>
      <c r="K26" s="12">
        <v>740000</v>
      </c>
      <c r="L26" s="12">
        <v>369757</v>
      </c>
      <c r="M26" s="13">
        <f>L26/K26*100</f>
        <v>49.967162162162161</v>
      </c>
      <c r="N26" s="12">
        <v>380683</v>
      </c>
      <c r="O26" s="22"/>
      <c r="P26" s="22"/>
      <c r="Q26" s="22"/>
      <c r="R26" s="13" t="e">
        <f>Q26/P26*100</f>
        <v>#DIV/0!</v>
      </c>
      <c r="S26" s="22"/>
      <c r="T26" s="22">
        <v>0</v>
      </c>
      <c r="U26" s="22">
        <v>0</v>
      </c>
      <c r="V26" s="22">
        <v>0</v>
      </c>
      <c r="W26" s="13" t="e">
        <f>V26/U26*100</f>
        <v>#DIV/0!</v>
      </c>
      <c r="X26" s="22">
        <v>0</v>
      </c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6"/>
        <v>0</v>
      </c>
      <c r="F27" s="12">
        <f t="shared" si="6"/>
        <v>0</v>
      </c>
      <c r="G27" s="12">
        <f t="shared" si="6"/>
        <v>0</v>
      </c>
      <c r="H27" s="26" t="e">
        <f t="shared" si="0"/>
        <v>#DIV/0!</v>
      </c>
      <c r="I27" s="12">
        <v>0</v>
      </c>
      <c r="J27" s="20">
        <v>0</v>
      </c>
      <c r="K27" s="12">
        <f t="shared" ref="K27:L27" si="9">SUM(P27,U27)</f>
        <v>0</v>
      </c>
      <c r="L27" s="12">
        <f t="shared" si="9"/>
        <v>0</v>
      </c>
      <c r="M27" s="13" t="e">
        <f t="shared" si="2"/>
        <v>#DIV/0!</v>
      </c>
      <c r="N27" s="12">
        <v>0</v>
      </c>
      <c r="O27" s="22"/>
      <c r="P27" s="22"/>
      <c r="Q27" s="22"/>
      <c r="R27" s="13" t="e">
        <f t="shared" si="3"/>
        <v>#DIV/0!</v>
      </c>
      <c r="S27" s="22"/>
      <c r="T27" s="22">
        <v>0</v>
      </c>
      <c r="U27" s="22">
        <v>0</v>
      </c>
      <c r="V27" s="22">
        <v>0</v>
      </c>
      <c r="W27" s="13" t="e">
        <f t="shared" si="4"/>
        <v>#DIV/0!</v>
      </c>
      <c r="X27" s="22">
        <v>0</v>
      </c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0</v>
      </c>
      <c r="F28" s="12">
        <v>40000</v>
      </c>
      <c r="G28" s="12">
        <v>39478.050000000003</v>
      </c>
      <c r="H28" s="26">
        <f>G28/F28*100</f>
        <v>98.695125000000004</v>
      </c>
      <c r="I28" s="12">
        <v>4910</v>
      </c>
      <c r="J28" s="20">
        <v>0</v>
      </c>
      <c r="K28" s="12">
        <v>40000</v>
      </c>
      <c r="L28" s="12">
        <v>39478.050000000003</v>
      </c>
      <c r="M28" s="13">
        <f>L28/K28*100</f>
        <v>98.695125000000004</v>
      </c>
      <c r="N28" s="12">
        <v>4910</v>
      </c>
      <c r="O28" s="22"/>
      <c r="P28" s="22"/>
      <c r="Q28" s="22"/>
      <c r="R28" s="13" t="e">
        <f>Q28/P28*100</f>
        <v>#DIV/0!</v>
      </c>
      <c r="S28" s="22"/>
      <c r="T28" s="22">
        <v>0</v>
      </c>
      <c r="U28" s="22">
        <v>0</v>
      </c>
      <c r="V28" s="22">
        <v>0</v>
      </c>
      <c r="W28" s="13" t="e">
        <f>V28/U28*100</f>
        <v>#DIV/0!</v>
      </c>
      <c r="X28" s="22">
        <v>0</v>
      </c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v>4000</v>
      </c>
      <c r="F29" s="12">
        <v>4000</v>
      </c>
      <c r="G29" s="12">
        <v>3910</v>
      </c>
      <c r="H29" s="26">
        <f t="shared" si="0"/>
        <v>97.75</v>
      </c>
      <c r="I29" s="12">
        <v>0</v>
      </c>
      <c r="J29" s="20">
        <v>4000</v>
      </c>
      <c r="K29" s="12">
        <v>4000</v>
      </c>
      <c r="L29" s="12">
        <v>3910</v>
      </c>
      <c r="M29" s="13">
        <f t="shared" si="2"/>
        <v>97.75</v>
      </c>
      <c r="N29" s="12">
        <v>0</v>
      </c>
      <c r="O29" s="22"/>
      <c r="P29" s="22"/>
      <c r="Q29" s="22"/>
      <c r="R29" s="13" t="e">
        <f t="shared" si="3"/>
        <v>#DIV/0!</v>
      </c>
      <c r="S29" s="22"/>
      <c r="T29" s="22">
        <v>0</v>
      </c>
      <c r="U29" s="22">
        <v>0</v>
      </c>
      <c r="V29" s="22">
        <v>0</v>
      </c>
      <c r="W29" s="13" t="e">
        <f t="shared" si="4"/>
        <v>#DIV/0!</v>
      </c>
      <c r="X29" s="22">
        <v>0</v>
      </c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10">SUM(J30,O30)</f>
        <v>0</v>
      </c>
      <c r="F30" s="12">
        <f t="shared" si="10"/>
        <v>0</v>
      </c>
      <c r="G30" s="12">
        <f t="shared" si="10"/>
        <v>0</v>
      </c>
      <c r="H30" s="26" t="e">
        <f t="shared" si="0"/>
        <v>#DIV/0!</v>
      </c>
      <c r="I30" s="12">
        <v>0</v>
      </c>
      <c r="J30" s="20">
        <v>0</v>
      </c>
      <c r="K30" s="12">
        <f t="shared" ref="K30:L31" si="11">SUM(P30,U30)</f>
        <v>0</v>
      </c>
      <c r="L30" s="12">
        <f t="shared" si="11"/>
        <v>0</v>
      </c>
      <c r="M30" s="13" t="e">
        <f t="shared" si="2"/>
        <v>#DIV/0!</v>
      </c>
      <c r="N30" s="12">
        <v>0</v>
      </c>
      <c r="O30" s="22"/>
      <c r="P30" s="22"/>
      <c r="Q30" s="22"/>
      <c r="R30" s="13" t="e">
        <f t="shared" si="3"/>
        <v>#DIV/0!</v>
      </c>
      <c r="S30" s="22"/>
      <c r="T30" s="22">
        <v>0</v>
      </c>
      <c r="U30" s="22">
        <v>0</v>
      </c>
      <c r="V30" s="22">
        <v>0</v>
      </c>
      <c r="W30" s="13" t="e">
        <f t="shared" si="4"/>
        <v>#DIV/0!</v>
      </c>
      <c r="X30" s="22">
        <v>0</v>
      </c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10"/>
        <v>0</v>
      </c>
      <c r="F31" s="12">
        <f t="shared" si="10"/>
        <v>0</v>
      </c>
      <c r="G31" s="12">
        <f t="shared" si="10"/>
        <v>0</v>
      </c>
      <c r="H31" s="26" t="e">
        <f t="shared" si="0"/>
        <v>#DIV/0!</v>
      </c>
      <c r="I31" s="12">
        <v>0</v>
      </c>
      <c r="J31" s="20">
        <v>0</v>
      </c>
      <c r="K31" s="12">
        <f t="shared" si="11"/>
        <v>0</v>
      </c>
      <c r="L31" s="12">
        <f t="shared" si="11"/>
        <v>0</v>
      </c>
      <c r="M31" s="13" t="e">
        <f t="shared" si="2"/>
        <v>#DIV/0!</v>
      </c>
      <c r="N31" s="12">
        <v>0</v>
      </c>
      <c r="O31" s="29"/>
      <c r="P31" s="29"/>
      <c r="Q31" s="29"/>
      <c r="R31" s="13" t="e">
        <f t="shared" si="3"/>
        <v>#DIV/0!</v>
      </c>
      <c r="S31" s="29"/>
      <c r="T31" s="30">
        <v>0</v>
      </c>
      <c r="U31" s="30">
        <v>0</v>
      </c>
      <c r="V31" s="30">
        <v>0</v>
      </c>
      <c r="W31" s="13" t="e">
        <f t="shared" si="4"/>
        <v>#DIV/0!</v>
      </c>
      <c r="X31" s="29">
        <v>0</v>
      </c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26" t="e">
        <f t="shared" si="0"/>
        <v>#DIV/0!</v>
      </c>
      <c r="I32" s="12">
        <v>0</v>
      </c>
      <c r="J32" s="32">
        <v>0</v>
      </c>
      <c r="K32" s="12">
        <f>SUM(P32,U32)</f>
        <v>0</v>
      </c>
      <c r="L32" s="12">
        <f>SUM(Q32,V32)</f>
        <v>0</v>
      </c>
      <c r="M32" s="13" t="e">
        <f t="shared" si="2"/>
        <v>#DIV/0!</v>
      </c>
      <c r="N32" s="12">
        <v>0</v>
      </c>
      <c r="O32" s="30"/>
      <c r="P32" s="30"/>
      <c r="Q32" s="30"/>
      <c r="R32" s="13" t="e">
        <f t="shared" si="3"/>
        <v>#DIV/0!</v>
      </c>
      <c r="S32" s="30"/>
      <c r="T32" s="30">
        <v>0</v>
      </c>
      <c r="U32" s="30">
        <v>0</v>
      </c>
      <c r="V32" s="30">
        <v>0</v>
      </c>
      <c r="W32" s="13" t="e">
        <f t="shared" si="4"/>
        <v>#DIV/0!</v>
      </c>
      <c r="X32" s="30">
        <v>0</v>
      </c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-0.29999999981373549</v>
      </c>
      <c r="H33" s="34" t="e">
        <f t="shared" si="0"/>
        <v>#DIV/0!</v>
      </c>
      <c r="I33" s="8">
        <f>I6-I11</f>
        <v>0</v>
      </c>
      <c r="J33" s="8">
        <f>J6-J11</f>
        <v>0</v>
      </c>
      <c r="K33" s="8">
        <f>K6-K11</f>
        <v>0</v>
      </c>
      <c r="L33" s="8">
        <f>L6-L11</f>
        <v>-0.59000000078231096</v>
      </c>
      <c r="M33" s="9" t="e">
        <f t="shared" si="2"/>
        <v>#DIV/0!</v>
      </c>
      <c r="N33" s="8">
        <f>N6-N11</f>
        <v>0</v>
      </c>
      <c r="O33" s="8">
        <f>O6-O11</f>
        <v>0</v>
      </c>
      <c r="P33" s="8">
        <f>P6-P11</f>
        <v>0</v>
      </c>
      <c r="Q33" s="8">
        <f>Q6-Q11</f>
        <v>0</v>
      </c>
      <c r="R33" s="9" t="e">
        <f t="shared" si="3"/>
        <v>#DIV/0!</v>
      </c>
      <c r="S33" s="8">
        <f>S6-S11</f>
        <v>0</v>
      </c>
      <c r="T33" s="8">
        <f>T6-T11</f>
        <v>100000</v>
      </c>
      <c r="U33" s="8">
        <f>U6-U11</f>
        <v>100000</v>
      </c>
      <c r="V33" s="8">
        <f>V6-V11</f>
        <v>352204.1</v>
      </c>
      <c r="W33" s="9">
        <f t="shared" si="4"/>
        <v>352.20409999999998</v>
      </c>
      <c r="X33" s="8">
        <f>X6-X11</f>
        <v>255450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24118</v>
      </c>
      <c r="F34" s="37">
        <v>24118</v>
      </c>
      <c r="G34" s="37">
        <v>21024</v>
      </c>
      <c r="H34" s="26">
        <f t="shared" si="0"/>
        <v>87.171407247698824</v>
      </c>
      <c r="I34" s="37">
        <v>23523</v>
      </c>
      <c r="J34" s="38">
        <v>24118</v>
      </c>
      <c r="K34" s="37">
        <v>24118</v>
      </c>
      <c r="L34" s="37">
        <v>21024</v>
      </c>
      <c r="M34" s="9">
        <f t="shared" si="2"/>
        <v>87.171407247698824</v>
      </c>
      <c r="N34" s="37">
        <v>23523</v>
      </c>
      <c r="O34" s="38"/>
      <c r="P34" s="38"/>
      <c r="Q34" s="38"/>
      <c r="R34" s="9" t="e">
        <f t="shared" si="3"/>
        <v>#DIV/0!</v>
      </c>
      <c r="S34" s="38"/>
      <c r="T34" s="38"/>
      <c r="U34" s="38"/>
      <c r="V34" s="38"/>
      <c r="W34" s="9" t="e">
        <f t="shared" si="4"/>
        <v>#DIV/0!</v>
      </c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9</v>
      </c>
      <c r="F35" s="37">
        <v>9</v>
      </c>
      <c r="G35" s="37">
        <v>10</v>
      </c>
      <c r="H35" s="26">
        <f t="shared" si="0"/>
        <v>111.11111111111111</v>
      </c>
      <c r="I35" s="41">
        <v>8.5</v>
      </c>
      <c r="J35" s="38">
        <v>9</v>
      </c>
      <c r="K35" s="37">
        <v>9</v>
      </c>
      <c r="L35" s="37">
        <v>10</v>
      </c>
      <c r="M35" s="9">
        <f t="shared" si="2"/>
        <v>111.11111111111111</v>
      </c>
      <c r="N35" s="41">
        <v>8.5</v>
      </c>
      <c r="O35" s="38"/>
      <c r="P35" s="38"/>
      <c r="Q35" s="38"/>
      <c r="R35" s="9" t="e">
        <f t="shared" si="3"/>
        <v>#DIV/0!</v>
      </c>
      <c r="S35" s="38"/>
      <c r="T35" s="38"/>
      <c r="U35" s="38"/>
      <c r="V35" s="38"/>
      <c r="W35" s="9" t="e">
        <f t="shared" si="4"/>
        <v>#DIV/0!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10</v>
      </c>
      <c r="F36" s="37">
        <v>10</v>
      </c>
      <c r="G36" s="37">
        <v>12</v>
      </c>
      <c r="H36" s="26">
        <f t="shared" si="0"/>
        <v>120</v>
      </c>
      <c r="I36" s="37">
        <v>10</v>
      </c>
      <c r="J36" s="38">
        <v>10</v>
      </c>
      <c r="K36" s="37">
        <v>10</v>
      </c>
      <c r="L36" s="37">
        <v>12</v>
      </c>
      <c r="M36" s="9">
        <f t="shared" si="2"/>
        <v>120</v>
      </c>
      <c r="N36" s="37">
        <v>10</v>
      </c>
      <c r="O36" s="38"/>
      <c r="P36" s="38"/>
      <c r="Q36" s="38"/>
      <c r="R36" s="9" t="e">
        <f t="shared" si="3"/>
        <v>#DIV/0!</v>
      </c>
      <c r="S36" s="38"/>
      <c r="T36" s="38"/>
      <c r="U36" s="38"/>
      <c r="V36" s="38"/>
      <c r="W36" s="9" t="e">
        <f t="shared" si="4"/>
        <v>#DIV/0!</v>
      </c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4" firstPageNumber="96" orientation="landscape" useFirstPageNumber="1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8" width="18.42578125" style="392" customWidth="1"/>
    <col min="9" max="16384" width="9.140625" style="392"/>
  </cols>
  <sheetData>
    <row r="1" spans="1:9" s="332" customFormat="1" ht="18.75" x14ac:dyDescent="0.3">
      <c r="A1" s="919" t="s">
        <v>184</v>
      </c>
      <c r="B1" s="919"/>
      <c r="C1" s="919"/>
      <c r="D1" s="919"/>
      <c r="E1" s="919"/>
      <c r="F1" s="919"/>
      <c r="G1" s="919"/>
      <c r="H1" s="919"/>
      <c r="I1" s="919"/>
    </row>
    <row r="3" spans="1:9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9" s="334" customFormat="1" ht="11.25" x14ac:dyDescent="0.2"/>
    <row r="5" spans="1:9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9" s="334" customFormat="1" ht="51" customHeight="1" x14ac:dyDescent="0.2">
      <c r="A6" s="1335" t="s">
        <v>107</v>
      </c>
      <c r="B6" s="1336"/>
      <c r="C6" s="394">
        <v>0</v>
      </c>
      <c r="D6" s="1349" t="s">
        <v>185</v>
      </c>
      <c r="E6" s="1350"/>
      <c r="F6" s="1350"/>
      <c r="G6" s="1350"/>
      <c r="H6" s="1350"/>
      <c r="I6" s="1351"/>
    </row>
    <row r="7" spans="1:9" s="338" customFormat="1" ht="24.75" customHeight="1" x14ac:dyDescent="0.15">
      <c r="A7" s="1335" t="s">
        <v>92</v>
      </c>
      <c r="B7" s="1336"/>
      <c r="C7" s="394">
        <v>352204.1</v>
      </c>
      <c r="D7" s="1337" t="s">
        <v>186</v>
      </c>
      <c r="E7" s="1338"/>
      <c r="F7" s="1338"/>
      <c r="G7" s="1338"/>
      <c r="H7" s="1338"/>
      <c r="I7" s="1339"/>
    </row>
    <row r="8" spans="1:9" s="338" customFormat="1" ht="15" customHeight="1" x14ac:dyDescent="0.15">
      <c r="A8" s="1340" t="s">
        <v>110</v>
      </c>
      <c r="B8" s="1341"/>
      <c r="C8" s="395">
        <v>0</v>
      </c>
      <c r="D8" s="1342"/>
      <c r="E8" s="1343"/>
      <c r="F8" s="1343"/>
      <c r="G8" s="1343"/>
      <c r="H8" s="1343"/>
      <c r="I8" s="1344"/>
    </row>
    <row r="9" spans="1:9" s="334" customFormat="1" ht="11.25" x14ac:dyDescent="0.2">
      <c r="C9" s="339"/>
    </row>
    <row r="10" spans="1:9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9" s="334" customFormat="1" ht="12" thickBot="1" x14ac:dyDescent="0.25">
      <c r="C11" s="339"/>
    </row>
    <row r="12" spans="1:9" s="342" customFormat="1" ht="21" x14ac:dyDescent="0.15">
      <c r="A12" s="396" t="s">
        <v>112</v>
      </c>
      <c r="B12" s="396" t="s">
        <v>113</v>
      </c>
      <c r="C12" s="397" t="s">
        <v>114</v>
      </c>
      <c r="D12" s="398" t="s">
        <v>115</v>
      </c>
      <c r="E12" s="397" t="s">
        <v>116</v>
      </c>
      <c r="F12" s="1345" t="s">
        <v>117</v>
      </c>
      <c r="G12" s="1346"/>
      <c r="H12" s="1347" t="s">
        <v>118</v>
      </c>
      <c r="I12" s="1348"/>
    </row>
    <row r="13" spans="1:9" s="342" customFormat="1" ht="43.5" customHeight="1" x14ac:dyDescent="0.15">
      <c r="A13" s="399" t="s">
        <v>187</v>
      </c>
      <c r="B13" s="400">
        <v>296002.69</v>
      </c>
      <c r="C13" s="401">
        <v>52555.199999999997</v>
      </c>
      <c r="D13" s="402">
        <v>0</v>
      </c>
      <c r="E13" s="401">
        <v>348557.89</v>
      </c>
      <c r="F13" s="1332">
        <v>348557.89</v>
      </c>
      <c r="G13" s="1332"/>
      <c r="H13" s="1329" t="s">
        <v>188</v>
      </c>
      <c r="I13" s="1330"/>
    </row>
    <row r="14" spans="1:9" s="342" customFormat="1" ht="48" customHeight="1" x14ac:dyDescent="0.15">
      <c r="A14" s="403" t="s">
        <v>189</v>
      </c>
      <c r="B14" s="404">
        <v>260783.35999999999</v>
      </c>
      <c r="C14" s="405">
        <v>369765</v>
      </c>
      <c r="D14" s="406">
        <v>196284</v>
      </c>
      <c r="E14" s="405">
        <v>434264.36</v>
      </c>
      <c r="F14" s="1333">
        <v>434264.36</v>
      </c>
      <c r="G14" s="1333"/>
      <c r="H14" s="1329" t="s">
        <v>190</v>
      </c>
      <c r="I14" s="1330"/>
    </row>
    <row r="15" spans="1:9" s="342" customFormat="1" ht="35.25" customHeight="1" x14ac:dyDescent="0.15">
      <c r="A15" s="407" t="s">
        <v>191</v>
      </c>
      <c r="B15" s="408">
        <v>93584.27</v>
      </c>
      <c r="C15" s="409">
        <v>0</v>
      </c>
      <c r="D15" s="410">
        <v>0</v>
      </c>
      <c r="E15" s="409">
        <v>93584.27</v>
      </c>
      <c r="F15" s="1334">
        <v>93584.27</v>
      </c>
      <c r="G15" s="1334"/>
      <c r="H15" s="1329" t="s">
        <v>192</v>
      </c>
      <c r="I15" s="1330"/>
    </row>
    <row r="16" spans="1:9" s="342" customFormat="1" ht="51" customHeight="1" x14ac:dyDescent="0.15">
      <c r="A16" s="411" t="s">
        <v>193</v>
      </c>
      <c r="B16" s="412">
        <v>6297.5</v>
      </c>
      <c r="C16" s="413">
        <v>25350</v>
      </c>
      <c r="D16" s="414">
        <v>19888</v>
      </c>
      <c r="E16" s="413">
        <v>11759.5</v>
      </c>
      <c r="F16" s="1328">
        <v>10950.68</v>
      </c>
      <c r="G16" s="1328"/>
      <c r="H16" s="1329" t="s">
        <v>194</v>
      </c>
      <c r="I16" s="1330"/>
    </row>
    <row r="17" spans="1:9" s="342" customFormat="1" thickBot="1" x14ac:dyDescent="0.2">
      <c r="A17" s="415" t="s">
        <v>90</v>
      </c>
      <c r="B17" s="416">
        <f>SUM(B13:B16)</f>
        <v>656667.82000000007</v>
      </c>
      <c r="C17" s="417">
        <f>SUM(C13:C16)</f>
        <v>447670.2</v>
      </c>
      <c r="D17" s="418">
        <f>SUM(D13:D16)</f>
        <v>216172</v>
      </c>
      <c r="E17" s="417">
        <f>SUM(E13:E16)</f>
        <v>888166.02</v>
      </c>
      <c r="F17" s="1331">
        <f>SUM(F13:G16)</f>
        <v>887357.20000000007</v>
      </c>
      <c r="G17" s="1331"/>
      <c r="H17" s="419"/>
      <c r="I17" s="42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421"/>
      <c r="B22" s="358">
        <v>0</v>
      </c>
      <c r="C22" s="368"/>
      <c r="D22" s="897"/>
      <c r="E22" s="898"/>
      <c r="F22" s="898"/>
      <c r="G22" s="898"/>
      <c r="H22" s="898"/>
      <c r="I22" s="899"/>
    </row>
    <row r="23" spans="1:9" s="338" customFormat="1" ht="11.25" x14ac:dyDescent="0.2">
      <c r="A23" s="365" t="s">
        <v>90</v>
      </c>
      <c r="B23" s="366">
        <f>SUM(B22:B22)</f>
        <v>0</v>
      </c>
      <c r="C23" s="900"/>
      <c r="D23" s="900"/>
      <c r="E23" s="900"/>
      <c r="F23" s="900"/>
      <c r="G23" s="900"/>
      <c r="H23" s="900"/>
      <c r="I23" s="901"/>
    </row>
    <row r="24" spans="1:9" s="355" customFormat="1" ht="11.25" x14ac:dyDescent="0.2">
      <c r="A24" s="355" t="s">
        <v>195</v>
      </c>
      <c r="C24" s="356"/>
    </row>
    <row r="25" spans="1:9" s="355" customFormat="1" ht="11.25" x14ac:dyDescent="0.2">
      <c r="C25" s="356"/>
    </row>
    <row r="26" spans="1:9" s="340" customFormat="1" ht="11.25" x14ac:dyDescent="0.2">
      <c r="A26" s="861" t="s">
        <v>140</v>
      </c>
      <c r="B26" s="861"/>
      <c r="C26" s="861"/>
      <c r="D26" s="861"/>
      <c r="E26" s="861"/>
      <c r="F26" s="861"/>
      <c r="G26" s="861"/>
      <c r="H26" s="861"/>
      <c r="I26" s="861"/>
    </row>
    <row r="27" spans="1:9" s="334" customFormat="1" ht="11.25" x14ac:dyDescent="0.2">
      <c r="C27" s="339"/>
    </row>
    <row r="28" spans="1:9" s="334" customFormat="1" ht="11.25" x14ac:dyDescent="0.2">
      <c r="A28" s="335" t="s">
        <v>130</v>
      </c>
      <c r="B28" s="335" t="s">
        <v>16</v>
      </c>
      <c r="C28" s="357" t="s">
        <v>131</v>
      </c>
      <c r="D28" s="902" t="s">
        <v>141</v>
      </c>
      <c r="E28" s="902"/>
      <c r="F28" s="902"/>
      <c r="G28" s="902"/>
      <c r="H28" s="902"/>
      <c r="I28" s="903"/>
    </row>
    <row r="29" spans="1:9" s="334" customFormat="1" ht="11.25" customHeight="1" x14ac:dyDescent="0.2">
      <c r="A29" s="421"/>
      <c r="B29" s="358">
        <v>0</v>
      </c>
      <c r="C29" s="368"/>
      <c r="D29" s="897"/>
      <c r="E29" s="898"/>
      <c r="F29" s="898"/>
      <c r="G29" s="898"/>
      <c r="H29" s="898"/>
      <c r="I29" s="899"/>
    </row>
    <row r="30" spans="1:9" s="338" customFormat="1" ht="10.5" x14ac:dyDescent="0.15">
      <c r="A30" s="365" t="s">
        <v>90</v>
      </c>
      <c r="B30" s="366">
        <f>SUM(B29:B29)</f>
        <v>0</v>
      </c>
      <c r="C30" s="891"/>
      <c r="D30" s="891"/>
      <c r="E30" s="891"/>
      <c r="F30" s="891"/>
      <c r="G30" s="891"/>
      <c r="H30" s="891"/>
      <c r="I30" s="891"/>
    </row>
    <row r="31" spans="1:9" s="334" customFormat="1" ht="11.25" x14ac:dyDescent="0.2">
      <c r="A31" s="334" t="s">
        <v>142</v>
      </c>
      <c r="C31" s="339"/>
    </row>
    <row r="32" spans="1:9" s="334" customFormat="1" ht="11.25" x14ac:dyDescent="0.2">
      <c r="C32" s="339"/>
    </row>
    <row r="33" spans="1:9" s="340" customFormat="1" ht="11.25" x14ac:dyDescent="0.2">
      <c r="A33" s="861" t="s">
        <v>143</v>
      </c>
      <c r="B33" s="861"/>
      <c r="C33" s="861"/>
      <c r="D33" s="861"/>
      <c r="E33" s="861"/>
      <c r="F33" s="861"/>
      <c r="G33" s="861"/>
      <c r="H33" s="861"/>
      <c r="I33" s="861"/>
    </row>
    <row r="34" spans="1:9" s="334" customFormat="1" ht="11.25" x14ac:dyDescent="0.2">
      <c r="C34" s="369"/>
    </row>
    <row r="35" spans="1:9" s="334" customFormat="1" ht="11.25" x14ac:dyDescent="0.2">
      <c r="A35" s="335" t="s">
        <v>144</v>
      </c>
      <c r="B35" s="357" t="s">
        <v>145</v>
      </c>
      <c r="C35" s="892" t="s">
        <v>146</v>
      </c>
      <c r="D35" s="892"/>
      <c r="E35" s="892"/>
      <c r="F35" s="892"/>
      <c r="G35" s="892"/>
      <c r="H35" s="892"/>
      <c r="I35" s="893"/>
    </row>
    <row r="36" spans="1:9" s="334" customFormat="1" ht="11.25" x14ac:dyDescent="0.2">
      <c r="A36" s="370">
        <v>0</v>
      </c>
      <c r="B36" s="370">
        <v>0</v>
      </c>
      <c r="C36" s="876"/>
      <c r="D36" s="876"/>
      <c r="E36" s="876"/>
      <c r="F36" s="876"/>
      <c r="G36" s="876"/>
      <c r="H36" s="876"/>
      <c r="I36" s="876"/>
    </row>
    <row r="37" spans="1:9" s="338" customFormat="1" ht="10.5" x14ac:dyDescent="0.15">
      <c r="A37" s="371">
        <f>SUM(A36:A36)</f>
        <v>0</v>
      </c>
      <c r="B37" s="371">
        <f>SUM(B36:B36)</f>
        <v>0</v>
      </c>
      <c r="C37" s="878" t="s">
        <v>90</v>
      </c>
      <c r="D37" s="879"/>
      <c r="E37" s="879"/>
      <c r="F37" s="879"/>
      <c r="G37" s="879"/>
      <c r="H37" s="879"/>
      <c r="I37" s="880"/>
    </row>
    <row r="38" spans="1:9" s="334" customFormat="1" ht="11.25" x14ac:dyDescent="0.2">
      <c r="A38" s="334" t="s">
        <v>196</v>
      </c>
      <c r="C38" s="369"/>
    </row>
    <row r="39" spans="1:9" s="334" customFormat="1" ht="11.25" x14ac:dyDescent="0.2">
      <c r="C39" s="369"/>
    </row>
    <row r="40" spans="1:9" s="334" customFormat="1" ht="11.25" x14ac:dyDescent="0.2">
      <c r="A40" s="861" t="s">
        <v>148</v>
      </c>
      <c r="B40" s="865"/>
      <c r="C40" s="865"/>
      <c r="D40" s="865"/>
      <c r="E40" s="865"/>
      <c r="F40" s="865"/>
      <c r="G40" s="865"/>
      <c r="H40" s="865"/>
      <c r="I40" s="865"/>
    </row>
    <row r="41" spans="1:9" s="334" customFormat="1" ht="11.25" x14ac:dyDescent="0.2">
      <c r="C41" s="369"/>
    </row>
    <row r="42" spans="1:9" s="373" customFormat="1" ht="31.5" x14ac:dyDescent="0.25">
      <c r="A42" s="866" t="s">
        <v>149</v>
      </c>
      <c r="B42" s="867"/>
      <c r="C42" s="372" t="s">
        <v>150</v>
      </c>
      <c r="D42" s="372" t="s">
        <v>151</v>
      </c>
      <c r="E42" s="372" t="s">
        <v>152</v>
      </c>
      <c r="F42" s="372" t="s">
        <v>153</v>
      </c>
      <c r="G42" s="372" t="s">
        <v>154</v>
      </c>
    </row>
    <row r="43" spans="1:9" s="334" customFormat="1" ht="12" x14ac:dyDescent="0.2">
      <c r="A43" s="1326" t="s">
        <v>197</v>
      </c>
      <c r="B43" s="1327"/>
      <c r="C43" s="422" t="s">
        <v>198</v>
      </c>
      <c r="D43" s="423">
        <v>40000</v>
      </c>
      <c r="E43" s="424"/>
      <c r="F43" s="425"/>
      <c r="G43" s="426"/>
    </row>
    <row r="44" spans="1:9" s="334" customFormat="1" ht="12" x14ac:dyDescent="0.2">
      <c r="A44" s="1322" t="s">
        <v>199</v>
      </c>
      <c r="B44" s="1323"/>
      <c r="C44" s="427" t="s">
        <v>200</v>
      </c>
      <c r="D44" s="428"/>
      <c r="E44" s="429">
        <v>40000</v>
      </c>
      <c r="F44" s="430">
        <v>42916</v>
      </c>
      <c r="G44" s="431">
        <v>42916</v>
      </c>
    </row>
    <row r="45" spans="1:9" s="334" customFormat="1" ht="11.25" x14ac:dyDescent="0.2">
      <c r="A45" s="872" t="s">
        <v>169</v>
      </c>
      <c r="B45" s="873"/>
      <c r="C45" s="387"/>
      <c r="D45" s="354">
        <f>SUM(D43:D44)</f>
        <v>40000</v>
      </c>
      <c r="E45" s="354">
        <f>SUM(E43:E44)</f>
        <v>40000</v>
      </c>
      <c r="F45" s="881"/>
      <c r="G45" s="882"/>
    </row>
    <row r="46" spans="1:9" s="334" customFormat="1" ht="15" x14ac:dyDescent="0.25">
      <c r="A46" s="1324" t="s">
        <v>201</v>
      </c>
      <c r="B46" s="1325"/>
      <c r="C46" s="369"/>
    </row>
    <row r="47" spans="1:9" s="334" customFormat="1" ht="11.25" x14ac:dyDescent="0.2">
      <c r="A47" s="432"/>
      <c r="C47" s="369"/>
    </row>
    <row r="48" spans="1:9" s="334" customFormat="1" ht="11.25" x14ac:dyDescent="0.2">
      <c r="A48" s="865" t="s">
        <v>170</v>
      </c>
      <c r="B48" s="865"/>
      <c r="C48" s="865"/>
      <c r="D48" s="865"/>
      <c r="E48" s="865"/>
      <c r="F48" s="865"/>
      <c r="G48" s="865"/>
      <c r="H48" s="865"/>
      <c r="I48" s="865"/>
    </row>
    <row r="49" spans="1:9" s="334" customFormat="1" ht="11.25" x14ac:dyDescent="0.2">
      <c r="C49" s="369"/>
    </row>
    <row r="50" spans="1:9" s="373" customFormat="1" ht="31.5" x14ac:dyDescent="0.25">
      <c r="A50" s="866" t="s">
        <v>149</v>
      </c>
      <c r="B50" s="867"/>
      <c r="C50" s="372" t="s">
        <v>150</v>
      </c>
      <c r="D50" s="372" t="s">
        <v>151</v>
      </c>
      <c r="E50" s="372" t="s">
        <v>152</v>
      </c>
      <c r="F50" s="372" t="s">
        <v>153</v>
      </c>
      <c r="G50" s="372" t="s">
        <v>154</v>
      </c>
    </row>
    <row r="51" spans="1:9" s="334" customFormat="1" ht="11.25" customHeight="1" x14ac:dyDescent="0.2">
      <c r="A51" s="868"/>
      <c r="B51" s="869"/>
      <c r="C51" s="388"/>
      <c r="D51" s="389">
        <v>0</v>
      </c>
      <c r="E51" s="389">
        <v>0</v>
      </c>
      <c r="F51" s="390"/>
      <c r="G51" s="390"/>
    </row>
    <row r="52" spans="1:9" s="334" customFormat="1" ht="11.25" customHeight="1" x14ac:dyDescent="0.2">
      <c r="A52" s="870"/>
      <c r="B52" s="871"/>
      <c r="C52" s="433"/>
      <c r="D52" s="434">
        <v>0</v>
      </c>
      <c r="E52" s="434">
        <v>0</v>
      </c>
      <c r="F52" s="435"/>
      <c r="G52" s="435"/>
    </row>
    <row r="53" spans="1:9" s="334" customFormat="1" ht="11.25" x14ac:dyDescent="0.2">
      <c r="A53" s="872" t="s">
        <v>169</v>
      </c>
      <c r="B53" s="873"/>
      <c r="C53" s="387"/>
      <c r="D53" s="354">
        <f>SUM(D51:D52)</f>
        <v>0</v>
      </c>
      <c r="E53" s="354">
        <f>SUM(E51:E52)</f>
        <v>0</v>
      </c>
      <c r="F53" s="874"/>
      <c r="G53" s="875"/>
    </row>
    <row r="54" spans="1:9" s="334" customFormat="1" ht="11.25" x14ac:dyDescent="0.2">
      <c r="A54" s="334" t="s">
        <v>202</v>
      </c>
      <c r="C54" s="369"/>
    </row>
    <row r="55" spans="1:9" s="334" customFormat="1" ht="11.25" x14ac:dyDescent="0.2">
      <c r="C55" s="369"/>
    </row>
    <row r="56" spans="1:9" s="340" customFormat="1" ht="11.25" x14ac:dyDescent="0.2">
      <c r="A56" s="860" t="s">
        <v>172</v>
      </c>
      <c r="B56" s="860"/>
      <c r="C56" s="860"/>
      <c r="D56" s="860"/>
      <c r="E56" s="860"/>
      <c r="F56" s="860"/>
      <c r="G56" s="860"/>
      <c r="H56" s="860"/>
      <c r="I56" s="860"/>
    </row>
    <row r="57" spans="1:9" s="334" customFormat="1" ht="11.25" x14ac:dyDescent="0.2"/>
    <row r="58" spans="1:9" s="334" customFormat="1" ht="11.25" x14ac:dyDescent="0.2">
      <c r="A58" s="862" t="s">
        <v>203</v>
      </c>
      <c r="B58" s="863"/>
      <c r="C58" s="863"/>
      <c r="D58" s="863"/>
      <c r="E58" s="863"/>
      <c r="F58" s="863"/>
      <c r="G58" s="863"/>
      <c r="H58" s="863"/>
      <c r="I58" s="864"/>
    </row>
    <row r="59" spans="1:9" s="334" customFormat="1" ht="11.25" x14ac:dyDescent="0.2"/>
    <row r="60" spans="1:9" s="333" customFormat="1" ht="10.5" x14ac:dyDescent="0.15">
      <c r="A60" s="861" t="s">
        <v>175</v>
      </c>
      <c r="B60" s="861"/>
      <c r="C60" s="861"/>
      <c r="D60" s="861"/>
      <c r="E60" s="861"/>
      <c r="F60" s="861"/>
      <c r="G60" s="861"/>
      <c r="H60" s="861"/>
      <c r="I60" s="861"/>
    </row>
    <row r="61" spans="1:9" s="334" customFormat="1" ht="11.25" x14ac:dyDescent="0.2"/>
    <row r="62" spans="1:9" s="334" customFormat="1" ht="28.5" customHeight="1" x14ac:dyDescent="0.2">
      <c r="A62" s="1319" t="s">
        <v>204</v>
      </c>
      <c r="B62" s="1320"/>
      <c r="C62" s="1320"/>
      <c r="D62" s="1320"/>
      <c r="E62" s="1320"/>
      <c r="F62" s="1320"/>
      <c r="G62" s="1320"/>
      <c r="H62" s="1320"/>
      <c r="I62" s="1321"/>
    </row>
    <row r="63" spans="1:9" s="334" customFormat="1" ht="39" customHeight="1" x14ac:dyDescent="0.2">
      <c r="A63" s="1319" t="s">
        <v>205</v>
      </c>
      <c r="B63" s="1320"/>
      <c r="C63" s="1320"/>
      <c r="D63" s="1320"/>
      <c r="E63" s="1320"/>
      <c r="F63" s="1320"/>
      <c r="G63" s="1320"/>
      <c r="H63" s="1320"/>
      <c r="I63" s="1321"/>
    </row>
    <row r="64" spans="1:9" s="334" customFormat="1" ht="18.75" customHeight="1" x14ac:dyDescent="0.2">
      <c r="A64" s="1319" t="s">
        <v>206</v>
      </c>
      <c r="B64" s="1320"/>
      <c r="C64" s="1320"/>
      <c r="D64" s="1320"/>
      <c r="E64" s="1320"/>
      <c r="F64" s="1320"/>
      <c r="G64" s="1320"/>
      <c r="H64" s="1320"/>
      <c r="I64" s="1321"/>
    </row>
    <row r="66" spans="1:3" ht="9.75" customHeight="1" x14ac:dyDescent="0.2">
      <c r="A66" s="436" t="s">
        <v>207</v>
      </c>
    </row>
    <row r="67" spans="1:3" ht="13.5" customHeight="1" x14ac:dyDescent="0.2">
      <c r="A67" s="436" t="s">
        <v>208</v>
      </c>
    </row>
    <row r="68" spans="1:3" x14ac:dyDescent="0.2">
      <c r="A68" s="392" t="s">
        <v>209</v>
      </c>
      <c r="C68" s="392" t="s">
        <v>210</v>
      </c>
    </row>
  </sheetData>
  <mergeCells count="53">
    <mergeCell ref="F12:G12"/>
    <mergeCell ref="H12:I12"/>
    <mergeCell ref="A1:I1"/>
    <mergeCell ref="A3:I3"/>
    <mergeCell ref="A5:B5"/>
    <mergeCell ref="D5:I5"/>
    <mergeCell ref="A6:B6"/>
    <mergeCell ref="D6:I6"/>
    <mergeCell ref="A7:B7"/>
    <mergeCell ref="D7:I7"/>
    <mergeCell ref="A8:B8"/>
    <mergeCell ref="D8:I8"/>
    <mergeCell ref="A10:I10"/>
    <mergeCell ref="F13:G13"/>
    <mergeCell ref="H13:I13"/>
    <mergeCell ref="F14:G14"/>
    <mergeCell ref="H14:I14"/>
    <mergeCell ref="F15:G15"/>
    <mergeCell ref="H15:I15"/>
    <mergeCell ref="A33:I33"/>
    <mergeCell ref="F16:G16"/>
    <mergeCell ref="H16:I16"/>
    <mergeCell ref="F17:G17"/>
    <mergeCell ref="A19:I19"/>
    <mergeCell ref="D21:I21"/>
    <mergeCell ref="D22:I22"/>
    <mergeCell ref="C23:I23"/>
    <mergeCell ref="A26:I26"/>
    <mergeCell ref="D28:I28"/>
    <mergeCell ref="D29:I29"/>
    <mergeCell ref="C30:I30"/>
    <mergeCell ref="A50:B50"/>
    <mergeCell ref="C35:I35"/>
    <mergeCell ref="C36:I36"/>
    <mergeCell ref="C37:I37"/>
    <mergeCell ref="A40:I40"/>
    <mergeCell ref="A42:B42"/>
    <mergeCell ref="A43:B43"/>
    <mergeCell ref="A44:B44"/>
    <mergeCell ref="A45:B45"/>
    <mergeCell ref="F45:G45"/>
    <mergeCell ref="A46:B46"/>
    <mergeCell ref="A48:I48"/>
    <mergeCell ref="A60:I60"/>
    <mergeCell ref="A62:I62"/>
    <mergeCell ref="A63:I63"/>
    <mergeCell ref="A64:I64"/>
    <mergeCell ref="A51:B51"/>
    <mergeCell ref="A52:B52"/>
    <mergeCell ref="A53:B53"/>
    <mergeCell ref="F53:G53"/>
    <mergeCell ref="A56:I56"/>
    <mergeCell ref="A58:I58"/>
  </mergeCells>
  <pageMargins left="0.70866141732283472" right="0.70866141732283472" top="0.78740157480314965" bottom="0.78740157480314965" header="0.31496062992125984" footer="0.31496062992125984"/>
  <pageSetup paperSize="9" scale="58" firstPageNumber="97" fitToHeight="3" orientation="portrait" useFirstPageNumber="1" r:id="rId1"/>
  <headerFooter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7.710937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79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6217000</v>
      </c>
      <c r="F6" s="8">
        <f>SUM(F7:F9)</f>
        <v>8856420</v>
      </c>
      <c r="G6" s="8">
        <f>SUM(G7:G9)</f>
        <v>4985045</v>
      </c>
      <c r="H6" s="9">
        <f t="shared" ref="H6:H32" si="0">G6/F6*100</f>
        <v>56.287359903888934</v>
      </c>
      <c r="I6" s="8">
        <f>SUM(I7:I9)</f>
        <v>0</v>
      </c>
      <c r="J6" s="8">
        <f>SUM(J7:J9)</f>
        <v>6217000</v>
      </c>
      <c r="K6" s="8">
        <f t="shared" ref="K6:X6" si="1">SUM(K7:K9)</f>
        <v>8856420</v>
      </c>
      <c r="L6" s="8">
        <f t="shared" si="1"/>
        <v>4985045</v>
      </c>
      <c r="M6" s="9">
        <f t="shared" ref="M6:M32" si="2">L6/K6*100</f>
        <v>56.287359903888934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9"/>
      <c r="S6" s="8">
        <f t="shared" si="1"/>
        <v>0</v>
      </c>
      <c r="T6" s="8">
        <f t="shared" si="1"/>
        <v>0</v>
      </c>
      <c r="U6" s="8">
        <f t="shared" si="1"/>
        <v>310000</v>
      </c>
      <c r="V6" s="8">
        <f t="shared" si="1"/>
        <v>166680</v>
      </c>
      <c r="W6" s="9">
        <f t="shared" ref="W6:W36" si="3">V6/U6*100</f>
        <v>53.767741935483869</v>
      </c>
      <c r="X6" s="8">
        <f t="shared" si="1"/>
        <v>0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10" si="4">SUM(J7,O7)</f>
        <v>3800000</v>
      </c>
      <c r="F7" s="12">
        <f t="shared" si="4"/>
        <v>5400000</v>
      </c>
      <c r="G7" s="12">
        <f t="shared" si="4"/>
        <v>2738244</v>
      </c>
      <c r="H7" s="13">
        <f t="shared" si="0"/>
        <v>50.708222222222219</v>
      </c>
      <c r="I7" s="12">
        <f>SUM(N7,S7)</f>
        <v>0</v>
      </c>
      <c r="J7" s="44">
        <v>3800000</v>
      </c>
      <c r="K7" s="14">
        <v>5400000</v>
      </c>
      <c r="L7" s="14">
        <v>2738244</v>
      </c>
      <c r="M7" s="13">
        <f t="shared" si="2"/>
        <v>50.708222222222219</v>
      </c>
      <c r="N7" s="14">
        <v>0</v>
      </c>
      <c r="O7" s="14">
        <v>0</v>
      </c>
      <c r="P7" s="14">
        <v>0</v>
      </c>
      <c r="Q7" s="14"/>
      <c r="R7" s="13"/>
      <c r="S7" s="14"/>
      <c r="T7" s="14">
        <v>0</v>
      </c>
      <c r="U7" s="14">
        <v>310000</v>
      </c>
      <c r="V7" s="14">
        <v>166680</v>
      </c>
      <c r="W7" s="13">
        <f t="shared" si="3"/>
        <v>53.767741935483869</v>
      </c>
      <c r="X7" s="14"/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4"/>
        <v>0</v>
      </c>
      <c r="F8" s="12">
        <f t="shared" si="4"/>
        <v>2000</v>
      </c>
      <c r="G8" s="12">
        <f t="shared" si="4"/>
        <v>881</v>
      </c>
      <c r="H8" s="13">
        <f t="shared" si="0"/>
        <v>44.05</v>
      </c>
      <c r="I8" s="12">
        <f>SUM(N8,S8)</f>
        <v>0</v>
      </c>
      <c r="J8" s="45">
        <v>0</v>
      </c>
      <c r="K8" s="12">
        <v>2000</v>
      </c>
      <c r="L8" s="12">
        <v>881</v>
      </c>
      <c r="M8" s="13">
        <f t="shared" si="2"/>
        <v>44.05</v>
      </c>
      <c r="N8" s="12"/>
      <c r="O8" s="12"/>
      <c r="P8" s="12"/>
      <c r="Q8" s="12"/>
      <c r="R8" s="13"/>
      <c r="S8" s="12"/>
      <c r="T8" s="12">
        <v>0</v>
      </c>
      <c r="U8" s="12">
        <v>0</v>
      </c>
      <c r="V8" s="12">
        <v>0</v>
      </c>
      <c r="W8" s="13" t="e">
        <f t="shared" si="3"/>
        <v>#DIV/0!</v>
      </c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4"/>
        <v>2417000</v>
      </c>
      <c r="F9" s="12">
        <f t="shared" si="4"/>
        <v>3454420</v>
      </c>
      <c r="G9" s="12">
        <f t="shared" si="4"/>
        <v>2245920</v>
      </c>
      <c r="H9" s="13">
        <f t="shared" si="0"/>
        <v>65.015834785579045</v>
      </c>
      <c r="I9" s="12">
        <f>SUM(N9,S9)</f>
        <v>0</v>
      </c>
      <c r="J9" s="45">
        <v>2417000</v>
      </c>
      <c r="K9" s="12">
        <v>3454420</v>
      </c>
      <c r="L9" s="12">
        <v>2245920</v>
      </c>
      <c r="M9" s="13">
        <f t="shared" si="2"/>
        <v>65.015834785579045</v>
      </c>
      <c r="N9" s="12"/>
      <c r="O9" s="12"/>
      <c r="P9" s="12"/>
      <c r="Q9" s="12"/>
      <c r="R9" s="13"/>
      <c r="S9" s="12"/>
      <c r="T9" s="12"/>
      <c r="U9" s="12"/>
      <c r="V9" s="12"/>
      <c r="W9" s="13" t="e">
        <f t="shared" si="3"/>
        <v>#DIV/0!</v>
      </c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>
        <f t="shared" si="4"/>
        <v>0</v>
      </c>
      <c r="F10" s="18">
        <f t="shared" si="4"/>
        <v>0</v>
      </c>
      <c r="G10" s="18">
        <f t="shared" si="4"/>
        <v>0</v>
      </c>
      <c r="H10" s="9"/>
      <c r="I10" s="18">
        <f>SUM(N10,S10)</f>
        <v>0</v>
      </c>
      <c r="J10" s="19">
        <v>0</v>
      </c>
      <c r="K10" s="18">
        <v>0</v>
      </c>
      <c r="L10" s="18"/>
      <c r="M10" s="9">
        <v>0</v>
      </c>
      <c r="N10" s="18"/>
      <c r="O10" s="18"/>
      <c r="P10" s="18"/>
      <c r="Q10" s="18"/>
      <c r="R10" s="9"/>
      <c r="S10" s="18"/>
      <c r="T10" s="18"/>
      <c r="U10" s="18"/>
      <c r="V10" s="18"/>
      <c r="W10" s="9" t="e">
        <f t="shared" si="3"/>
        <v>#DIV/0!</v>
      </c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6217000</v>
      </c>
      <c r="F11" s="8">
        <f>SUM(F12:F31)</f>
        <v>8856420</v>
      </c>
      <c r="G11" s="8">
        <f>SUM(G12:G31)</f>
        <v>4767914</v>
      </c>
      <c r="H11" s="9">
        <f t="shared" si="0"/>
        <v>53.835680782980035</v>
      </c>
      <c r="I11" s="8">
        <f>SUM(I12:I31)</f>
        <v>0</v>
      </c>
      <c r="J11" s="8">
        <f>SUM(J12:J31)</f>
        <v>6217000</v>
      </c>
      <c r="K11" s="8">
        <f>SUM(K12:K31)</f>
        <v>8856420</v>
      </c>
      <c r="L11" s="8">
        <f>SUM(L12:L31)</f>
        <v>4767914</v>
      </c>
      <c r="M11" s="9">
        <f t="shared" si="2"/>
        <v>53.835680782980035</v>
      </c>
      <c r="N11" s="8">
        <f>SUM(N12:N31)</f>
        <v>0</v>
      </c>
      <c r="O11" s="8">
        <f>SUM(O12:O31)</f>
        <v>0</v>
      </c>
      <c r="P11" s="8">
        <f>SUM(P12:P31)</f>
        <v>0</v>
      </c>
      <c r="Q11" s="8">
        <f>SUM(Q12:Q31)</f>
        <v>0</v>
      </c>
      <c r="R11" s="9"/>
      <c r="S11" s="8">
        <f>SUM(S12:S31)</f>
        <v>0</v>
      </c>
      <c r="T11" s="8">
        <f>SUM(T12:T31)</f>
        <v>0</v>
      </c>
      <c r="U11" s="8">
        <f>SUM(U12:U31)</f>
        <v>280000</v>
      </c>
      <c r="V11" s="8">
        <f>SUM(V12:V31)</f>
        <v>15354</v>
      </c>
      <c r="W11" s="9">
        <f t="shared" si="3"/>
        <v>5.4835714285714285</v>
      </c>
      <c r="X11" s="8">
        <f>SUM(X12:X31)</f>
        <v>0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5">SUM(J12,O12)</f>
        <v>120000</v>
      </c>
      <c r="F12" s="12">
        <f t="shared" si="5"/>
        <v>221000</v>
      </c>
      <c r="G12" s="12">
        <f t="shared" si="5"/>
        <v>138368</v>
      </c>
      <c r="H12" s="13">
        <f t="shared" si="0"/>
        <v>62.609954751131227</v>
      </c>
      <c r="I12" s="12">
        <f t="shared" si="5"/>
        <v>0</v>
      </c>
      <c r="J12" s="20">
        <v>120000</v>
      </c>
      <c r="K12" s="21">
        <v>221000</v>
      </c>
      <c r="L12" s="21">
        <v>138368</v>
      </c>
      <c r="M12" s="13">
        <f t="shared" si="2"/>
        <v>62.609954751131227</v>
      </c>
      <c r="N12" s="22"/>
      <c r="O12" s="21"/>
      <c r="P12" s="21"/>
      <c r="Q12" s="21"/>
      <c r="R12" s="13"/>
      <c r="S12" s="21"/>
      <c r="T12" s="21"/>
      <c r="U12" s="21">
        <v>280000</v>
      </c>
      <c r="V12" s="21">
        <v>15354</v>
      </c>
      <c r="W12" s="13">
        <f t="shared" si="3"/>
        <v>5.4835714285714285</v>
      </c>
      <c r="X12" s="22"/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5"/>
        <v>640000</v>
      </c>
      <c r="F13" s="12">
        <f t="shared" si="5"/>
        <v>640000</v>
      </c>
      <c r="G13" s="12">
        <f t="shared" si="5"/>
        <v>271695</v>
      </c>
      <c r="H13" s="13">
        <f t="shared" si="0"/>
        <v>42.452343749999997</v>
      </c>
      <c r="I13" s="12">
        <f t="shared" si="5"/>
        <v>0</v>
      </c>
      <c r="J13" s="20">
        <v>640000</v>
      </c>
      <c r="K13" s="12">
        <v>640000</v>
      </c>
      <c r="L13" s="12">
        <v>271695</v>
      </c>
      <c r="M13" s="13">
        <f t="shared" si="2"/>
        <v>42.452343749999997</v>
      </c>
      <c r="N13" s="12"/>
      <c r="O13" s="12"/>
      <c r="P13" s="12"/>
      <c r="Q13" s="12"/>
      <c r="R13" s="13"/>
      <c r="S13" s="12"/>
      <c r="T13" s="12"/>
      <c r="U13" s="12"/>
      <c r="V13" s="12"/>
      <c r="W13" s="13" t="e">
        <f t="shared" si="3"/>
        <v>#DIV/0!</v>
      </c>
      <c r="X13" s="12"/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>
        <f t="shared" si="5"/>
        <v>0</v>
      </c>
      <c r="F14" s="12">
        <f t="shared" si="5"/>
        <v>0</v>
      </c>
      <c r="G14" s="12">
        <f t="shared" si="5"/>
        <v>0</v>
      </c>
      <c r="H14" s="13" t="e">
        <f t="shared" si="0"/>
        <v>#DIV/0!</v>
      </c>
      <c r="I14" s="12">
        <f t="shared" si="5"/>
        <v>0</v>
      </c>
      <c r="J14" s="20">
        <v>0</v>
      </c>
      <c r="K14" s="12">
        <v>0</v>
      </c>
      <c r="L14" s="12">
        <v>0</v>
      </c>
      <c r="M14" s="13" t="e">
        <f t="shared" si="2"/>
        <v>#DIV/0!</v>
      </c>
      <c r="N14" s="12"/>
      <c r="O14" s="12"/>
      <c r="P14" s="12"/>
      <c r="Q14" s="12"/>
      <c r="R14" s="13"/>
      <c r="S14" s="12"/>
      <c r="T14" s="12"/>
      <c r="U14" s="12"/>
      <c r="V14" s="12"/>
      <c r="W14" s="13" t="e">
        <f t="shared" si="3"/>
        <v>#DIV/0!</v>
      </c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5"/>
        <v>270000</v>
      </c>
      <c r="F15" s="12">
        <f t="shared" si="5"/>
        <v>115000</v>
      </c>
      <c r="G15" s="12">
        <f t="shared" si="5"/>
        <v>61073</v>
      </c>
      <c r="H15" s="13">
        <f t="shared" si="0"/>
        <v>53.106956521739136</v>
      </c>
      <c r="I15" s="12">
        <f t="shared" si="5"/>
        <v>0</v>
      </c>
      <c r="J15" s="20">
        <v>270000</v>
      </c>
      <c r="K15" s="12">
        <v>115000</v>
      </c>
      <c r="L15" s="12">
        <v>61073</v>
      </c>
      <c r="M15" s="13">
        <f t="shared" si="2"/>
        <v>53.106956521739136</v>
      </c>
      <c r="N15" s="12"/>
      <c r="O15" s="12"/>
      <c r="P15" s="12"/>
      <c r="Q15" s="12"/>
      <c r="R15" s="13"/>
      <c r="S15" s="12"/>
      <c r="T15" s="12"/>
      <c r="U15" s="12"/>
      <c r="V15" s="12"/>
      <c r="W15" s="13" t="e">
        <f t="shared" si="3"/>
        <v>#DIV/0!</v>
      </c>
      <c r="X15" s="12"/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5"/>
        <v>0</v>
      </c>
      <c r="F16" s="12">
        <f t="shared" si="5"/>
        <v>15000</v>
      </c>
      <c r="G16" s="12">
        <f t="shared" si="5"/>
        <v>5612</v>
      </c>
      <c r="H16" s="13">
        <f t="shared" si="0"/>
        <v>37.413333333333334</v>
      </c>
      <c r="I16" s="12">
        <f t="shared" si="5"/>
        <v>0</v>
      </c>
      <c r="J16" s="20">
        <v>0</v>
      </c>
      <c r="K16" s="12">
        <v>15000</v>
      </c>
      <c r="L16" s="12">
        <v>5612</v>
      </c>
      <c r="M16" s="13">
        <f t="shared" si="2"/>
        <v>37.413333333333334</v>
      </c>
      <c r="N16" s="12"/>
      <c r="O16" s="12"/>
      <c r="P16" s="12"/>
      <c r="Q16" s="12"/>
      <c r="R16" s="13"/>
      <c r="S16" s="12"/>
      <c r="T16" s="12"/>
      <c r="U16" s="12"/>
      <c r="V16" s="12"/>
      <c r="W16" s="13" t="e">
        <f t="shared" si="3"/>
        <v>#DIV/0!</v>
      </c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5"/>
        <v>0</v>
      </c>
      <c r="F17" s="12">
        <f t="shared" si="5"/>
        <v>0</v>
      </c>
      <c r="G17" s="12">
        <f t="shared" si="5"/>
        <v>0</v>
      </c>
      <c r="H17" s="13" t="e">
        <f t="shared" si="0"/>
        <v>#DIV/0!</v>
      </c>
      <c r="I17" s="12">
        <f t="shared" si="5"/>
        <v>0</v>
      </c>
      <c r="J17" s="20">
        <v>0</v>
      </c>
      <c r="K17" s="12">
        <v>0</v>
      </c>
      <c r="L17" s="12">
        <v>0</v>
      </c>
      <c r="M17" s="13" t="e">
        <f t="shared" si="2"/>
        <v>#DIV/0!</v>
      </c>
      <c r="N17" s="12"/>
      <c r="O17" s="12"/>
      <c r="P17" s="12"/>
      <c r="Q17" s="12"/>
      <c r="R17" s="13"/>
      <c r="S17" s="12"/>
      <c r="T17" s="12"/>
      <c r="U17" s="12"/>
      <c r="V17" s="12"/>
      <c r="W17" s="13" t="e">
        <f t="shared" si="3"/>
        <v>#DIV/0!</v>
      </c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5"/>
        <v>2770000</v>
      </c>
      <c r="F18" s="12">
        <f t="shared" si="5"/>
        <v>4219000</v>
      </c>
      <c r="G18" s="12">
        <f t="shared" si="5"/>
        <v>2131005</v>
      </c>
      <c r="H18" s="13">
        <f t="shared" si="0"/>
        <v>50.509717942640428</v>
      </c>
      <c r="I18" s="12">
        <f t="shared" si="5"/>
        <v>0</v>
      </c>
      <c r="J18" s="20">
        <v>2770000</v>
      </c>
      <c r="K18" s="12">
        <v>4219000</v>
      </c>
      <c r="L18" s="12">
        <v>2131005</v>
      </c>
      <c r="M18" s="13">
        <f t="shared" si="2"/>
        <v>50.509717942640428</v>
      </c>
      <c r="N18" s="12"/>
      <c r="O18" s="12"/>
      <c r="P18" s="12"/>
      <c r="Q18" s="12"/>
      <c r="R18" s="13"/>
      <c r="S18" s="12"/>
      <c r="T18" s="12"/>
      <c r="U18" s="12"/>
      <c r="V18" s="12"/>
      <c r="W18" s="13" t="e">
        <f t="shared" si="3"/>
        <v>#DIV/0!</v>
      </c>
      <c r="X18" s="12"/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5"/>
        <v>1400000</v>
      </c>
      <c r="F19" s="12">
        <f t="shared" si="5"/>
        <v>2015720</v>
      </c>
      <c r="G19" s="12">
        <f t="shared" si="5"/>
        <v>1123015</v>
      </c>
      <c r="H19" s="13">
        <f t="shared" si="0"/>
        <v>55.712847022403913</v>
      </c>
      <c r="I19" s="12">
        <f t="shared" si="5"/>
        <v>0</v>
      </c>
      <c r="J19" s="23">
        <v>1400000</v>
      </c>
      <c r="K19" s="12">
        <v>2015720</v>
      </c>
      <c r="L19" s="12">
        <v>1123015</v>
      </c>
      <c r="M19" s="13">
        <f t="shared" si="2"/>
        <v>55.712847022403913</v>
      </c>
      <c r="N19" s="12"/>
      <c r="O19" s="12"/>
      <c r="P19" s="12"/>
      <c r="Q19" s="12"/>
      <c r="R19" s="13"/>
      <c r="S19" s="12"/>
      <c r="T19" s="24"/>
      <c r="U19" s="24"/>
      <c r="V19" s="24"/>
      <c r="W19" s="13" t="e">
        <f t="shared" si="3"/>
        <v>#DIV/0!</v>
      </c>
      <c r="X19" s="24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5"/>
        <v>490000</v>
      </c>
      <c r="F20" s="12">
        <f t="shared" si="5"/>
        <v>711700</v>
      </c>
      <c r="G20" s="12">
        <f t="shared" si="5"/>
        <v>313457</v>
      </c>
      <c r="H20" s="13">
        <f t="shared" si="0"/>
        <v>44.043417170155962</v>
      </c>
      <c r="I20" s="12">
        <f t="shared" si="5"/>
        <v>0</v>
      </c>
      <c r="J20" s="20">
        <v>490000</v>
      </c>
      <c r="K20" s="12">
        <v>711700</v>
      </c>
      <c r="L20" s="12">
        <v>313457</v>
      </c>
      <c r="M20" s="13">
        <f t="shared" si="2"/>
        <v>44.043417170155962</v>
      </c>
      <c r="N20" s="12"/>
      <c r="O20" s="12"/>
      <c r="P20" s="12"/>
      <c r="Q20" s="12"/>
      <c r="R20" s="13"/>
      <c r="S20" s="12"/>
      <c r="T20" s="12"/>
      <c r="U20" s="12"/>
      <c r="V20" s="12"/>
      <c r="W20" s="13" t="e">
        <f t="shared" si="3"/>
        <v>#DIV/0!</v>
      </c>
      <c r="X20" s="12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5"/>
        <v>0</v>
      </c>
      <c r="F21" s="12">
        <f t="shared" si="5"/>
        <v>40000</v>
      </c>
      <c r="G21" s="12">
        <f t="shared" si="5"/>
        <v>34661</v>
      </c>
      <c r="H21" s="13">
        <f t="shared" si="0"/>
        <v>86.652500000000003</v>
      </c>
      <c r="I21" s="12">
        <f t="shared" si="5"/>
        <v>0</v>
      </c>
      <c r="J21" s="20">
        <v>0</v>
      </c>
      <c r="K21" s="12">
        <v>40000</v>
      </c>
      <c r="L21" s="12">
        <v>34661</v>
      </c>
      <c r="M21" s="13">
        <f t="shared" si="2"/>
        <v>86.652500000000003</v>
      </c>
      <c r="N21" s="12"/>
      <c r="O21" s="12"/>
      <c r="P21" s="12"/>
      <c r="Q21" s="12"/>
      <c r="R21" s="13"/>
      <c r="S21" s="12"/>
      <c r="T21" s="12"/>
      <c r="U21" s="12"/>
      <c r="V21" s="12"/>
      <c r="W21" s="13" t="e">
        <f t="shared" si="3"/>
        <v>#DIV/0!</v>
      </c>
      <c r="X21" s="12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3" t="e">
        <f t="shared" si="0"/>
        <v>#DIV/0!</v>
      </c>
      <c r="I22" s="12">
        <f t="shared" si="5"/>
        <v>0</v>
      </c>
      <c r="J22" s="20">
        <v>0</v>
      </c>
      <c r="K22" s="12">
        <v>0</v>
      </c>
      <c r="L22" s="12">
        <v>0</v>
      </c>
      <c r="M22" s="13" t="e">
        <f t="shared" si="2"/>
        <v>#DIV/0!</v>
      </c>
      <c r="N22" s="12"/>
      <c r="O22" s="12"/>
      <c r="P22" s="12"/>
      <c r="Q22" s="12"/>
      <c r="R22" s="13"/>
      <c r="S22" s="12"/>
      <c r="T22" s="12"/>
      <c r="U22" s="12"/>
      <c r="V22" s="12"/>
      <c r="W22" s="13" t="e">
        <f t="shared" si="3"/>
        <v>#DIV/0!</v>
      </c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3" t="e">
        <f t="shared" si="0"/>
        <v>#DIV/0!</v>
      </c>
      <c r="I23" s="12">
        <f t="shared" si="5"/>
        <v>0</v>
      </c>
      <c r="J23" s="20">
        <v>0</v>
      </c>
      <c r="K23" s="12">
        <v>0</v>
      </c>
      <c r="L23" s="12">
        <v>0</v>
      </c>
      <c r="M23" s="13" t="e">
        <f t="shared" si="2"/>
        <v>#DIV/0!</v>
      </c>
      <c r="N23" s="12"/>
      <c r="O23" s="12"/>
      <c r="P23" s="12"/>
      <c r="Q23" s="12"/>
      <c r="R23" s="13"/>
      <c r="S23" s="12"/>
      <c r="T23" s="12"/>
      <c r="U23" s="12"/>
      <c r="V23" s="12"/>
      <c r="W23" s="13" t="e">
        <f t="shared" si="3"/>
        <v>#DIV/0!</v>
      </c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>
        <f t="shared" si="5"/>
        <v>0</v>
      </c>
      <c r="F24" s="12">
        <f t="shared" si="5"/>
        <v>0</v>
      </c>
      <c r="G24" s="12">
        <f t="shared" si="5"/>
        <v>0</v>
      </c>
      <c r="H24" s="13" t="e">
        <f t="shared" si="0"/>
        <v>#DIV/0!</v>
      </c>
      <c r="I24" s="12">
        <f t="shared" si="5"/>
        <v>0</v>
      </c>
      <c r="J24" s="20">
        <v>0</v>
      </c>
      <c r="K24" s="12">
        <v>0</v>
      </c>
      <c r="L24" s="12">
        <v>0</v>
      </c>
      <c r="M24" s="13" t="e">
        <f t="shared" si="2"/>
        <v>#DIV/0!</v>
      </c>
      <c r="N24" s="12"/>
      <c r="O24" s="12"/>
      <c r="P24" s="12"/>
      <c r="Q24" s="12"/>
      <c r="R24" s="13"/>
      <c r="S24" s="12"/>
      <c r="T24" s="12"/>
      <c r="U24" s="12"/>
      <c r="V24" s="12"/>
      <c r="W24" s="13" t="e">
        <f t="shared" si="3"/>
        <v>#DIV/0!</v>
      </c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3" t="e">
        <f t="shared" si="0"/>
        <v>#DIV/0!</v>
      </c>
      <c r="I25" s="12">
        <f t="shared" si="5"/>
        <v>0</v>
      </c>
      <c r="J25" s="20">
        <v>0</v>
      </c>
      <c r="K25" s="21">
        <v>0</v>
      </c>
      <c r="L25" s="21">
        <v>0</v>
      </c>
      <c r="M25" s="13" t="e">
        <f t="shared" si="2"/>
        <v>#DIV/0!</v>
      </c>
      <c r="N25" s="22"/>
      <c r="O25" s="21"/>
      <c r="P25" s="21"/>
      <c r="Q25" s="21"/>
      <c r="R25" s="13"/>
      <c r="S25" s="21"/>
      <c r="T25" s="21"/>
      <c r="U25" s="21"/>
      <c r="V25" s="21"/>
      <c r="W25" s="13" t="e">
        <f t="shared" si="3"/>
        <v>#DIV/0!</v>
      </c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5"/>
        <v>527000</v>
      </c>
      <c r="F26" s="12">
        <f t="shared" si="5"/>
        <v>727000</v>
      </c>
      <c r="G26" s="12">
        <f t="shared" si="5"/>
        <v>538661</v>
      </c>
      <c r="H26" s="13">
        <f t="shared" si="0"/>
        <v>74.093672627235222</v>
      </c>
      <c r="I26" s="12">
        <f>SUM(N26,S26)</f>
        <v>0</v>
      </c>
      <c r="J26" s="20">
        <v>527000</v>
      </c>
      <c r="K26" s="22">
        <v>727000</v>
      </c>
      <c r="L26" s="22">
        <v>538661</v>
      </c>
      <c r="M26" s="13">
        <f t="shared" si="2"/>
        <v>74.093672627235222</v>
      </c>
      <c r="N26" s="22"/>
      <c r="O26" s="22"/>
      <c r="P26" s="22"/>
      <c r="Q26" s="22"/>
      <c r="R26" s="13"/>
      <c r="S26" s="22"/>
      <c r="T26" s="47"/>
      <c r="U26" s="47"/>
      <c r="V26" s="47"/>
      <c r="W26" s="13" t="e">
        <f>V26/U26*100</f>
        <v>#DIV/0!</v>
      </c>
      <c r="X26" s="47"/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>
        <f t="shared" si="5"/>
        <v>0</v>
      </c>
      <c r="F27" s="12">
        <f t="shared" si="5"/>
        <v>0</v>
      </c>
      <c r="G27" s="12">
        <f t="shared" si="5"/>
        <v>0</v>
      </c>
      <c r="H27" s="13" t="e">
        <f t="shared" si="0"/>
        <v>#DIV/0!</v>
      </c>
      <c r="I27" s="12">
        <f t="shared" si="5"/>
        <v>0</v>
      </c>
      <c r="J27" s="20">
        <v>0</v>
      </c>
      <c r="K27" s="22">
        <v>0</v>
      </c>
      <c r="L27" s="22">
        <v>0</v>
      </c>
      <c r="M27" s="13" t="e">
        <f t="shared" si="2"/>
        <v>#DIV/0!</v>
      </c>
      <c r="N27" s="12"/>
      <c r="O27" s="22"/>
      <c r="P27" s="22"/>
      <c r="Q27" s="22"/>
      <c r="R27" s="13"/>
      <c r="S27" s="22"/>
      <c r="T27" s="47"/>
      <c r="U27" s="47"/>
      <c r="V27" s="47"/>
      <c r="W27" s="13" t="e">
        <f t="shared" si="3"/>
        <v>#DIV/0!</v>
      </c>
      <c r="X27" s="47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0</v>
      </c>
      <c r="F28" s="12">
        <f>SUM(K28,P28)</f>
        <v>151000</v>
      </c>
      <c r="G28" s="12">
        <f>SUM(L28,Q28)</f>
        <v>150170</v>
      </c>
      <c r="H28" s="13">
        <f t="shared" si="0"/>
        <v>99.450331125827816</v>
      </c>
      <c r="I28" s="12">
        <f>SUM(N28,S28)</f>
        <v>0</v>
      </c>
      <c r="J28" s="20">
        <v>0</v>
      </c>
      <c r="K28" s="22">
        <v>151000</v>
      </c>
      <c r="L28" s="22">
        <v>150170</v>
      </c>
      <c r="M28" s="13">
        <f t="shared" si="2"/>
        <v>99.450331125827816</v>
      </c>
      <c r="N28" s="12"/>
      <c r="O28" s="22"/>
      <c r="P28" s="22"/>
      <c r="Q28" s="22"/>
      <c r="R28" s="13"/>
      <c r="S28" s="22"/>
      <c r="T28" s="47"/>
      <c r="U28" s="47"/>
      <c r="V28" s="47"/>
      <c r="W28" s="13" t="e">
        <f>V28/U28*100</f>
        <v>#DIV/0!</v>
      </c>
      <c r="X28" s="47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5"/>
        <v>0</v>
      </c>
      <c r="F29" s="12">
        <f t="shared" si="5"/>
        <v>1000</v>
      </c>
      <c r="G29" s="12">
        <f t="shared" si="5"/>
        <v>197</v>
      </c>
      <c r="H29" s="13">
        <f t="shared" si="0"/>
        <v>19.7</v>
      </c>
      <c r="I29" s="12">
        <f t="shared" si="5"/>
        <v>0</v>
      </c>
      <c r="J29" s="20">
        <v>0</v>
      </c>
      <c r="K29" s="22">
        <v>1000</v>
      </c>
      <c r="L29" s="22">
        <v>197</v>
      </c>
      <c r="M29" s="13">
        <f t="shared" si="2"/>
        <v>19.7</v>
      </c>
      <c r="N29" s="22"/>
      <c r="O29" s="22"/>
      <c r="P29" s="22"/>
      <c r="Q29" s="22"/>
      <c r="R29" s="13"/>
      <c r="S29" s="22"/>
      <c r="T29" s="47"/>
      <c r="U29" s="47"/>
      <c r="V29" s="47"/>
      <c r="W29" s="13" t="e">
        <f t="shared" si="3"/>
        <v>#DIV/0!</v>
      </c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>
        <f t="shared" ref="E30:G31" si="6">SUM(J30,O30)</f>
        <v>0</v>
      </c>
      <c r="F30" s="12">
        <f t="shared" si="6"/>
        <v>0</v>
      </c>
      <c r="G30" s="12">
        <f t="shared" si="6"/>
        <v>0</v>
      </c>
      <c r="H30" s="13" t="e">
        <f t="shared" si="0"/>
        <v>#DIV/0!</v>
      </c>
      <c r="I30" s="12">
        <f>SUM(N30,S30)</f>
        <v>0</v>
      </c>
      <c r="J30" s="20">
        <v>0</v>
      </c>
      <c r="K30" s="22">
        <v>0</v>
      </c>
      <c r="L30" s="22">
        <v>0</v>
      </c>
      <c r="M30" s="13" t="e">
        <f t="shared" si="2"/>
        <v>#DIV/0!</v>
      </c>
      <c r="N30" s="22"/>
      <c r="O30" s="22"/>
      <c r="P30" s="22"/>
      <c r="Q30" s="22"/>
      <c r="R30" s="13"/>
      <c r="S30" s="22"/>
      <c r="T30" s="47"/>
      <c r="U30" s="47"/>
      <c r="V30" s="47"/>
      <c r="W30" s="13" t="e">
        <f t="shared" si="3"/>
        <v>#DIV/0!</v>
      </c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3" t="e">
        <f t="shared" si="0"/>
        <v>#DIV/0!</v>
      </c>
      <c r="I31" s="12">
        <f>SUM(N31,S31)</f>
        <v>0</v>
      </c>
      <c r="J31" s="20">
        <v>0</v>
      </c>
      <c r="K31" s="29">
        <v>0</v>
      </c>
      <c r="L31" s="29">
        <v>0</v>
      </c>
      <c r="M31" s="13" t="e">
        <f t="shared" si="2"/>
        <v>#DIV/0!</v>
      </c>
      <c r="N31" s="29"/>
      <c r="O31" s="29"/>
      <c r="P31" s="29"/>
      <c r="Q31" s="29"/>
      <c r="R31" s="13"/>
      <c r="S31" s="29"/>
      <c r="T31" s="30"/>
      <c r="U31" s="30"/>
      <c r="V31" s="30"/>
      <c r="W31" s="13" t="e">
        <f t="shared" si="3"/>
        <v>#DIV/0!</v>
      </c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>
        <f>SUM(J32,O32)</f>
        <v>0</v>
      </c>
      <c r="F32" s="12">
        <f>SUM(K32,P32)</f>
        <v>0</v>
      </c>
      <c r="G32" s="12">
        <f>SUM(L32,Q32)</f>
        <v>0</v>
      </c>
      <c r="H32" s="13" t="e">
        <f t="shared" si="0"/>
        <v>#DIV/0!</v>
      </c>
      <c r="I32" s="12">
        <f>SUM(N32,S32)</f>
        <v>0</v>
      </c>
      <c r="J32" s="32">
        <v>0</v>
      </c>
      <c r="K32" s="30">
        <v>0</v>
      </c>
      <c r="L32" s="30">
        <v>0</v>
      </c>
      <c r="M32" s="13" t="e">
        <f t="shared" si="2"/>
        <v>#DIV/0!</v>
      </c>
      <c r="N32" s="30"/>
      <c r="O32" s="30"/>
      <c r="P32" s="30"/>
      <c r="Q32" s="30"/>
      <c r="R32" s="13"/>
      <c r="S32" s="30"/>
      <c r="T32" s="30"/>
      <c r="U32" s="30"/>
      <c r="V32" s="30"/>
      <c r="W32" s="13" t="e">
        <f t="shared" si="3"/>
        <v>#DIV/0!</v>
      </c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217131</v>
      </c>
      <c r="H33" s="8">
        <v>0</v>
      </c>
      <c r="I33" s="8">
        <f>I6-I11</f>
        <v>0</v>
      </c>
      <c r="J33" s="8">
        <f>J6-J11</f>
        <v>0</v>
      </c>
      <c r="K33" s="8">
        <f>K6-K11</f>
        <v>0</v>
      </c>
      <c r="L33" s="8">
        <f>L6-L11</f>
        <v>217131</v>
      </c>
      <c r="M33" s="9"/>
      <c r="N33" s="8">
        <f>N6-N11</f>
        <v>0</v>
      </c>
      <c r="O33" s="8">
        <f>O6-O11</f>
        <v>0</v>
      </c>
      <c r="P33" s="8">
        <f>P6-P11</f>
        <v>0</v>
      </c>
      <c r="Q33" s="8">
        <f>Q6-Q11</f>
        <v>0</v>
      </c>
      <c r="R33" s="9"/>
      <c r="S33" s="8">
        <f>S6-S11</f>
        <v>0</v>
      </c>
      <c r="T33" s="8">
        <f>T6-T11</f>
        <v>0</v>
      </c>
      <c r="U33" s="8">
        <f>U6-U11</f>
        <v>30000</v>
      </c>
      <c r="V33" s="8">
        <f>V6-V11</f>
        <v>151326</v>
      </c>
      <c r="W33" s="9">
        <f t="shared" si="3"/>
        <v>504.42</v>
      </c>
      <c r="X33" s="8">
        <f>X6-X11</f>
        <v>0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21000</v>
      </c>
      <c r="F34" s="37">
        <v>21000</v>
      </c>
      <c r="G34" s="37">
        <v>21019</v>
      </c>
      <c r="H34" s="26"/>
      <c r="I34" s="37"/>
      <c r="J34" s="38">
        <v>21000</v>
      </c>
      <c r="K34" s="38">
        <v>21000</v>
      </c>
      <c r="L34" s="38">
        <v>21019</v>
      </c>
      <c r="M34" s="9"/>
      <c r="N34" s="38"/>
      <c r="O34" s="38"/>
      <c r="P34" s="38"/>
      <c r="Q34" s="38"/>
      <c r="R34" s="9"/>
      <c r="S34" s="38"/>
      <c r="T34" s="38"/>
      <c r="U34" s="38"/>
      <c r="V34" s="38"/>
      <c r="W34" s="9" t="e">
        <f t="shared" si="3"/>
        <v>#DIV/0!</v>
      </c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5</v>
      </c>
      <c r="F35" s="37">
        <v>5</v>
      </c>
      <c r="G35" s="37">
        <v>5</v>
      </c>
      <c r="H35" s="26"/>
      <c r="I35" s="37"/>
      <c r="J35" s="38">
        <v>5</v>
      </c>
      <c r="K35" s="48">
        <v>5</v>
      </c>
      <c r="L35" s="38">
        <v>5</v>
      </c>
      <c r="M35" s="9"/>
      <c r="N35" s="38"/>
      <c r="O35" s="38"/>
      <c r="P35" s="38"/>
      <c r="Q35" s="38"/>
      <c r="R35" s="9"/>
      <c r="S35" s="38"/>
      <c r="T35" s="38"/>
      <c r="U35" s="38"/>
      <c r="V35" s="38"/>
      <c r="W35" s="9" t="e">
        <f t="shared" si="3"/>
        <v>#DIV/0!</v>
      </c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5</v>
      </c>
      <c r="F36" s="37">
        <v>5</v>
      </c>
      <c r="G36" s="37">
        <v>5</v>
      </c>
      <c r="H36" s="26"/>
      <c r="I36" s="37"/>
      <c r="J36" s="38">
        <v>5</v>
      </c>
      <c r="K36" s="38">
        <v>5</v>
      </c>
      <c r="L36" s="38">
        <v>5</v>
      </c>
      <c r="M36" s="9"/>
      <c r="N36" s="38"/>
      <c r="O36" s="38"/>
      <c r="P36" s="38"/>
      <c r="Q36" s="38"/>
      <c r="R36" s="9"/>
      <c r="S36" s="38"/>
      <c r="T36" s="38"/>
      <c r="U36" s="38"/>
      <c r="V36" s="38"/>
      <c r="W36" s="9" t="e">
        <f t="shared" si="3"/>
        <v>#DIV/0!</v>
      </c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3" firstPageNumber="98" orientation="landscape" useFirstPageNumber="1" r:id="rId1"/>
  <headerFooter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8" width="18.42578125" style="392" customWidth="1"/>
    <col min="9" max="16384" width="9.140625" style="392"/>
  </cols>
  <sheetData>
    <row r="1" spans="1:9" s="332" customFormat="1" ht="18.75" x14ac:dyDescent="0.3">
      <c r="A1" s="919" t="s">
        <v>224</v>
      </c>
      <c r="B1" s="919"/>
      <c r="C1" s="919"/>
      <c r="D1" s="919"/>
      <c r="E1" s="919"/>
      <c r="F1" s="919"/>
      <c r="G1" s="919"/>
      <c r="H1" s="919"/>
      <c r="I1" s="919"/>
    </row>
    <row r="3" spans="1:9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9" s="334" customFormat="1" ht="11.25" x14ac:dyDescent="0.2"/>
    <row r="5" spans="1:9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9" s="334" customFormat="1" ht="36" customHeight="1" x14ac:dyDescent="0.2">
      <c r="A6" s="1335" t="s">
        <v>107</v>
      </c>
      <c r="B6" s="1336"/>
      <c r="C6" s="394">
        <v>217130.94</v>
      </c>
      <c r="D6" s="1349" t="s">
        <v>225</v>
      </c>
      <c r="E6" s="1350"/>
      <c r="F6" s="1350"/>
      <c r="G6" s="1350"/>
      <c r="H6" s="1350"/>
      <c r="I6" s="1351"/>
    </row>
    <row r="7" spans="1:9" s="338" customFormat="1" ht="14.25" customHeight="1" x14ac:dyDescent="0.15">
      <c r="A7" s="1335" t="s">
        <v>92</v>
      </c>
      <c r="B7" s="1336"/>
      <c r="C7" s="394">
        <v>151326</v>
      </c>
      <c r="D7" s="1337" t="s">
        <v>226</v>
      </c>
      <c r="E7" s="1338"/>
      <c r="F7" s="1338"/>
      <c r="G7" s="1338"/>
      <c r="H7" s="1338"/>
      <c r="I7" s="1339"/>
    </row>
    <row r="8" spans="1:9" s="338" customFormat="1" ht="15" customHeight="1" x14ac:dyDescent="0.15">
      <c r="A8" s="1340" t="s">
        <v>110</v>
      </c>
      <c r="B8" s="1341"/>
      <c r="C8" s="395">
        <v>0</v>
      </c>
      <c r="D8" s="1342"/>
      <c r="E8" s="1343"/>
      <c r="F8" s="1343"/>
      <c r="G8" s="1343"/>
      <c r="H8" s="1343"/>
      <c r="I8" s="1344"/>
    </row>
    <row r="9" spans="1:9" s="334" customFormat="1" ht="11.25" x14ac:dyDescent="0.2">
      <c r="C9" s="339"/>
    </row>
    <row r="10" spans="1:9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9" s="334" customFormat="1" ht="12" thickBot="1" x14ac:dyDescent="0.25">
      <c r="C11" s="339"/>
    </row>
    <row r="12" spans="1:9" s="342" customFormat="1" ht="21" x14ac:dyDescent="0.15">
      <c r="A12" s="396" t="s">
        <v>112</v>
      </c>
      <c r="B12" s="396" t="s">
        <v>113</v>
      </c>
      <c r="C12" s="397" t="s">
        <v>114</v>
      </c>
      <c r="D12" s="398" t="s">
        <v>115</v>
      </c>
      <c r="E12" s="397" t="s">
        <v>116</v>
      </c>
      <c r="F12" s="1345" t="s">
        <v>117</v>
      </c>
      <c r="G12" s="1346"/>
      <c r="H12" s="1347" t="s">
        <v>118</v>
      </c>
      <c r="I12" s="1348"/>
    </row>
    <row r="13" spans="1:9" s="342" customFormat="1" ht="13.5" customHeight="1" x14ac:dyDescent="0.15">
      <c r="A13" s="399" t="s">
        <v>187</v>
      </c>
      <c r="B13" s="400">
        <v>0</v>
      </c>
      <c r="C13" s="401">
        <v>0</v>
      </c>
      <c r="D13" s="402">
        <v>0</v>
      </c>
      <c r="E13" s="401">
        <v>0</v>
      </c>
      <c r="F13" s="1332">
        <v>0</v>
      </c>
      <c r="G13" s="1332"/>
      <c r="H13" s="1329"/>
      <c r="I13" s="1330"/>
    </row>
    <row r="14" spans="1:9" s="342" customFormat="1" ht="48" customHeight="1" x14ac:dyDescent="0.15">
      <c r="A14" s="403" t="s">
        <v>189</v>
      </c>
      <c r="B14" s="404">
        <v>0</v>
      </c>
      <c r="C14" s="405">
        <v>538660.69999999995</v>
      </c>
      <c r="D14" s="406">
        <v>55916</v>
      </c>
      <c r="E14" s="405">
        <f>B14+C14-D14</f>
        <v>482744.69999999995</v>
      </c>
      <c r="F14" s="1333">
        <v>482744.7</v>
      </c>
      <c r="G14" s="1333"/>
      <c r="H14" s="1360" t="s">
        <v>227</v>
      </c>
      <c r="I14" s="1361"/>
    </row>
    <row r="15" spans="1:9" s="342" customFormat="1" ht="12.75" customHeight="1" x14ac:dyDescent="0.15">
      <c r="A15" s="407" t="s">
        <v>191</v>
      </c>
      <c r="B15" s="408">
        <v>0</v>
      </c>
      <c r="C15" s="409">
        <v>0</v>
      </c>
      <c r="D15" s="410">
        <v>0</v>
      </c>
      <c r="E15" s="409">
        <v>0</v>
      </c>
      <c r="F15" s="1334">
        <v>0</v>
      </c>
      <c r="G15" s="1334"/>
      <c r="H15" s="1329"/>
      <c r="I15" s="1330"/>
    </row>
    <row r="16" spans="1:9" s="342" customFormat="1" ht="57" customHeight="1" x14ac:dyDescent="0.15">
      <c r="A16" s="411" t="s">
        <v>193</v>
      </c>
      <c r="B16" s="412">
        <v>0</v>
      </c>
      <c r="C16" s="413">
        <v>16804.86</v>
      </c>
      <c r="D16" s="414">
        <v>10838</v>
      </c>
      <c r="E16" s="413">
        <f>B16+C16-D16</f>
        <v>5966.8600000000006</v>
      </c>
      <c r="F16" s="1328">
        <v>7021.06</v>
      </c>
      <c r="G16" s="1328"/>
      <c r="H16" s="1360" t="s">
        <v>228</v>
      </c>
      <c r="I16" s="1361"/>
    </row>
    <row r="17" spans="1:9" s="342" customFormat="1" thickBot="1" x14ac:dyDescent="0.2">
      <c r="A17" s="415" t="s">
        <v>90</v>
      </c>
      <c r="B17" s="416">
        <f>SUM(B13:B16)</f>
        <v>0</v>
      </c>
      <c r="C17" s="417">
        <f>SUM(C13:C16)</f>
        <v>555465.55999999994</v>
      </c>
      <c r="D17" s="418">
        <f>SUM(D13:D16)</f>
        <v>66754</v>
      </c>
      <c r="E17" s="417">
        <f>SUM(E13:E16)</f>
        <v>488711.55999999994</v>
      </c>
      <c r="F17" s="1331">
        <f>SUM(F13:G16)</f>
        <v>489765.76</v>
      </c>
      <c r="G17" s="1331"/>
      <c r="H17" s="419"/>
      <c r="I17" s="42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421"/>
      <c r="B22" s="358">
        <v>0</v>
      </c>
      <c r="C22" s="368"/>
      <c r="D22" s="897"/>
      <c r="E22" s="898"/>
      <c r="F22" s="898"/>
      <c r="G22" s="898"/>
      <c r="H22" s="898"/>
      <c r="I22" s="899"/>
    </row>
    <row r="23" spans="1:9" s="338" customFormat="1" ht="11.25" x14ac:dyDescent="0.2">
      <c r="A23" s="365" t="s">
        <v>90</v>
      </c>
      <c r="B23" s="366">
        <f>SUM(B22:B22)</f>
        <v>0</v>
      </c>
      <c r="C23" s="900"/>
      <c r="D23" s="900"/>
      <c r="E23" s="900"/>
      <c r="F23" s="900"/>
      <c r="G23" s="900"/>
      <c r="H23" s="900"/>
      <c r="I23" s="901"/>
    </row>
    <row r="24" spans="1:9" s="355" customFormat="1" ht="11.25" x14ac:dyDescent="0.2">
      <c r="A24" s="355" t="s">
        <v>195</v>
      </c>
      <c r="C24" s="356"/>
    </row>
    <row r="25" spans="1:9" s="355" customFormat="1" ht="11.25" x14ac:dyDescent="0.2">
      <c r="C25" s="356"/>
    </row>
    <row r="26" spans="1:9" s="340" customFormat="1" ht="11.25" x14ac:dyDescent="0.2">
      <c r="A26" s="861" t="s">
        <v>140</v>
      </c>
      <c r="B26" s="861"/>
      <c r="C26" s="861"/>
      <c r="D26" s="861"/>
      <c r="E26" s="861"/>
      <c r="F26" s="861"/>
      <c r="G26" s="861"/>
      <c r="H26" s="861"/>
      <c r="I26" s="861"/>
    </row>
    <row r="27" spans="1:9" s="334" customFormat="1" ht="11.25" x14ac:dyDescent="0.2">
      <c r="C27" s="339"/>
    </row>
    <row r="28" spans="1:9" s="334" customFormat="1" ht="11.25" x14ac:dyDescent="0.2">
      <c r="A28" s="335" t="s">
        <v>130</v>
      </c>
      <c r="B28" s="335" t="s">
        <v>16</v>
      </c>
      <c r="C28" s="357" t="s">
        <v>131</v>
      </c>
      <c r="D28" s="902" t="s">
        <v>141</v>
      </c>
      <c r="E28" s="902"/>
      <c r="F28" s="902"/>
      <c r="G28" s="902"/>
      <c r="H28" s="902"/>
      <c r="I28" s="903"/>
    </row>
    <row r="29" spans="1:9" s="334" customFormat="1" ht="11.25" customHeight="1" x14ac:dyDescent="0.2">
      <c r="A29" s="421"/>
      <c r="B29" s="358">
        <v>0</v>
      </c>
      <c r="C29" s="368"/>
      <c r="D29" s="897"/>
      <c r="E29" s="898"/>
      <c r="F29" s="898"/>
      <c r="G29" s="898"/>
      <c r="H29" s="898"/>
      <c r="I29" s="899"/>
    </row>
    <row r="30" spans="1:9" s="338" customFormat="1" ht="10.5" x14ac:dyDescent="0.15">
      <c r="A30" s="365" t="s">
        <v>90</v>
      </c>
      <c r="B30" s="366">
        <f>SUM(B29:B29)</f>
        <v>0</v>
      </c>
      <c r="C30" s="891"/>
      <c r="D30" s="891"/>
      <c r="E30" s="891"/>
      <c r="F30" s="891"/>
      <c r="G30" s="891"/>
      <c r="H30" s="891"/>
      <c r="I30" s="891"/>
    </row>
    <row r="31" spans="1:9" s="334" customFormat="1" ht="11.25" x14ac:dyDescent="0.2">
      <c r="A31" s="334" t="s">
        <v>142</v>
      </c>
      <c r="C31" s="339"/>
    </row>
    <row r="32" spans="1:9" s="334" customFormat="1" ht="11.25" x14ac:dyDescent="0.2">
      <c r="C32" s="339"/>
    </row>
    <row r="33" spans="1:9" s="340" customFormat="1" ht="11.25" x14ac:dyDescent="0.2">
      <c r="A33" s="861" t="s">
        <v>143</v>
      </c>
      <c r="B33" s="861"/>
      <c r="C33" s="861"/>
      <c r="D33" s="861"/>
      <c r="E33" s="861"/>
      <c r="F33" s="861"/>
      <c r="G33" s="861"/>
      <c r="H33" s="861"/>
      <c r="I33" s="861"/>
    </row>
    <row r="34" spans="1:9" s="334" customFormat="1" ht="11.25" x14ac:dyDescent="0.2">
      <c r="C34" s="369"/>
    </row>
    <row r="35" spans="1:9" s="334" customFormat="1" ht="11.25" x14ac:dyDescent="0.2">
      <c r="A35" s="335" t="s">
        <v>144</v>
      </c>
      <c r="B35" s="357" t="s">
        <v>145</v>
      </c>
      <c r="C35" s="892" t="s">
        <v>146</v>
      </c>
      <c r="D35" s="892"/>
      <c r="E35" s="892"/>
      <c r="F35" s="892"/>
      <c r="G35" s="892"/>
      <c r="H35" s="892"/>
      <c r="I35" s="893"/>
    </row>
    <row r="36" spans="1:9" s="334" customFormat="1" ht="11.25" x14ac:dyDescent="0.2">
      <c r="A36" s="370">
        <v>0</v>
      </c>
      <c r="B36" s="370">
        <v>0</v>
      </c>
      <c r="C36" s="876"/>
      <c r="D36" s="876"/>
      <c r="E36" s="876"/>
      <c r="F36" s="876"/>
      <c r="G36" s="876"/>
      <c r="H36" s="876"/>
      <c r="I36" s="876"/>
    </row>
    <row r="37" spans="1:9" s="338" customFormat="1" ht="10.5" x14ac:dyDescent="0.15">
      <c r="A37" s="371">
        <f>SUM(A36:A36)</f>
        <v>0</v>
      </c>
      <c r="B37" s="371">
        <f>SUM(B36:B36)</f>
        <v>0</v>
      </c>
      <c r="C37" s="878" t="s">
        <v>90</v>
      </c>
      <c r="D37" s="879"/>
      <c r="E37" s="879"/>
      <c r="F37" s="879"/>
      <c r="G37" s="879"/>
      <c r="H37" s="879"/>
      <c r="I37" s="880"/>
    </row>
    <row r="38" spans="1:9" s="334" customFormat="1" ht="11.25" x14ac:dyDescent="0.2">
      <c r="A38" s="334" t="s">
        <v>196</v>
      </c>
      <c r="C38" s="369"/>
    </row>
    <row r="39" spans="1:9" s="334" customFormat="1" ht="11.25" x14ac:dyDescent="0.2">
      <c r="C39" s="369"/>
    </row>
    <row r="40" spans="1:9" s="334" customFormat="1" ht="11.25" x14ac:dyDescent="0.2">
      <c r="A40" s="861" t="s">
        <v>148</v>
      </c>
      <c r="B40" s="865"/>
      <c r="C40" s="865"/>
      <c r="D40" s="865"/>
      <c r="E40" s="865"/>
      <c r="F40" s="865"/>
      <c r="G40" s="865"/>
      <c r="H40" s="865"/>
      <c r="I40" s="865"/>
    </row>
    <row r="41" spans="1:9" s="334" customFormat="1" ht="11.25" x14ac:dyDescent="0.2">
      <c r="C41" s="369"/>
    </row>
    <row r="42" spans="1:9" s="373" customFormat="1" ht="31.5" x14ac:dyDescent="0.25">
      <c r="A42" s="866" t="s">
        <v>149</v>
      </c>
      <c r="B42" s="867"/>
      <c r="C42" s="372" t="s">
        <v>150</v>
      </c>
      <c r="D42" s="372" t="s">
        <v>151</v>
      </c>
      <c r="E42" s="372" t="s">
        <v>152</v>
      </c>
      <c r="F42" s="372" t="s">
        <v>153</v>
      </c>
      <c r="G42" s="372" t="s">
        <v>154</v>
      </c>
    </row>
    <row r="43" spans="1:9" s="449" customFormat="1" ht="15" x14ac:dyDescent="0.25">
      <c r="A43" s="1358" t="s">
        <v>229</v>
      </c>
      <c r="B43" s="1359"/>
      <c r="C43" s="446">
        <v>521</v>
      </c>
      <c r="D43" s="447">
        <v>0</v>
      </c>
      <c r="E43" s="447">
        <v>315720</v>
      </c>
      <c r="F43" s="448">
        <v>42759</v>
      </c>
      <c r="G43" s="448">
        <v>42782</v>
      </c>
    </row>
    <row r="44" spans="1:9" s="449" customFormat="1" ht="15" x14ac:dyDescent="0.25">
      <c r="A44" s="1356" t="s">
        <v>230</v>
      </c>
      <c r="B44" s="1357"/>
      <c r="C44" s="446">
        <v>524.52499999999998</v>
      </c>
      <c r="D44" s="447">
        <v>0</v>
      </c>
      <c r="E44" s="447">
        <v>113700</v>
      </c>
      <c r="F44" s="448">
        <v>42759</v>
      </c>
      <c r="G44" s="448">
        <v>42782</v>
      </c>
    </row>
    <row r="45" spans="1:9" s="449" customFormat="1" ht="15" x14ac:dyDescent="0.25">
      <c r="A45" s="1356" t="s">
        <v>231</v>
      </c>
      <c r="B45" s="1357"/>
      <c r="C45" s="446">
        <v>672</v>
      </c>
      <c r="D45" s="447">
        <v>429420</v>
      </c>
      <c r="E45" s="447">
        <v>0</v>
      </c>
      <c r="F45" s="448">
        <v>42759</v>
      </c>
      <c r="G45" s="448">
        <v>42782</v>
      </c>
    </row>
    <row r="46" spans="1:9" s="449" customFormat="1" ht="15" x14ac:dyDescent="0.25">
      <c r="A46" s="1356" t="s">
        <v>232</v>
      </c>
      <c r="B46" s="1357"/>
      <c r="C46" s="446">
        <v>512</v>
      </c>
      <c r="D46" s="447">
        <v>0</v>
      </c>
      <c r="E46" s="447">
        <v>15000</v>
      </c>
      <c r="F46" s="448">
        <v>42786</v>
      </c>
      <c r="G46" s="448">
        <v>42786</v>
      </c>
    </row>
    <row r="47" spans="1:9" s="449" customFormat="1" ht="15" x14ac:dyDescent="0.25">
      <c r="A47" s="1356" t="s">
        <v>233</v>
      </c>
      <c r="B47" s="1357"/>
      <c r="C47" s="446">
        <v>551</v>
      </c>
      <c r="D47" s="447">
        <v>0</v>
      </c>
      <c r="E47" s="447">
        <v>200000</v>
      </c>
      <c r="F47" s="448">
        <v>42815</v>
      </c>
      <c r="G47" s="448">
        <v>42838</v>
      </c>
    </row>
    <row r="48" spans="1:9" s="449" customFormat="1" ht="15" x14ac:dyDescent="0.25">
      <c r="A48" s="1356" t="s">
        <v>234</v>
      </c>
      <c r="B48" s="1357"/>
      <c r="C48" s="446">
        <v>672</v>
      </c>
      <c r="D48" s="447">
        <v>200000</v>
      </c>
      <c r="E48" s="447">
        <v>0</v>
      </c>
      <c r="F48" s="448">
        <v>42815</v>
      </c>
      <c r="G48" s="448">
        <v>42838</v>
      </c>
    </row>
    <row r="49" spans="1:7" s="449" customFormat="1" ht="15" x14ac:dyDescent="0.25">
      <c r="A49" s="1356" t="s">
        <v>235</v>
      </c>
      <c r="B49" s="1357"/>
      <c r="C49" s="446">
        <v>511</v>
      </c>
      <c r="D49" s="447">
        <v>0</v>
      </c>
      <c r="E49" s="447">
        <v>-15000</v>
      </c>
      <c r="F49" s="448">
        <v>42786</v>
      </c>
      <c r="G49" s="448">
        <v>42786</v>
      </c>
    </row>
    <row r="50" spans="1:7" s="449" customFormat="1" ht="15" x14ac:dyDescent="0.25">
      <c r="A50" s="1356" t="s">
        <v>236</v>
      </c>
      <c r="B50" s="1357"/>
      <c r="C50" s="446">
        <v>501</v>
      </c>
      <c r="D50" s="447">
        <v>0</v>
      </c>
      <c r="E50" s="447">
        <v>100000</v>
      </c>
      <c r="F50" s="448">
        <v>42887</v>
      </c>
      <c r="G50" s="448">
        <v>42887</v>
      </c>
    </row>
    <row r="51" spans="1:7" s="449" customFormat="1" ht="15" x14ac:dyDescent="0.25">
      <c r="A51" s="1356" t="s">
        <v>235</v>
      </c>
      <c r="B51" s="1357"/>
      <c r="C51" s="446">
        <v>511</v>
      </c>
      <c r="D51" s="447">
        <v>0</v>
      </c>
      <c r="E51" s="447">
        <v>-100000</v>
      </c>
      <c r="F51" s="448">
        <v>42887</v>
      </c>
      <c r="G51" s="448">
        <v>42887</v>
      </c>
    </row>
    <row r="52" spans="1:7" s="449" customFormat="1" ht="15" x14ac:dyDescent="0.25">
      <c r="A52" s="1356" t="s">
        <v>237</v>
      </c>
      <c r="B52" s="1357"/>
      <c r="C52" s="446">
        <v>602</v>
      </c>
      <c r="D52" s="447">
        <v>1600000</v>
      </c>
      <c r="E52" s="447">
        <v>0</v>
      </c>
      <c r="F52" s="448">
        <v>42887</v>
      </c>
      <c r="G52" s="448">
        <v>42887</v>
      </c>
    </row>
    <row r="53" spans="1:7" s="449" customFormat="1" ht="15" x14ac:dyDescent="0.25">
      <c r="A53" s="1356" t="s">
        <v>238</v>
      </c>
      <c r="B53" s="1357"/>
      <c r="C53" s="446">
        <v>518</v>
      </c>
      <c r="D53" s="447">
        <v>0</v>
      </c>
      <c r="E53" s="447">
        <v>1600000</v>
      </c>
      <c r="F53" s="448">
        <v>42887</v>
      </c>
      <c r="G53" s="448">
        <v>42887</v>
      </c>
    </row>
    <row r="54" spans="1:7" s="449" customFormat="1" ht="15" x14ac:dyDescent="0.25">
      <c r="A54" s="1356" t="s">
        <v>238</v>
      </c>
      <c r="B54" s="1357"/>
      <c r="C54" s="446">
        <v>518</v>
      </c>
      <c r="D54" s="447">
        <v>0</v>
      </c>
      <c r="E54" s="447">
        <v>-151000</v>
      </c>
      <c r="F54" s="448">
        <v>42887</v>
      </c>
      <c r="G54" s="448">
        <v>42887</v>
      </c>
    </row>
    <row r="55" spans="1:7" s="449" customFormat="1" ht="15" x14ac:dyDescent="0.25">
      <c r="A55" s="1356" t="s">
        <v>239</v>
      </c>
      <c r="B55" s="1357"/>
      <c r="C55" s="446">
        <v>558</v>
      </c>
      <c r="D55" s="447">
        <v>0</v>
      </c>
      <c r="E55" s="447">
        <v>151000</v>
      </c>
      <c r="F55" s="448">
        <v>42887</v>
      </c>
      <c r="G55" s="448">
        <v>42887</v>
      </c>
    </row>
    <row r="56" spans="1:7" s="449" customFormat="1" ht="15" x14ac:dyDescent="0.25">
      <c r="A56" s="1356" t="s">
        <v>236</v>
      </c>
      <c r="B56" s="1357"/>
      <c r="C56" s="446">
        <v>501</v>
      </c>
      <c r="D56" s="447">
        <v>0</v>
      </c>
      <c r="E56" s="447">
        <v>-1000</v>
      </c>
      <c r="F56" s="448">
        <v>42887</v>
      </c>
      <c r="G56" s="448">
        <v>42887</v>
      </c>
    </row>
    <row r="57" spans="1:7" s="449" customFormat="1" ht="15" x14ac:dyDescent="0.25">
      <c r="A57" s="1356" t="s">
        <v>240</v>
      </c>
      <c r="B57" s="1357"/>
      <c r="C57" s="446">
        <v>549</v>
      </c>
      <c r="D57" s="447">
        <v>0</v>
      </c>
      <c r="E57" s="447">
        <v>1000</v>
      </c>
      <c r="F57" s="448">
        <v>42887</v>
      </c>
      <c r="G57" s="448">
        <v>42887</v>
      </c>
    </row>
    <row r="58" spans="1:7" s="449" customFormat="1" ht="15" x14ac:dyDescent="0.25">
      <c r="A58" s="1356" t="s">
        <v>241</v>
      </c>
      <c r="B58" s="1357"/>
      <c r="C58" s="446">
        <v>663</v>
      </c>
      <c r="D58" s="447">
        <v>2000</v>
      </c>
      <c r="E58" s="447">
        <v>0</v>
      </c>
      <c r="F58" s="448">
        <v>42887</v>
      </c>
      <c r="G58" s="448">
        <v>42887</v>
      </c>
    </row>
    <row r="59" spans="1:7" s="449" customFormat="1" ht="15" x14ac:dyDescent="0.25">
      <c r="A59" s="1356" t="s">
        <v>236</v>
      </c>
      <c r="B59" s="1357"/>
      <c r="C59" s="446">
        <v>501</v>
      </c>
      <c r="D59" s="447">
        <v>0</v>
      </c>
      <c r="E59" s="447">
        <v>2000</v>
      </c>
      <c r="F59" s="448">
        <v>42887</v>
      </c>
      <c r="G59" s="448">
        <v>42887</v>
      </c>
    </row>
    <row r="60" spans="1:7" s="449" customFormat="1" ht="15" x14ac:dyDescent="0.25">
      <c r="A60" s="1356" t="s">
        <v>235</v>
      </c>
      <c r="B60" s="1357"/>
      <c r="C60" s="446">
        <v>511</v>
      </c>
      <c r="D60" s="447">
        <v>0</v>
      </c>
      <c r="E60" s="447">
        <v>-40000</v>
      </c>
      <c r="F60" s="448">
        <v>42887</v>
      </c>
      <c r="G60" s="448">
        <v>42887</v>
      </c>
    </row>
    <row r="61" spans="1:7" s="449" customFormat="1" ht="15" x14ac:dyDescent="0.25">
      <c r="A61" s="1356" t="s">
        <v>242</v>
      </c>
      <c r="B61" s="1357"/>
      <c r="C61" s="446">
        <v>527</v>
      </c>
      <c r="D61" s="447">
        <v>0</v>
      </c>
      <c r="E61" s="447">
        <v>40000</v>
      </c>
      <c r="F61" s="448">
        <v>42887</v>
      </c>
      <c r="G61" s="448">
        <v>42887</v>
      </c>
    </row>
    <row r="62" spans="1:7" s="449" customFormat="1" ht="15" x14ac:dyDescent="0.25">
      <c r="A62" s="1356" t="s">
        <v>229</v>
      </c>
      <c r="B62" s="1357"/>
      <c r="C62" s="446">
        <v>521</v>
      </c>
      <c r="D62" s="447">
        <v>0</v>
      </c>
      <c r="E62" s="447">
        <v>300000</v>
      </c>
      <c r="F62" s="448">
        <v>42892</v>
      </c>
      <c r="G62" s="448">
        <v>408158</v>
      </c>
    </row>
    <row r="63" spans="1:7" s="334" customFormat="1" ht="15" customHeight="1" x14ac:dyDescent="0.2">
      <c r="A63" s="1356" t="s">
        <v>230</v>
      </c>
      <c r="B63" s="1357"/>
      <c r="C63" s="446">
        <v>524.52499999999998</v>
      </c>
      <c r="D63" s="447">
        <v>0</v>
      </c>
      <c r="E63" s="447">
        <v>108000</v>
      </c>
      <c r="F63" s="448">
        <v>42892</v>
      </c>
      <c r="G63" s="448">
        <v>408158</v>
      </c>
    </row>
    <row r="64" spans="1:7" s="334" customFormat="1" ht="15.75" customHeight="1" x14ac:dyDescent="0.2">
      <c r="A64" s="1356" t="s">
        <v>231</v>
      </c>
      <c r="B64" s="1357"/>
      <c r="C64" s="446">
        <v>672</v>
      </c>
      <c r="D64" s="447">
        <v>408000</v>
      </c>
      <c r="E64" s="447">
        <v>0</v>
      </c>
      <c r="F64" s="448">
        <v>42892</v>
      </c>
      <c r="G64" s="448">
        <v>408158</v>
      </c>
    </row>
    <row r="65" spans="1:9" s="334" customFormat="1" ht="11.25" x14ac:dyDescent="0.2">
      <c r="A65" s="872" t="s">
        <v>169</v>
      </c>
      <c r="B65" s="873"/>
      <c r="C65" s="387"/>
      <c r="D65" s="354">
        <f>SUM(D63:D64)</f>
        <v>408000</v>
      </c>
      <c r="E65" s="354">
        <f>SUM(E63:E64)</f>
        <v>108000</v>
      </c>
      <c r="F65" s="881"/>
      <c r="G65" s="882"/>
    </row>
    <row r="66" spans="1:9" s="334" customFormat="1" ht="15" x14ac:dyDescent="0.25">
      <c r="A66" s="1324" t="s">
        <v>201</v>
      </c>
      <c r="B66" s="1325"/>
      <c r="C66" s="369"/>
    </row>
    <row r="67" spans="1:9" s="334" customFormat="1" ht="11.25" x14ac:dyDescent="0.2">
      <c r="A67" s="432"/>
      <c r="C67" s="369"/>
    </row>
    <row r="68" spans="1:9" s="334" customFormat="1" ht="11.25" x14ac:dyDescent="0.2">
      <c r="A68" s="865" t="s">
        <v>170</v>
      </c>
      <c r="B68" s="865"/>
      <c r="C68" s="865"/>
      <c r="D68" s="865"/>
      <c r="E68" s="865"/>
      <c r="F68" s="865"/>
      <c r="G68" s="865"/>
      <c r="H68" s="865"/>
      <c r="I68" s="865"/>
    </row>
    <row r="69" spans="1:9" s="334" customFormat="1" ht="11.25" x14ac:dyDescent="0.2">
      <c r="C69" s="369"/>
    </row>
    <row r="70" spans="1:9" s="373" customFormat="1" ht="31.5" x14ac:dyDescent="0.25">
      <c r="A70" s="866" t="s">
        <v>149</v>
      </c>
      <c r="B70" s="867"/>
      <c r="C70" s="372" t="s">
        <v>150</v>
      </c>
      <c r="D70" s="372" t="s">
        <v>151</v>
      </c>
      <c r="E70" s="372" t="s">
        <v>152</v>
      </c>
      <c r="F70" s="372" t="s">
        <v>153</v>
      </c>
      <c r="G70" s="372" t="s">
        <v>154</v>
      </c>
    </row>
    <row r="71" spans="1:9" s="334" customFormat="1" ht="11.25" customHeight="1" x14ac:dyDescent="0.2">
      <c r="A71" s="1352" t="s">
        <v>243</v>
      </c>
      <c r="B71" s="1353"/>
      <c r="C71" s="450">
        <v>602.60299999999995</v>
      </c>
      <c r="D71" s="451">
        <v>310000</v>
      </c>
      <c r="E71" s="451">
        <v>0</v>
      </c>
      <c r="F71" s="452">
        <v>42892</v>
      </c>
      <c r="G71" s="452">
        <v>42892</v>
      </c>
    </row>
    <row r="72" spans="1:9" s="334" customFormat="1" ht="11.25" customHeight="1" x14ac:dyDescent="0.2">
      <c r="A72" s="1354" t="s">
        <v>244</v>
      </c>
      <c r="B72" s="1355"/>
      <c r="C72" s="453">
        <v>501</v>
      </c>
      <c r="D72" s="451">
        <v>0</v>
      </c>
      <c r="E72" s="454">
        <v>280000</v>
      </c>
      <c r="F72" s="455">
        <v>42892</v>
      </c>
      <c r="G72" s="455">
        <v>42892</v>
      </c>
    </row>
    <row r="73" spans="1:9" s="334" customFormat="1" ht="11.25" x14ac:dyDescent="0.2">
      <c r="A73" s="872" t="s">
        <v>169</v>
      </c>
      <c r="B73" s="873"/>
      <c r="C73" s="387"/>
      <c r="D73" s="354">
        <f>SUM(D71:D72)</f>
        <v>310000</v>
      </c>
      <c r="E73" s="354">
        <f>SUM(E71:E72)</f>
        <v>280000</v>
      </c>
      <c r="F73" s="874"/>
      <c r="G73" s="875"/>
    </row>
    <row r="74" spans="1:9" s="334" customFormat="1" ht="11.25" x14ac:dyDescent="0.2">
      <c r="C74" s="369"/>
    </row>
    <row r="75" spans="1:9" s="334" customFormat="1" ht="11.25" x14ac:dyDescent="0.2">
      <c r="C75" s="369"/>
    </row>
    <row r="76" spans="1:9" s="340" customFormat="1" ht="11.25" x14ac:dyDescent="0.2">
      <c r="A76" s="860" t="s">
        <v>172</v>
      </c>
      <c r="B76" s="860"/>
      <c r="C76" s="860"/>
      <c r="D76" s="860"/>
      <c r="E76" s="860"/>
      <c r="F76" s="860"/>
      <c r="G76" s="860"/>
      <c r="H76" s="860"/>
      <c r="I76" s="860"/>
    </row>
    <row r="77" spans="1:9" s="334" customFormat="1" ht="11.25" x14ac:dyDescent="0.2"/>
    <row r="78" spans="1:9" s="334" customFormat="1" ht="11.25" x14ac:dyDescent="0.2">
      <c r="A78" s="862"/>
      <c r="B78" s="863"/>
      <c r="C78" s="863"/>
      <c r="D78" s="863"/>
      <c r="E78" s="863"/>
      <c r="F78" s="863"/>
      <c r="G78" s="863"/>
      <c r="H78" s="863"/>
      <c r="I78" s="864"/>
    </row>
    <row r="79" spans="1:9" s="334" customFormat="1" ht="11.25" x14ac:dyDescent="0.2"/>
    <row r="80" spans="1:9" s="333" customFormat="1" ht="10.5" x14ac:dyDescent="0.15">
      <c r="A80" s="861" t="s">
        <v>175</v>
      </c>
      <c r="B80" s="861"/>
      <c r="C80" s="861"/>
      <c r="D80" s="861"/>
      <c r="E80" s="861"/>
      <c r="F80" s="861"/>
      <c r="G80" s="861"/>
      <c r="H80" s="861"/>
      <c r="I80" s="861"/>
    </row>
    <row r="81" spans="1:9" s="334" customFormat="1" ht="11.25" x14ac:dyDescent="0.2"/>
    <row r="82" spans="1:9" s="334" customFormat="1" ht="28.5" customHeight="1" x14ac:dyDescent="0.2">
      <c r="A82" s="1319" t="s">
        <v>245</v>
      </c>
      <c r="B82" s="1320"/>
      <c r="C82" s="1320"/>
      <c r="D82" s="1320"/>
      <c r="E82" s="1320"/>
      <c r="F82" s="1320"/>
      <c r="G82" s="1320"/>
      <c r="H82" s="1320"/>
      <c r="I82" s="1321"/>
    </row>
    <row r="84" spans="1:9" ht="9.75" customHeight="1" x14ac:dyDescent="0.2">
      <c r="A84" s="436" t="s">
        <v>207</v>
      </c>
    </row>
    <row r="85" spans="1:9" ht="13.5" customHeight="1" x14ac:dyDescent="0.2">
      <c r="A85" s="436" t="s">
        <v>208</v>
      </c>
    </row>
    <row r="86" spans="1:9" x14ac:dyDescent="0.2">
      <c r="A86" s="392" t="s">
        <v>246</v>
      </c>
      <c r="C86" s="392" t="s">
        <v>247</v>
      </c>
    </row>
  </sheetData>
  <mergeCells count="71">
    <mergeCell ref="F12:G12"/>
    <mergeCell ref="H12:I12"/>
    <mergeCell ref="A1:I1"/>
    <mergeCell ref="A3:I3"/>
    <mergeCell ref="A5:B5"/>
    <mergeCell ref="D5:I5"/>
    <mergeCell ref="A6:B6"/>
    <mergeCell ref="D6:I6"/>
    <mergeCell ref="A7:B7"/>
    <mergeCell ref="D7:I7"/>
    <mergeCell ref="A8:B8"/>
    <mergeCell ref="D8:I8"/>
    <mergeCell ref="A10:I10"/>
    <mergeCell ref="D22:I2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A19:I19"/>
    <mergeCell ref="D21:I21"/>
    <mergeCell ref="A43:B43"/>
    <mergeCell ref="C23:I23"/>
    <mergeCell ref="A26:I26"/>
    <mergeCell ref="D28:I28"/>
    <mergeCell ref="D29:I29"/>
    <mergeCell ref="C30:I30"/>
    <mergeCell ref="A33:I33"/>
    <mergeCell ref="C35:I35"/>
    <mergeCell ref="C36:I36"/>
    <mergeCell ref="C37:I37"/>
    <mergeCell ref="A40:I40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6:B66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F65:G65"/>
    <mergeCell ref="A76:I76"/>
    <mergeCell ref="A78:I78"/>
    <mergeCell ref="A80:I80"/>
    <mergeCell ref="A82:I82"/>
    <mergeCell ref="A68:I68"/>
    <mergeCell ref="A70:B70"/>
    <mergeCell ref="A71:B71"/>
    <mergeCell ref="A72:B72"/>
    <mergeCell ref="A73:B73"/>
    <mergeCell ref="F73:G73"/>
  </mergeCells>
  <pageMargins left="0.70866141732283472" right="0.70866141732283472" top="0.78740157480314965" bottom="0.78740157480314965" header="0.31496062992125984" footer="0.31496062992125984"/>
  <pageSetup paperSize="9" scale="58" firstPageNumber="99" fitToHeight="3" orientation="portrait" useFirstPageNumber="1" r:id="rId1"/>
  <headerFooter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78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2659650</v>
      </c>
      <c r="F6" s="8">
        <f>SUM(F7:F9)</f>
        <v>2659650</v>
      </c>
      <c r="G6" s="8">
        <f>SUM(G7:G9)</f>
        <v>1370767</v>
      </c>
      <c r="H6" s="9">
        <f t="shared" ref="H6:H36" si="0">G6/F6*100</f>
        <v>51.539375481736315</v>
      </c>
      <c r="I6" s="8">
        <f>SUM(I7:I9)</f>
        <v>1344021</v>
      </c>
      <c r="J6" s="8">
        <f>SUM(J7:J9)</f>
        <v>2659650</v>
      </c>
      <c r="K6" s="8">
        <f t="shared" ref="K6:N6" si="1">SUM(K7:K9)</f>
        <v>2659650</v>
      </c>
      <c r="L6" s="8">
        <f t="shared" si="1"/>
        <v>1370767</v>
      </c>
      <c r="M6" s="9">
        <f t="shared" ref="M6:M21" si="2">L6/K6*100</f>
        <v>51.539375481736315</v>
      </c>
      <c r="N6" s="8">
        <f t="shared" si="1"/>
        <v>1344021</v>
      </c>
      <c r="O6" s="8"/>
      <c r="P6" s="8"/>
      <c r="Q6" s="8"/>
      <c r="R6" s="9"/>
      <c r="S6" s="8"/>
      <c r="T6" s="8"/>
      <c r="U6" s="8"/>
      <c r="V6" s="8"/>
      <c r="W6" s="9"/>
      <c r="X6" s="8"/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9" si="3">SUM(J7,O7)</f>
        <v>482950</v>
      </c>
      <c r="F7" s="12">
        <f t="shared" si="3"/>
        <v>482950</v>
      </c>
      <c r="G7" s="12">
        <f t="shared" si="3"/>
        <v>282417</v>
      </c>
      <c r="H7" s="13">
        <f t="shared" si="0"/>
        <v>58.477482141008387</v>
      </c>
      <c r="I7" s="12">
        <f>SUM(N7,S7)</f>
        <v>290121</v>
      </c>
      <c r="J7" s="44">
        <v>482950</v>
      </c>
      <c r="K7" s="14">
        <v>482950</v>
      </c>
      <c r="L7" s="14">
        <v>282417</v>
      </c>
      <c r="M7" s="13">
        <f t="shared" si="2"/>
        <v>58.477482141008387</v>
      </c>
      <c r="N7" s="14">
        <v>290121</v>
      </c>
      <c r="O7" s="14"/>
      <c r="P7" s="14"/>
      <c r="Q7" s="14"/>
      <c r="R7" s="13"/>
      <c r="S7" s="14"/>
      <c r="T7" s="14"/>
      <c r="U7" s="14"/>
      <c r="V7" s="14"/>
      <c r="W7" s="13"/>
      <c r="X7" s="14"/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/>
      <c r="F8" s="12"/>
      <c r="G8" s="12"/>
      <c r="H8" s="13"/>
      <c r="I8" s="12"/>
      <c r="J8" s="45"/>
      <c r="K8" s="12"/>
      <c r="L8" s="12"/>
      <c r="M8" s="13"/>
      <c r="N8" s="12"/>
      <c r="O8" s="12"/>
      <c r="P8" s="12"/>
      <c r="Q8" s="12"/>
      <c r="R8" s="13"/>
      <c r="S8" s="12"/>
      <c r="T8" s="12"/>
      <c r="U8" s="12"/>
      <c r="V8" s="12"/>
      <c r="W8" s="13"/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3"/>
        <v>2176700</v>
      </c>
      <c r="F9" s="12">
        <f t="shared" si="3"/>
        <v>2176700</v>
      </c>
      <c r="G9" s="12">
        <f t="shared" si="3"/>
        <v>1088350</v>
      </c>
      <c r="H9" s="13">
        <f t="shared" si="0"/>
        <v>50</v>
      </c>
      <c r="I9" s="12">
        <f>SUM(N9,S9)</f>
        <v>1053900</v>
      </c>
      <c r="J9" s="45">
        <v>2176700</v>
      </c>
      <c r="K9" s="12">
        <v>2176700</v>
      </c>
      <c r="L9" s="12">
        <v>1088350</v>
      </c>
      <c r="M9" s="13">
        <f t="shared" si="2"/>
        <v>50</v>
      </c>
      <c r="N9" s="12">
        <v>1053900</v>
      </c>
      <c r="O9" s="12"/>
      <c r="P9" s="12"/>
      <c r="Q9" s="12"/>
      <c r="R9" s="13"/>
      <c r="S9" s="12"/>
      <c r="T9" s="12"/>
      <c r="U9" s="12"/>
      <c r="V9" s="12"/>
      <c r="W9" s="13"/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/>
      <c r="F10" s="18"/>
      <c r="G10" s="18"/>
      <c r="H10" s="9"/>
      <c r="I10" s="18"/>
      <c r="J10" s="19"/>
      <c r="K10" s="18"/>
      <c r="L10" s="18"/>
      <c r="M10" s="9"/>
      <c r="N10" s="18"/>
      <c r="O10" s="18"/>
      <c r="P10" s="18"/>
      <c r="Q10" s="18"/>
      <c r="R10" s="9"/>
      <c r="S10" s="18"/>
      <c r="T10" s="18"/>
      <c r="U10" s="18"/>
      <c r="V10" s="18"/>
      <c r="W10" s="9"/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2659650</v>
      </c>
      <c r="F11" s="8">
        <f>SUM(F12:F31)</f>
        <v>2659650</v>
      </c>
      <c r="G11" s="8">
        <f>SUM(G12:G31)</f>
        <v>1260537</v>
      </c>
      <c r="H11" s="9">
        <f t="shared" si="0"/>
        <v>47.394845186396708</v>
      </c>
      <c r="I11" s="8">
        <f>SUM(I12:I31)</f>
        <v>1226811</v>
      </c>
      <c r="J11" s="8">
        <f>SUM(J12:J31)</f>
        <v>2659650</v>
      </c>
      <c r="K11" s="8">
        <f>SUM(K12:K31)</f>
        <v>2659650</v>
      </c>
      <c r="L11" s="8">
        <f>SUM(L12:L31)</f>
        <v>1260537</v>
      </c>
      <c r="M11" s="9">
        <f t="shared" si="2"/>
        <v>47.394845186396708</v>
      </c>
      <c r="N11" s="8">
        <f>SUM(N12:N31)</f>
        <v>1226811</v>
      </c>
      <c r="O11" s="8"/>
      <c r="P11" s="8"/>
      <c r="Q11" s="8"/>
      <c r="R11" s="9"/>
      <c r="S11" s="8"/>
      <c r="T11" s="8"/>
      <c r="U11" s="8"/>
      <c r="V11" s="8"/>
      <c r="W11" s="9"/>
      <c r="X11" s="8"/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1" si="4">SUM(J12,O12)</f>
        <v>53796</v>
      </c>
      <c r="F12" s="12">
        <f t="shared" si="4"/>
        <v>53796</v>
      </c>
      <c r="G12" s="12">
        <f t="shared" si="4"/>
        <v>23158</v>
      </c>
      <c r="H12" s="13">
        <f t="shared" si="0"/>
        <v>43.047810246114956</v>
      </c>
      <c r="I12" s="12">
        <f t="shared" si="4"/>
        <v>23015</v>
      </c>
      <c r="J12" s="20">
        <v>53796</v>
      </c>
      <c r="K12" s="21">
        <v>53796</v>
      </c>
      <c r="L12" s="21">
        <v>23158</v>
      </c>
      <c r="M12" s="13">
        <f t="shared" si="2"/>
        <v>43.047810246114956</v>
      </c>
      <c r="N12" s="22">
        <v>23015</v>
      </c>
      <c r="O12" s="21"/>
      <c r="P12" s="21"/>
      <c r="Q12" s="21"/>
      <c r="R12" s="13"/>
      <c r="S12" s="21"/>
      <c r="T12" s="21"/>
      <c r="U12" s="21"/>
      <c r="V12" s="21"/>
      <c r="W12" s="13"/>
      <c r="X12" s="22"/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4"/>
        <v>283000</v>
      </c>
      <c r="F13" s="12">
        <f t="shared" si="4"/>
        <v>283000</v>
      </c>
      <c r="G13" s="12">
        <f t="shared" si="4"/>
        <v>116651</v>
      </c>
      <c r="H13" s="13">
        <f t="shared" si="0"/>
        <v>41.219434628975264</v>
      </c>
      <c r="I13" s="12">
        <f t="shared" si="4"/>
        <v>110974</v>
      </c>
      <c r="J13" s="20">
        <v>283000</v>
      </c>
      <c r="K13" s="12">
        <v>283000</v>
      </c>
      <c r="L13" s="12">
        <v>116651</v>
      </c>
      <c r="M13" s="13">
        <f t="shared" si="2"/>
        <v>41.219434628975264</v>
      </c>
      <c r="N13" s="12">
        <v>110974</v>
      </c>
      <c r="O13" s="12"/>
      <c r="P13" s="12"/>
      <c r="Q13" s="12"/>
      <c r="R13" s="13"/>
      <c r="S13" s="12"/>
      <c r="T13" s="12"/>
      <c r="U13" s="12"/>
      <c r="V13" s="12"/>
      <c r="W13" s="13"/>
      <c r="X13" s="12"/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/>
      <c r="F14" s="12"/>
      <c r="G14" s="12"/>
      <c r="H14" s="13"/>
      <c r="I14" s="12"/>
      <c r="J14" s="20"/>
      <c r="K14" s="12"/>
      <c r="L14" s="12"/>
      <c r="M14" s="13"/>
      <c r="N14" s="12"/>
      <c r="O14" s="12"/>
      <c r="P14" s="12"/>
      <c r="Q14" s="12"/>
      <c r="R14" s="13"/>
      <c r="S14" s="12"/>
      <c r="T14" s="12"/>
      <c r="U14" s="12"/>
      <c r="V14" s="12"/>
      <c r="W14" s="13"/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4"/>
        <v>7000</v>
      </c>
      <c r="F15" s="12">
        <f t="shared" si="4"/>
        <v>7000</v>
      </c>
      <c r="G15" s="12">
        <f t="shared" si="4"/>
        <v>5343</v>
      </c>
      <c r="H15" s="13">
        <f t="shared" si="0"/>
        <v>76.328571428571422</v>
      </c>
      <c r="I15" s="12">
        <f t="shared" si="4"/>
        <v>2891</v>
      </c>
      <c r="J15" s="20">
        <v>7000</v>
      </c>
      <c r="K15" s="12">
        <v>7000</v>
      </c>
      <c r="L15" s="12">
        <v>5343</v>
      </c>
      <c r="M15" s="13">
        <f t="shared" si="2"/>
        <v>76.328571428571422</v>
      </c>
      <c r="N15" s="12">
        <v>2891</v>
      </c>
      <c r="O15" s="12"/>
      <c r="P15" s="12"/>
      <c r="Q15" s="12"/>
      <c r="R15" s="13"/>
      <c r="S15" s="12"/>
      <c r="T15" s="12"/>
      <c r="U15" s="12"/>
      <c r="V15" s="12"/>
      <c r="W15" s="13"/>
      <c r="X15" s="12"/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4"/>
        <v>500</v>
      </c>
      <c r="F16" s="12">
        <f t="shared" si="4"/>
        <v>500</v>
      </c>
      <c r="G16" s="12">
        <f t="shared" si="4"/>
        <v>0</v>
      </c>
      <c r="H16" s="13">
        <f t="shared" si="0"/>
        <v>0</v>
      </c>
      <c r="I16" s="12">
        <f t="shared" si="4"/>
        <v>0</v>
      </c>
      <c r="J16" s="20">
        <v>500</v>
      </c>
      <c r="K16" s="12">
        <v>500</v>
      </c>
      <c r="L16" s="12"/>
      <c r="M16" s="13">
        <f t="shared" si="2"/>
        <v>0</v>
      </c>
      <c r="N16" s="12"/>
      <c r="O16" s="12"/>
      <c r="P16" s="12"/>
      <c r="Q16" s="12"/>
      <c r="R16" s="13"/>
      <c r="S16" s="12"/>
      <c r="T16" s="12"/>
      <c r="U16" s="12"/>
      <c r="V16" s="12"/>
      <c r="W16" s="13"/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4"/>
        <v>700</v>
      </c>
      <c r="F17" s="12">
        <f t="shared" si="4"/>
        <v>700</v>
      </c>
      <c r="G17" s="12">
        <f t="shared" si="4"/>
        <v>360</v>
      </c>
      <c r="H17" s="13">
        <f t="shared" si="0"/>
        <v>51.428571428571423</v>
      </c>
      <c r="I17" s="12">
        <f t="shared" si="4"/>
        <v>291</v>
      </c>
      <c r="J17" s="20">
        <v>700</v>
      </c>
      <c r="K17" s="12">
        <v>700</v>
      </c>
      <c r="L17" s="12">
        <v>360</v>
      </c>
      <c r="M17" s="13">
        <f t="shared" si="2"/>
        <v>51.428571428571423</v>
      </c>
      <c r="N17" s="12">
        <v>291</v>
      </c>
      <c r="O17" s="12"/>
      <c r="P17" s="12"/>
      <c r="Q17" s="12"/>
      <c r="R17" s="13"/>
      <c r="S17" s="12"/>
      <c r="T17" s="12"/>
      <c r="U17" s="12"/>
      <c r="V17" s="12"/>
      <c r="W17" s="13"/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4"/>
        <v>239276</v>
      </c>
      <c r="F18" s="12">
        <f t="shared" si="4"/>
        <v>239276</v>
      </c>
      <c r="G18" s="12">
        <f t="shared" si="4"/>
        <v>103321</v>
      </c>
      <c r="H18" s="13">
        <f t="shared" si="0"/>
        <v>43.180678379778996</v>
      </c>
      <c r="I18" s="12">
        <f t="shared" si="4"/>
        <v>113487</v>
      </c>
      <c r="J18" s="20">
        <v>239276</v>
      </c>
      <c r="K18" s="12">
        <v>239276</v>
      </c>
      <c r="L18" s="12">
        <v>103321</v>
      </c>
      <c r="M18" s="13">
        <f t="shared" si="2"/>
        <v>43.180678379778996</v>
      </c>
      <c r="N18" s="12">
        <v>113487</v>
      </c>
      <c r="O18" s="12"/>
      <c r="P18" s="12"/>
      <c r="Q18" s="12"/>
      <c r="R18" s="13"/>
      <c r="S18" s="12"/>
      <c r="T18" s="12"/>
      <c r="U18" s="12"/>
      <c r="V18" s="12"/>
      <c r="W18" s="13"/>
      <c r="X18" s="12"/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4"/>
        <v>1500748</v>
      </c>
      <c r="F19" s="12">
        <f t="shared" si="4"/>
        <v>1500748</v>
      </c>
      <c r="G19" s="12">
        <f t="shared" si="4"/>
        <v>730875</v>
      </c>
      <c r="H19" s="13">
        <f t="shared" si="0"/>
        <v>48.700714576997605</v>
      </c>
      <c r="I19" s="12">
        <f t="shared" si="4"/>
        <v>702937</v>
      </c>
      <c r="J19" s="23">
        <v>1500748</v>
      </c>
      <c r="K19" s="12">
        <v>1500748</v>
      </c>
      <c r="L19" s="12">
        <v>730875</v>
      </c>
      <c r="M19" s="13">
        <f t="shared" si="2"/>
        <v>48.700714576997605</v>
      </c>
      <c r="N19" s="12">
        <v>702937</v>
      </c>
      <c r="O19" s="12"/>
      <c r="P19" s="12"/>
      <c r="Q19" s="12"/>
      <c r="R19" s="13"/>
      <c r="S19" s="12"/>
      <c r="T19" s="24"/>
      <c r="U19" s="24"/>
      <c r="V19" s="24"/>
      <c r="W19" s="13"/>
      <c r="X19" s="24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4"/>
        <v>516557</v>
      </c>
      <c r="F20" s="12">
        <f t="shared" si="4"/>
        <v>516557</v>
      </c>
      <c r="G20" s="12">
        <f t="shared" si="4"/>
        <v>251568</v>
      </c>
      <c r="H20" s="13">
        <f t="shared" si="0"/>
        <v>48.700917807715314</v>
      </c>
      <c r="I20" s="12">
        <f t="shared" si="4"/>
        <v>241951</v>
      </c>
      <c r="J20" s="20">
        <v>516557</v>
      </c>
      <c r="K20" s="12">
        <v>516557</v>
      </c>
      <c r="L20" s="12">
        <v>251568</v>
      </c>
      <c r="M20" s="13">
        <f t="shared" si="2"/>
        <v>48.700917807715314</v>
      </c>
      <c r="N20" s="12">
        <v>241951</v>
      </c>
      <c r="O20" s="12"/>
      <c r="P20" s="12"/>
      <c r="Q20" s="12"/>
      <c r="R20" s="13"/>
      <c r="S20" s="12"/>
      <c r="T20" s="12"/>
      <c r="U20" s="12"/>
      <c r="V20" s="12"/>
      <c r="W20" s="13"/>
      <c r="X20" s="12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4"/>
        <v>41043</v>
      </c>
      <c r="F21" s="12">
        <f t="shared" si="4"/>
        <v>41043</v>
      </c>
      <c r="G21" s="12">
        <f t="shared" si="4"/>
        <v>29231</v>
      </c>
      <c r="H21" s="13">
        <f t="shared" si="0"/>
        <v>71.220427356674705</v>
      </c>
      <c r="I21" s="12">
        <f t="shared" si="4"/>
        <v>15004</v>
      </c>
      <c r="J21" s="20">
        <v>41043</v>
      </c>
      <c r="K21" s="20">
        <v>41043</v>
      </c>
      <c r="L21" s="12">
        <v>29231</v>
      </c>
      <c r="M21" s="13">
        <f t="shared" si="2"/>
        <v>71.220427356674705</v>
      </c>
      <c r="N21" s="12">
        <v>15004</v>
      </c>
      <c r="O21" s="12"/>
      <c r="P21" s="12"/>
      <c r="Q21" s="12"/>
      <c r="R21" s="13"/>
      <c r="S21" s="12"/>
      <c r="T21" s="12"/>
      <c r="U21" s="12"/>
      <c r="V21" s="12"/>
      <c r="W21" s="13"/>
      <c r="X21" s="12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/>
      <c r="F22" s="12"/>
      <c r="G22" s="12"/>
      <c r="H22" s="13"/>
      <c r="I22" s="12"/>
      <c r="J22" s="20"/>
      <c r="K22" s="12"/>
      <c r="L22" s="12"/>
      <c r="M22" s="13"/>
      <c r="N22" s="12"/>
      <c r="O22" s="12"/>
      <c r="P22" s="12"/>
      <c r="Q22" s="12"/>
      <c r="R22" s="13"/>
      <c r="S22" s="12"/>
      <c r="T22" s="12"/>
      <c r="U22" s="12"/>
      <c r="V22" s="12"/>
      <c r="W22" s="13"/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/>
      <c r="F23" s="12"/>
      <c r="G23" s="12"/>
      <c r="H23" s="13"/>
      <c r="I23" s="12"/>
      <c r="J23" s="20"/>
      <c r="K23" s="12"/>
      <c r="L23" s="12"/>
      <c r="M23" s="13"/>
      <c r="N23" s="12"/>
      <c r="O23" s="12"/>
      <c r="P23" s="12"/>
      <c r="Q23" s="12"/>
      <c r="R23" s="13"/>
      <c r="S23" s="12"/>
      <c r="T23" s="12"/>
      <c r="U23" s="12"/>
      <c r="V23" s="12"/>
      <c r="W23" s="13"/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/>
      <c r="F24" s="12"/>
      <c r="G24" s="12"/>
      <c r="H24" s="13"/>
      <c r="I24" s="12"/>
      <c r="J24" s="20"/>
      <c r="K24" s="12"/>
      <c r="L24" s="12"/>
      <c r="M24" s="13"/>
      <c r="N24" s="12"/>
      <c r="O24" s="12"/>
      <c r="P24" s="12"/>
      <c r="Q24" s="12"/>
      <c r="R24" s="13"/>
      <c r="S24" s="12"/>
      <c r="T24" s="12"/>
      <c r="U24" s="12"/>
      <c r="V24" s="12"/>
      <c r="W24" s="13"/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21"/>
      <c r="P25" s="21"/>
      <c r="Q25" s="21"/>
      <c r="R25" s="13"/>
      <c r="S25" s="21"/>
      <c r="T25" s="21"/>
      <c r="U25" s="21"/>
      <c r="V25" s="21"/>
      <c r="W25" s="13"/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/>
      <c r="F26" s="12"/>
      <c r="G26" s="12"/>
      <c r="H26" s="26"/>
      <c r="I26" s="12"/>
      <c r="J26" s="20"/>
      <c r="K26" s="22"/>
      <c r="L26" s="22"/>
      <c r="M26" s="13"/>
      <c r="N26" s="22"/>
      <c r="O26" s="22"/>
      <c r="P26" s="22"/>
      <c r="Q26" s="22"/>
      <c r="R26" s="13"/>
      <c r="S26" s="22"/>
      <c r="T26" s="47"/>
      <c r="U26" s="47"/>
      <c r="V26" s="47"/>
      <c r="W26" s="13"/>
      <c r="X26" s="47"/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/>
      <c r="F27" s="12"/>
      <c r="G27" s="12"/>
      <c r="H27" s="26"/>
      <c r="I27" s="12"/>
      <c r="J27" s="20"/>
      <c r="K27" s="22"/>
      <c r="L27" s="22"/>
      <c r="M27" s="13"/>
      <c r="N27" s="12"/>
      <c r="O27" s="22"/>
      <c r="P27" s="22"/>
      <c r="Q27" s="22"/>
      <c r="R27" s="13"/>
      <c r="S27" s="22"/>
      <c r="T27" s="47"/>
      <c r="U27" s="47"/>
      <c r="V27" s="47"/>
      <c r="W27" s="13"/>
      <c r="X27" s="47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17000</v>
      </c>
      <c r="F28" s="12">
        <f>SUM(K28,P28)</f>
        <v>17000</v>
      </c>
      <c r="G28" s="12">
        <f>SUM(L28,Q28)</f>
        <v>0</v>
      </c>
      <c r="H28" s="26">
        <f>G28/F28*100</f>
        <v>0</v>
      </c>
      <c r="I28" s="12">
        <f>SUM(N28,S28)</f>
        <v>16231</v>
      </c>
      <c r="J28" s="20">
        <v>17000</v>
      </c>
      <c r="K28" s="22">
        <v>17000</v>
      </c>
      <c r="L28" s="22"/>
      <c r="M28" s="13">
        <f>L28/K28*100</f>
        <v>0</v>
      </c>
      <c r="N28" s="12">
        <v>16231</v>
      </c>
      <c r="O28" s="22"/>
      <c r="P28" s="22"/>
      <c r="Q28" s="22"/>
      <c r="R28" s="13"/>
      <c r="S28" s="22"/>
      <c r="T28" s="47"/>
      <c r="U28" s="47"/>
      <c r="V28" s="47"/>
      <c r="W28" s="13"/>
      <c r="X28" s="47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>SUM(J29,O25)</f>
        <v>30</v>
      </c>
      <c r="F29" s="12">
        <f>SUM(K29,P25)</f>
        <v>30</v>
      </c>
      <c r="G29" s="12">
        <f>SUM(L29,Q25)</f>
        <v>30</v>
      </c>
      <c r="H29" s="13">
        <f t="shared" ref="H29" si="5">G29/F29*100</f>
        <v>100</v>
      </c>
      <c r="I29" s="12">
        <f>SUM(N29,S25)</f>
        <v>30</v>
      </c>
      <c r="J29" s="20">
        <v>30</v>
      </c>
      <c r="K29" s="21">
        <v>30</v>
      </c>
      <c r="L29" s="21">
        <v>30</v>
      </c>
      <c r="M29" s="13">
        <f t="shared" ref="M29" si="6">L29/K29*100</f>
        <v>100</v>
      </c>
      <c r="N29" s="22">
        <v>30</v>
      </c>
      <c r="O29" s="22"/>
      <c r="P29" s="22"/>
      <c r="Q29" s="22"/>
      <c r="R29" s="13"/>
      <c r="S29" s="22"/>
      <c r="T29" s="47"/>
      <c r="U29" s="47"/>
      <c r="V29" s="47"/>
      <c r="W29" s="13"/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/>
      <c r="F30" s="12"/>
      <c r="G30" s="12"/>
      <c r="H30" s="26"/>
      <c r="I30" s="12"/>
      <c r="J30" s="20"/>
      <c r="K30" s="22"/>
      <c r="L30" s="22"/>
      <c r="M30" s="13"/>
      <c r="N30" s="22"/>
      <c r="O30" s="22"/>
      <c r="P30" s="22"/>
      <c r="Q30" s="22"/>
      <c r="R30" s="13"/>
      <c r="S30" s="22"/>
      <c r="T30" s="47"/>
      <c r="U30" s="47"/>
      <c r="V30" s="47"/>
      <c r="W30" s="13"/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/>
      <c r="F31" s="12"/>
      <c r="G31" s="12"/>
      <c r="H31" s="26"/>
      <c r="I31" s="12"/>
      <c r="J31" s="20"/>
      <c r="K31" s="29"/>
      <c r="L31" s="29"/>
      <c r="M31" s="13"/>
      <c r="N31" s="29"/>
      <c r="O31" s="29"/>
      <c r="P31" s="29"/>
      <c r="Q31" s="29"/>
      <c r="R31" s="13"/>
      <c r="S31" s="29"/>
      <c r="T31" s="30"/>
      <c r="U31" s="30"/>
      <c r="V31" s="30"/>
      <c r="W31" s="13"/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/>
      <c r="F32" s="12"/>
      <c r="G32" s="12"/>
      <c r="H32" s="26"/>
      <c r="I32" s="12"/>
      <c r="J32" s="32"/>
      <c r="K32" s="30"/>
      <c r="L32" s="30"/>
      <c r="M32" s="13"/>
      <c r="N32" s="30"/>
      <c r="O32" s="30"/>
      <c r="P32" s="30"/>
      <c r="Q32" s="30"/>
      <c r="R32" s="13"/>
      <c r="S32" s="30"/>
      <c r="T32" s="30"/>
      <c r="U32" s="30"/>
      <c r="V32" s="30"/>
      <c r="W32" s="13"/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110230</v>
      </c>
      <c r="H33" s="34" t="e">
        <f t="shared" si="0"/>
        <v>#DIV/0!</v>
      </c>
      <c r="I33" s="8">
        <f>I6-I11</f>
        <v>117210</v>
      </c>
      <c r="J33" s="8">
        <f>J6-J11</f>
        <v>0</v>
      </c>
      <c r="K33" s="8">
        <f>K6-K11</f>
        <v>0</v>
      </c>
      <c r="L33" s="8">
        <f>L6-L11</f>
        <v>110230</v>
      </c>
      <c r="M33" s="9"/>
      <c r="N33" s="8">
        <f>N6-N11</f>
        <v>117210</v>
      </c>
      <c r="O33" s="8"/>
      <c r="P33" s="8"/>
      <c r="Q33" s="8"/>
      <c r="R33" s="9"/>
      <c r="S33" s="8"/>
      <c r="T33" s="8"/>
      <c r="U33" s="8"/>
      <c r="V33" s="8"/>
      <c r="W33" s="9"/>
      <c r="X33" s="8"/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24168</v>
      </c>
      <c r="F34" s="37">
        <v>25012</v>
      </c>
      <c r="G34" s="37">
        <v>24363</v>
      </c>
      <c r="H34" s="26">
        <f t="shared" si="0"/>
        <v>97.405245482168553</v>
      </c>
      <c r="I34" s="37">
        <v>23431</v>
      </c>
      <c r="J34" s="37">
        <v>24168</v>
      </c>
      <c r="K34" s="37">
        <v>25012</v>
      </c>
      <c r="L34" s="37">
        <v>24363</v>
      </c>
      <c r="M34" s="26">
        <f t="shared" ref="M34:M36" si="7">L34/K34*100</f>
        <v>97.405245482168553</v>
      </c>
      <c r="N34" s="37">
        <v>23431</v>
      </c>
      <c r="O34" s="38"/>
      <c r="P34" s="38"/>
      <c r="Q34" s="38"/>
      <c r="R34" s="9"/>
      <c r="S34" s="38"/>
      <c r="T34" s="38"/>
      <c r="U34" s="38"/>
      <c r="V34" s="38"/>
      <c r="W34" s="9"/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5</v>
      </c>
      <c r="F35" s="37">
        <v>5</v>
      </c>
      <c r="G35" s="37">
        <v>5</v>
      </c>
      <c r="H35" s="26">
        <f t="shared" si="0"/>
        <v>100</v>
      </c>
      <c r="I35" s="37">
        <v>5</v>
      </c>
      <c r="J35" s="37">
        <v>5</v>
      </c>
      <c r="K35" s="37">
        <v>5</v>
      </c>
      <c r="L35" s="37">
        <v>5</v>
      </c>
      <c r="M35" s="26">
        <f t="shared" si="7"/>
        <v>100</v>
      </c>
      <c r="N35" s="37">
        <v>5</v>
      </c>
      <c r="O35" s="38"/>
      <c r="P35" s="38"/>
      <c r="Q35" s="38"/>
      <c r="R35" s="9"/>
      <c r="S35" s="38"/>
      <c r="T35" s="38"/>
      <c r="U35" s="38"/>
      <c r="V35" s="38"/>
      <c r="W35" s="9"/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6</v>
      </c>
      <c r="F36" s="37">
        <v>6</v>
      </c>
      <c r="G36" s="37">
        <v>6</v>
      </c>
      <c r="H36" s="26">
        <f t="shared" si="0"/>
        <v>100</v>
      </c>
      <c r="I36" s="37">
        <v>6</v>
      </c>
      <c r="J36" s="37">
        <v>6</v>
      </c>
      <c r="K36" s="37">
        <v>6</v>
      </c>
      <c r="L36" s="37">
        <v>6</v>
      </c>
      <c r="M36" s="26">
        <f t="shared" si="7"/>
        <v>100</v>
      </c>
      <c r="N36" s="37">
        <v>6</v>
      </c>
      <c r="O36" s="38"/>
      <c r="P36" s="38"/>
      <c r="Q36" s="38"/>
      <c r="R36" s="9"/>
      <c r="S36" s="38"/>
      <c r="T36" s="38"/>
      <c r="U36" s="38"/>
      <c r="V36" s="38"/>
      <c r="W36" s="9"/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100" orientation="landscape" useFirstPageNumber="1" r:id="rId1"/>
  <headerFoot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5" workbookViewId="0">
      <selection activeCell="A30" sqref="A30:XFD34"/>
    </sheetView>
  </sheetViews>
  <sheetFormatPr defaultRowHeight="15" customHeight="1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5" customHeight="1" x14ac:dyDescent="0.3">
      <c r="A1" s="936" t="s">
        <v>211</v>
      </c>
      <c r="B1" s="936"/>
      <c r="C1" s="936"/>
      <c r="D1" s="936"/>
      <c r="E1" s="936"/>
      <c r="F1" s="936"/>
      <c r="G1" s="936"/>
      <c r="H1" s="936"/>
      <c r="I1" s="936"/>
    </row>
    <row r="3" spans="1:14" s="333" customFormat="1" ht="15" customHeight="1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5" customHeight="1" x14ac:dyDescent="0.2"/>
    <row r="5" spans="1:14" s="336" customFormat="1" ht="15" customHeight="1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15" customHeight="1" x14ac:dyDescent="0.2">
      <c r="A6" s="911" t="s">
        <v>107</v>
      </c>
      <c r="B6" s="912"/>
      <c r="C6" s="337">
        <v>110230</v>
      </c>
      <c r="D6" s="914" t="s">
        <v>212</v>
      </c>
      <c r="E6" s="914"/>
      <c r="F6" s="914"/>
      <c r="G6" s="914"/>
      <c r="H6" s="914"/>
      <c r="I6" s="914"/>
    </row>
    <row r="7" spans="1:14" s="338" customFormat="1" ht="15" customHeight="1" x14ac:dyDescent="0.15">
      <c r="A7" s="911" t="s">
        <v>92</v>
      </c>
      <c r="B7" s="912"/>
      <c r="C7" s="337">
        <v>0</v>
      </c>
      <c r="D7" s="914"/>
      <c r="E7" s="914"/>
      <c r="F7" s="914"/>
      <c r="G7" s="914"/>
      <c r="H7" s="914"/>
      <c r="I7" s="914"/>
    </row>
    <row r="8" spans="1:14" s="338" customFormat="1" ht="15" customHeight="1" x14ac:dyDescent="0.15">
      <c r="A8" s="911" t="s">
        <v>110</v>
      </c>
      <c r="B8" s="912"/>
      <c r="C8" s="337">
        <v>0</v>
      </c>
      <c r="D8" s="915"/>
      <c r="E8" s="916"/>
      <c r="F8" s="916"/>
      <c r="G8" s="916"/>
      <c r="H8" s="916"/>
      <c r="I8" s="917"/>
    </row>
    <row r="9" spans="1:14" s="334" customFormat="1" ht="15" customHeight="1" x14ac:dyDescent="0.2">
      <c r="C9" s="339"/>
    </row>
    <row r="10" spans="1:14" s="340" customFormat="1" ht="15" customHeight="1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5" customHeight="1" x14ac:dyDescent="0.2">
      <c r="C11" s="339"/>
    </row>
    <row r="12" spans="1:14" s="342" customFormat="1" ht="15" customHeight="1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14" s="334" customFormat="1" ht="15" customHeight="1" x14ac:dyDescent="0.2">
      <c r="A13" s="437" t="s">
        <v>187</v>
      </c>
      <c r="B13" s="438">
        <v>156.24</v>
      </c>
      <c r="C13" s="438">
        <v>24868.49</v>
      </c>
      <c r="D13" s="438"/>
      <c r="E13" s="438">
        <v>25024.73</v>
      </c>
      <c r="F13" s="439">
        <v>25024.73</v>
      </c>
      <c r="G13" s="990" t="s">
        <v>213</v>
      </c>
      <c r="H13" s="869"/>
      <c r="I13" s="991"/>
    </row>
    <row r="14" spans="1:14" s="334" customFormat="1" ht="15" customHeight="1" x14ac:dyDescent="0.2">
      <c r="A14" s="440" t="s">
        <v>214</v>
      </c>
      <c r="B14" s="441">
        <v>0</v>
      </c>
      <c r="C14" s="441">
        <v>0</v>
      </c>
      <c r="D14" s="441"/>
      <c r="E14" s="441"/>
      <c r="F14" s="442"/>
      <c r="G14" s="857"/>
      <c r="H14" s="858"/>
      <c r="I14" s="859"/>
      <c r="N14" s="349"/>
    </row>
    <row r="15" spans="1:14" s="334" customFormat="1" ht="15" customHeight="1" x14ac:dyDescent="0.2">
      <c r="A15" s="440" t="s">
        <v>191</v>
      </c>
      <c r="B15" s="441">
        <v>13673.73</v>
      </c>
      <c r="C15" s="441">
        <v>25000</v>
      </c>
      <c r="D15" s="441"/>
      <c r="E15" s="441">
        <v>38673.730000000003</v>
      </c>
      <c r="F15" s="442">
        <v>38673.730000000003</v>
      </c>
      <c r="G15" s="857" t="s">
        <v>215</v>
      </c>
      <c r="H15" s="858"/>
      <c r="I15" s="859"/>
    </row>
    <row r="16" spans="1:14" s="334" customFormat="1" ht="15" customHeight="1" x14ac:dyDescent="0.2">
      <c r="A16" s="443" t="s">
        <v>193</v>
      </c>
      <c r="B16" s="444">
        <v>22696.84</v>
      </c>
      <c r="C16" s="444">
        <v>14618</v>
      </c>
      <c r="D16" s="444">
        <v>5520</v>
      </c>
      <c r="E16" s="444">
        <v>31794.84</v>
      </c>
      <c r="F16" s="445">
        <v>29082.84</v>
      </c>
      <c r="G16" s="992" t="s">
        <v>216</v>
      </c>
      <c r="H16" s="993"/>
      <c r="I16" s="994"/>
    </row>
    <row r="17" spans="1:9" s="334" customFormat="1" ht="15" customHeight="1" x14ac:dyDescent="0.2">
      <c r="A17" s="353" t="s">
        <v>90</v>
      </c>
      <c r="B17" s="354">
        <f>SUM(B13:B16)</f>
        <v>36526.81</v>
      </c>
      <c r="C17" s="354">
        <f t="shared" ref="C17:F17" si="0">SUM(C13:C16)</f>
        <v>64486.490000000005</v>
      </c>
      <c r="D17" s="354">
        <f t="shared" si="0"/>
        <v>5520</v>
      </c>
      <c r="E17" s="354">
        <f t="shared" si="0"/>
        <v>95493.3</v>
      </c>
      <c r="F17" s="354">
        <f t="shared" si="0"/>
        <v>92781.3</v>
      </c>
      <c r="G17" s="910"/>
      <c r="H17" s="910"/>
      <c r="I17" s="910"/>
    </row>
    <row r="18" spans="1:9" s="355" customFormat="1" ht="15" customHeight="1" x14ac:dyDescent="0.2">
      <c r="C18" s="356"/>
    </row>
    <row r="19" spans="1:9" s="340" customFormat="1" ht="15" customHeight="1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5" customHeight="1" x14ac:dyDescent="0.2">
      <c r="A20" s="334" t="s">
        <v>217</v>
      </c>
      <c r="C20" s="339"/>
    </row>
    <row r="21" spans="1:9" s="340" customFormat="1" ht="15" customHeight="1" x14ac:dyDescent="0.2">
      <c r="A21" s="861" t="s">
        <v>140</v>
      </c>
      <c r="B21" s="861"/>
      <c r="C21" s="861"/>
      <c r="D21" s="861"/>
      <c r="E21" s="861"/>
      <c r="F21" s="861"/>
      <c r="G21" s="861"/>
      <c r="H21" s="861"/>
      <c r="I21" s="861"/>
    </row>
    <row r="22" spans="1:9" s="334" customFormat="1" ht="15" customHeight="1" x14ac:dyDescent="0.2">
      <c r="A22" s="334" t="s">
        <v>218</v>
      </c>
      <c r="C22" s="339"/>
    </row>
    <row r="23" spans="1:9" s="340" customFormat="1" ht="15" customHeight="1" x14ac:dyDescent="0.2">
      <c r="A23" s="861" t="s">
        <v>143</v>
      </c>
      <c r="B23" s="861"/>
      <c r="C23" s="861"/>
      <c r="D23" s="861"/>
      <c r="E23" s="861"/>
      <c r="F23" s="861"/>
      <c r="G23" s="861"/>
      <c r="H23" s="861"/>
      <c r="I23" s="861"/>
    </row>
    <row r="24" spans="1:9" s="334" customFormat="1" ht="15" customHeight="1" x14ac:dyDescent="0.2">
      <c r="A24" s="334" t="s">
        <v>219</v>
      </c>
      <c r="C24" s="369"/>
    </row>
    <row r="25" spans="1:9" s="334" customFormat="1" ht="15" customHeight="1" x14ac:dyDescent="0.2">
      <c r="A25" s="861" t="s">
        <v>148</v>
      </c>
      <c r="B25" s="865"/>
      <c r="C25" s="865"/>
      <c r="D25" s="865"/>
      <c r="E25" s="865"/>
      <c r="F25" s="865"/>
      <c r="G25" s="865"/>
      <c r="H25" s="865"/>
      <c r="I25" s="865"/>
    </row>
    <row r="26" spans="1:9" s="334" customFormat="1" ht="15" customHeight="1" x14ac:dyDescent="0.2">
      <c r="A26" s="334" t="s">
        <v>220</v>
      </c>
      <c r="C26" s="369"/>
    </row>
    <row r="27" spans="1:9" s="340" customFormat="1" ht="15" customHeight="1" x14ac:dyDescent="0.2">
      <c r="A27" s="860" t="s">
        <v>172</v>
      </c>
      <c r="B27" s="860"/>
      <c r="C27" s="860"/>
      <c r="D27" s="860"/>
      <c r="E27" s="860"/>
      <c r="F27" s="860"/>
      <c r="G27" s="860"/>
      <c r="H27" s="860"/>
      <c r="I27" s="860"/>
    </row>
    <row r="28" spans="1:9" s="334" customFormat="1" ht="15" customHeight="1" x14ac:dyDescent="0.2">
      <c r="A28" s="334" t="s">
        <v>221</v>
      </c>
    </row>
    <row r="29" spans="1:9" s="333" customFormat="1" ht="15" customHeight="1" x14ac:dyDescent="0.15">
      <c r="A29" s="861" t="s">
        <v>175</v>
      </c>
      <c r="B29" s="861"/>
      <c r="C29" s="861"/>
      <c r="D29" s="861"/>
      <c r="E29" s="861"/>
      <c r="F29" s="861"/>
      <c r="G29" s="861"/>
      <c r="H29" s="861"/>
      <c r="I29" s="861"/>
    </row>
    <row r="30" spans="1:9" s="334" customFormat="1" ht="40.5" customHeight="1" x14ac:dyDescent="0.2">
      <c r="A30" s="862" t="s">
        <v>222</v>
      </c>
      <c r="B30" s="863"/>
      <c r="C30" s="863"/>
      <c r="D30" s="863"/>
      <c r="E30" s="863"/>
      <c r="F30" s="863"/>
      <c r="G30" s="863"/>
      <c r="H30" s="863"/>
      <c r="I30" s="864"/>
    </row>
    <row r="31" spans="1:9" s="334" customFormat="1" ht="40.5" customHeight="1" x14ac:dyDescent="0.2">
      <c r="A31" s="857"/>
      <c r="B31" s="858"/>
      <c r="C31" s="858"/>
      <c r="D31" s="858"/>
      <c r="E31" s="858"/>
      <c r="F31" s="858"/>
      <c r="G31" s="858"/>
      <c r="H31" s="858"/>
      <c r="I31" s="859"/>
    </row>
    <row r="32" spans="1:9" s="334" customFormat="1" ht="40.5" customHeight="1" x14ac:dyDescent="0.2">
      <c r="A32" s="857" t="s">
        <v>223</v>
      </c>
      <c r="B32" s="858"/>
      <c r="C32" s="858"/>
      <c r="D32" s="858"/>
      <c r="E32" s="858"/>
      <c r="F32" s="858"/>
      <c r="G32" s="858"/>
      <c r="H32" s="858"/>
      <c r="I32" s="859"/>
    </row>
    <row r="33" spans="1:1" ht="40.5" customHeight="1" x14ac:dyDescent="0.3">
      <c r="A33" s="391"/>
    </row>
    <row r="34" spans="1:1" ht="40.5" customHeight="1" x14ac:dyDescent="0.3">
      <c r="A34" s="391"/>
    </row>
  </sheetData>
  <mergeCells count="26">
    <mergeCell ref="A1:I1"/>
    <mergeCell ref="A3:I3"/>
    <mergeCell ref="A5:B5"/>
    <mergeCell ref="D5:I5"/>
    <mergeCell ref="A6:B6"/>
    <mergeCell ref="D6:I6"/>
    <mergeCell ref="A19:I19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A31:I31"/>
    <mergeCell ref="A32:I32"/>
    <mergeCell ref="A21:I21"/>
    <mergeCell ref="A23:I23"/>
    <mergeCell ref="A25:I25"/>
    <mergeCell ref="A27:I27"/>
    <mergeCell ref="A29:I29"/>
    <mergeCell ref="A30:I30"/>
  </mergeCells>
  <pageMargins left="0.70866141732283472" right="0.70866141732283472" top="0.78740157480314965" bottom="0.78740157480314965" header="0.31496062992125984" footer="0.31496062992125984"/>
  <pageSetup paperSize="9" scale="61" firstPageNumber="101" fitToHeight="3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opLeftCell="A55"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8.75" x14ac:dyDescent="0.3">
      <c r="A1" s="919" t="s">
        <v>425</v>
      </c>
      <c r="B1" s="936"/>
      <c r="C1" s="936"/>
      <c r="D1" s="936"/>
      <c r="E1" s="936"/>
      <c r="F1" s="936"/>
      <c r="G1" s="936"/>
      <c r="H1" s="936"/>
      <c r="I1" s="936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35.25" customHeight="1" x14ac:dyDescent="0.2">
      <c r="A6" s="911" t="s">
        <v>107</v>
      </c>
      <c r="B6" s="912"/>
      <c r="C6" s="337">
        <v>1044398.7</v>
      </c>
      <c r="D6" s="913" t="s">
        <v>426</v>
      </c>
      <c r="E6" s="913"/>
      <c r="F6" s="913"/>
      <c r="G6" s="913"/>
      <c r="H6" s="913"/>
      <c r="I6" s="913"/>
    </row>
    <row r="7" spans="1:14" s="338" customFormat="1" ht="11.25" x14ac:dyDescent="0.15">
      <c r="A7" s="911" t="s">
        <v>92</v>
      </c>
      <c r="B7" s="912"/>
      <c r="C7" s="337">
        <v>0</v>
      </c>
      <c r="D7" s="913" t="s">
        <v>427</v>
      </c>
      <c r="E7" s="913"/>
      <c r="F7" s="913"/>
      <c r="G7" s="913"/>
      <c r="H7" s="913"/>
      <c r="I7" s="913"/>
    </row>
    <row r="8" spans="1:14" s="338" customFormat="1" ht="10.5" x14ac:dyDescent="0.15">
      <c r="A8" s="911" t="s">
        <v>110</v>
      </c>
      <c r="B8" s="912"/>
      <c r="C8" s="337">
        <v>0</v>
      </c>
      <c r="D8" s="915"/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35" t="s">
        <v>118</v>
      </c>
      <c r="H12" s="935"/>
      <c r="I12" s="935"/>
    </row>
    <row r="13" spans="1:14" s="334" customFormat="1" ht="25.5" customHeight="1" x14ac:dyDescent="0.2">
      <c r="A13" s="437" t="s">
        <v>187</v>
      </c>
      <c r="B13" s="591">
        <v>55360.74</v>
      </c>
      <c r="C13" s="592">
        <v>184696.29</v>
      </c>
      <c r="D13" s="592">
        <v>184696.29</v>
      </c>
      <c r="E13" s="592">
        <v>55360.74</v>
      </c>
      <c r="F13" s="593">
        <v>55360.74</v>
      </c>
      <c r="G13" s="904" t="s">
        <v>428</v>
      </c>
      <c r="H13" s="905"/>
      <c r="I13" s="906"/>
    </row>
    <row r="14" spans="1:14" s="334" customFormat="1" ht="22.5" x14ac:dyDescent="0.2">
      <c r="A14" s="437" t="s">
        <v>429</v>
      </c>
      <c r="B14" s="591">
        <v>0</v>
      </c>
      <c r="C14" s="592">
        <v>8500</v>
      </c>
      <c r="D14" s="592">
        <v>2000</v>
      </c>
      <c r="E14" s="592">
        <v>6500</v>
      </c>
      <c r="F14" s="593">
        <v>6500</v>
      </c>
      <c r="G14" s="594" t="s">
        <v>430</v>
      </c>
      <c r="H14" s="595"/>
      <c r="I14" s="596"/>
    </row>
    <row r="15" spans="1:14" s="334" customFormat="1" ht="86.25" customHeight="1" x14ac:dyDescent="0.2">
      <c r="A15" s="440" t="s">
        <v>214</v>
      </c>
      <c r="B15" s="347">
        <v>117555.36</v>
      </c>
      <c r="C15" s="597">
        <v>483468.29</v>
      </c>
      <c r="D15" s="597">
        <v>207306</v>
      </c>
      <c r="E15" s="597">
        <v>393717.65</v>
      </c>
      <c r="F15" s="598">
        <v>393717.65</v>
      </c>
      <c r="G15" s="862" t="s">
        <v>431</v>
      </c>
      <c r="H15" s="863"/>
      <c r="I15" s="864"/>
      <c r="N15" s="349"/>
    </row>
    <row r="16" spans="1:14" s="334" customFormat="1" ht="24" customHeight="1" x14ac:dyDescent="0.2">
      <c r="A16" s="440" t="s">
        <v>191</v>
      </c>
      <c r="B16" s="347">
        <v>42245.49</v>
      </c>
      <c r="C16" s="597">
        <v>0</v>
      </c>
      <c r="D16" s="597">
        <v>0</v>
      </c>
      <c r="E16" s="597">
        <v>42245.49</v>
      </c>
      <c r="F16" s="598">
        <v>42245.49</v>
      </c>
      <c r="G16" s="862" t="s">
        <v>432</v>
      </c>
      <c r="H16" s="863"/>
      <c r="I16" s="864"/>
    </row>
    <row r="17" spans="1:9" s="334" customFormat="1" ht="108" customHeight="1" x14ac:dyDescent="0.2">
      <c r="A17" s="443" t="s">
        <v>193</v>
      </c>
      <c r="B17" s="599">
        <v>76375.210000000006</v>
      </c>
      <c r="C17" s="600">
        <v>66693.539999999994</v>
      </c>
      <c r="D17" s="600">
        <v>13000</v>
      </c>
      <c r="E17" s="600">
        <v>130068.75</v>
      </c>
      <c r="F17" s="601">
        <v>119757.53</v>
      </c>
      <c r="G17" s="907" t="s">
        <v>433</v>
      </c>
      <c r="H17" s="908"/>
      <c r="I17" s="909"/>
    </row>
    <row r="18" spans="1:9" s="334" customFormat="1" ht="11.25" x14ac:dyDescent="0.2">
      <c r="A18" s="353" t="s">
        <v>90</v>
      </c>
      <c r="B18" s="354">
        <f>SUM(B13:B17)</f>
        <v>291536.8</v>
      </c>
      <c r="C18" s="354">
        <f t="shared" ref="C18:F18" si="0">SUM(C13:C17)</f>
        <v>743358.12</v>
      </c>
      <c r="D18" s="354">
        <f t="shared" si="0"/>
        <v>407002.29000000004</v>
      </c>
      <c r="E18" s="354">
        <f t="shared" si="0"/>
        <v>627892.63</v>
      </c>
      <c r="F18" s="354">
        <f t="shared" si="0"/>
        <v>617581.41</v>
      </c>
      <c r="G18" s="910"/>
      <c r="H18" s="910"/>
      <c r="I18" s="910"/>
    </row>
    <row r="19" spans="1:9" s="355" customFormat="1" ht="11.25" x14ac:dyDescent="0.2">
      <c r="C19" s="356"/>
    </row>
    <row r="20" spans="1:9" s="340" customFormat="1" ht="11.25" x14ac:dyDescent="0.2">
      <c r="A20" s="861" t="s">
        <v>129</v>
      </c>
      <c r="B20" s="861"/>
      <c r="C20" s="861"/>
      <c r="D20" s="861"/>
      <c r="E20" s="861"/>
      <c r="F20" s="861"/>
      <c r="G20" s="861"/>
      <c r="H20" s="861"/>
      <c r="I20" s="861"/>
    </row>
    <row r="21" spans="1:9" s="334" customFormat="1" ht="11.25" x14ac:dyDescent="0.2">
      <c r="C21" s="339"/>
    </row>
    <row r="22" spans="1:9" s="334" customFormat="1" ht="11.25" x14ac:dyDescent="0.2">
      <c r="A22" s="335" t="s">
        <v>130</v>
      </c>
      <c r="B22" s="335" t="s">
        <v>16</v>
      </c>
      <c r="C22" s="357" t="s">
        <v>131</v>
      </c>
      <c r="D22" s="902" t="s">
        <v>132</v>
      </c>
      <c r="E22" s="902"/>
      <c r="F22" s="902"/>
      <c r="G22" s="902"/>
      <c r="H22" s="902"/>
      <c r="I22" s="902"/>
    </row>
    <row r="23" spans="1:9" s="334" customFormat="1" ht="22.5" customHeight="1" x14ac:dyDescent="0.2">
      <c r="A23" s="602" t="s">
        <v>434</v>
      </c>
      <c r="B23" s="358">
        <v>0</v>
      </c>
      <c r="C23" s="368">
        <v>0</v>
      </c>
      <c r="D23" s="897"/>
      <c r="E23" s="898"/>
      <c r="F23" s="898"/>
      <c r="G23" s="898"/>
      <c r="H23" s="898"/>
      <c r="I23" s="899"/>
    </row>
    <row r="24" spans="1:9" s="338" customFormat="1" ht="11.25" x14ac:dyDescent="0.2">
      <c r="A24" s="365" t="s">
        <v>90</v>
      </c>
      <c r="B24" s="366">
        <f>SUM(B23:B23)</f>
        <v>0</v>
      </c>
      <c r="C24" s="900"/>
      <c r="D24" s="900"/>
      <c r="E24" s="900"/>
      <c r="F24" s="900"/>
      <c r="G24" s="900"/>
      <c r="H24" s="900"/>
      <c r="I24" s="901"/>
    </row>
    <row r="25" spans="1:9" s="355" customFormat="1" ht="11.25" x14ac:dyDescent="0.2">
      <c r="C25" s="356"/>
    </row>
    <row r="26" spans="1:9" s="340" customFormat="1" ht="11.25" x14ac:dyDescent="0.2">
      <c r="A26" s="861" t="s">
        <v>140</v>
      </c>
      <c r="B26" s="861"/>
      <c r="C26" s="861"/>
      <c r="D26" s="861"/>
      <c r="E26" s="861"/>
      <c r="F26" s="861"/>
      <c r="G26" s="861"/>
      <c r="H26" s="861"/>
      <c r="I26" s="861"/>
    </row>
    <row r="27" spans="1:9" s="334" customFormat="1" ht="11.25" x14ac:dyDescent="0.2">
      <c r="C27" s="339"/>
    </row>
    <row r="28" spans="1:9" s="334" customFormat="1" ht="11.25" x14ac:dyDescent="0.2">
      <c r="A28" s="335" t="s">
        <v>130</v>
      </c>
      <c r="B28" s="335" t="s">
        <v>16</v>
      </c>
      <c r="C28" s="357" t="s">
        <v>131</v>
      </c>
      <c r="D28" s="902" t="s">
        <v>141</v>
      </c>
      <c r="E28" s="902"/>
      <c r="F28" s="902"/>
      <c r="G28" s="902"/>
      <c r="H28" s="902"/>
      <c r="I28" s="903"/>
    </row>
    <row r="29" spans="1:9" s="334" customFormat="1" ht="24" customHeight="1" x14ac:dyDescent="0.2">
      <c r="A29" s="602" t="s">
        <v>435</v>
      </c>
      <c r="B29" s="358">
        <v>0</v>
      </c>
      <c r="C29" s="368">
        <v>0</v>
      </c>
      <c r="D29" s="897"/>
      <c r="E29" s="898"/>
      <c r="F29" s="898"/>
      <c r="G29" s="898"/>
      <c r="H29" s="898"/>
      <c r="I29" s="899"/>
    </row>
    <row r="30" spans="1:9" s="338" customFormat="1" ht="10.5" x14ac:dyDescent="0.15">
      <c r="A30" s="365" t="s">
        <v>90</v>
      </c>
      <c r="B30" s="366">
        <f>SUM(B29:B29)</f>
        <v>0</v>
      </c>
      <c r="C30" s="891"/>
      <c r="D30" s="891"/>
      <c r="E30" s="891"/>
      <c r="F30" s="891"/>
      <c r="G30" s="891"/>
      <c r="H30" s="891"/>
      <c r="I30" s="891"/>
    </row>
    <row r="31" spans="1:9" s="334" customFormat="1" ht="11.25" x14ac:dyDescent="0.2">
      <c r="C31" s="339"/>
    </row>
    <row r="32" spans="1:9" s="340" customFormat="1" ht="11.25" x14ac:dyDescent="0.2">
      <c r="A32" s="861" t="s">
        <v>143</v>
      </c>
      <c r="B32" s="861"/>
      <c r="C32" s="861"/>
      <c r="D32" s="861"/>
      <c r="E32" s="861"/>
      <c r="F32" s="861"/>
      <c r="G32" s="861"/>
      <c r="H32" s="861"/>
      <c r="I32" s="861"/>
    </row>
    <row r="33" spans="1:9" s="334" customFormat="1" ht="11.25" x14ac:dyDescent="0.2">
      <c r="C33" s="369"/>
    </row>
    <row r="34" spans="1:9" s="334" customFormat="1" ht="11.25" x14ac:dyDescent="0.2">
      <c r="A34" s="335" t="s">
        <v>144</v>
      </c>
      <c r="B34" s="357" t="s">
        <v>145</v>
      </c>
      <c r="C34" s="892" t="s">
        <v>146</v>
      </c>
      <c r="D34" s="892"/>
      <c r="E34" s="892"/>
      <c r="F34" s="892"/>
      <c r="G34" s="892"/>
      <c r="H34" s="892"/>
      <c r="I34" s="893"/>
    </row>
    <row r="35" spans="1:9" s="334" customFormat="1" ht="11.25" x14ac:dyDescent="0.2">
      <c r="A35" s="370">
        <v>8500</v>
      </c>
      <c r="B35" s="370">
        <v>2000</v>
      </c>
      <c r="C35" s="934" t="s">
        <v>436</v>
      </c>
      <c r="D35" s="934"/>
      <c r="E35" s="934"/>
      <c r="F35" s="934"/>
      <c r="G35" s="934"/>
      <c r="H35" s="934"/>
      <c r="I35" s="934"/>
    </row>
    <row r="36" spans="1:9" s="334" customFormat="1" ht="11.25" x14ac:dyDescent="0.2">
      <c r="A36" s="462">
        <v>0</v>
      </c>
      <c r="B36" s="462">
        <v>0</v>
      </c>
      <c r="C36" s="877"/>
      <c r="D36" s="877"/>
      <c r="E36" s="877"/>
      <c r="F36" s="877"/>
      <c r="G36" s="877"/>
      <c r="H36" s="877"/>
      <c r="I36" s="877"/>
    </row>
    <row r="37" spans="1:9" s="338" customFormat="1" ht="10.5" x14ac:dyDescent="0.15">
      <c r="A37" s="371">
        <f>SUM(A35:A36)</f>
        <v>8500</v>
      </c>
      <c r="B37" s="371">
        <f>SUM(B35:B36)</f>
        <v>2000</v>
      </c>
      <c r="C37" s="878" t="s">
        <v>90</v>
      </c>
      <c r="D37" s="879"/>
      <c r="E37" s="879"/>
      <c r="F37" s="879"/>
      <c r="G37" s="879"/>
      <c r="H37" s="879"/>
      <c r="I37" s="880"/>
    </row>
    <row r="38" spans="1:9" s="334" customFormat="1" ht="11.25" x14ac:dyDescent="0.2">
      <c r="C38" s="369"/>
    </row>
    <row r="39" spans="1:9" s="334" customFormat="1" ht="11.25" x14ac:dyDescent="0.2">
      <c r="A39" s="861" t="s">
        <v>148</v>
      </c>
      <c r="B39" s="865"/>
      <c r="C39" s="865"/>
      <c r="D39" s="865"/>
      <c r="E39" s="865"/>
      <c r="F39" s="865"/>
      <c r="G39" s="865"/>
      <c r="H39" s="865"/>
      <c r="I39" s="865"/>
    </row>
    <row r="40" spans="1:9" s="334" customFormat="1" ht="11.25" x14ac:dyDescent="0.2">
      <c r="C40" s="369"/>
    </row>
    <row r="41" spans="1:9" s="373" customFormat="1" ht="31.5" x14ac:dyDescent="0.25">
      <c r="A41" s="866" t="s">
        <v>149</v>
      </c>
      <c r="B41" s="867"/>
      <c r="C41" s="372" t="s">
        <v>150</v>
      </c>
      <c r="D41" s="372" t="s">
        <v>151</v>
      </c>
      <c r="E41" s="372" t="s">
        <v>152</v>
      </c>
      <c r="F41" s="372" t="s">
        <v>153</v>
      </c>
      <c r="G41" s="372" t="s">
        <v>154</v>
      </c>
    </row>
    <row r="42" spans="1:9" s="334" customFormat="1" ht="11.25" x14ac:dyDescent="0.2">
      <c r="A42" s="933" t="s">
        <v>437</v>
      </c>
      <c r="B42" s="905"/>
      <c r="C42" s="388">
        <v>672</v>
      </c>
      <c r="D42" s="389">
        <v>412000</v>
      </c>
      <c r="E42" s="389">
        <v>0</v>
      </c>
      <c r="F42" s="457">
        <v>42891</v>
      </c>
      <c r="G42" s="457">
        <v>42901</v>
      </c>
    </row>
    <row r="43" spans="1:9" s="334" customFormat="1" ht="11.25" x14ac:dyDescent="0.2">
      <c r="A43" s="603" t="s">
        <v>438</v>
      </c>
      <c r="B43" s="604"/>
      <c r="C43" s="605">
        <v>672</v>
      </c>
      <c r="D43" s="606">
        <v>291000</v>
      </c>
      <c r="E43" s="606">
        <v>0</v>
      </c>
      <c r="F43" s="607">
        <v>42867</v>
      </c>
      <c r="G43" s="607">
        <v>42901</v>
      </c>
    </row>
    <row r="44" spans="1:9" s="334" customFormat="1" ht="11.25" x14ac:dyDescent="0.2">
      <c r="A44" s="604" t="s">
        <v>439</v>
      </c>
      <c r="B44" s="608"/>
      <c r="C44" s="605">
        <v>511</v>
      </c>
      <c r="D44" s="606">
        <v>0</v>
      </c>
      <c r="E44" s="606">
        <v>412000</v>
      </c>
      <c r="F44" s="607">
        <v>42891</v>
      </c>
      <c r="G44" s="609" t="s">
        <v>440</v>
      </c>
    </row>
    <row r="45" spans="1:9" s="334" customFormat="1" ht="11.25" x14ac:dyDescent="0.2">
      <c r="A45" s="870" t="s">
        <v>439</v>
      </c>
      <c r="B45" s="871"/>
      <c r="C45" s="433">
        <v>511</v>
      </c>
      <c r="D45" s="434">
        <v>0</v>
      </c>
      <c r="E45" s="434">
        <v>291000</v>
      </c>
      <c r="F45" s="610">
        <v>42898</v>
      </c>
      <c r="G45" s="611" t="s">
        <v>440</v>
      </c>
    </row>
    <row r="46" spans="1:9" s="334" customFormat="1" ht="11.25" x14ac:dyDescent="0.2">
      <c r="A46" s="872" t="s">
        <v>169</v>
      </c>
      <c r="B46" s="873"/>
      <c r="C46" s="387"/>
      <c r="D46" s="354">
        <f>SUM(D42:D45)</f>
        <v>703000</v>
      </c>
      <c r="E46" s="354">
        <f>SUM(E42:E45)</f>
        <v>703000</v>
      </c>
      <c r="F46" s="881"/>
      <c r="G46" s="882"/>
    </row>
    <row r="47" spans="1:9" s="334" customFormat="1" ht="11.25" x14ac:dyDescent="0.2">
      <c r="C47" s="369"/>
    </row>
    <row r="48" spans="1:9" s="334" customFormat="1" ht="11.25" x14ac:dyDescent="0.2">
      <c r="A48" s="865" t="s">
        <v>327</v>
      </c>
      <c r="B48" s="865"/>
      <c r="C48" s="865"/>
      <c r="D48" s="865"/>
      <c r="E48" s="865"/>
      <c r="F48" s="865"/>
      <c r="G48" s="865"/>
      <c r="H48" s="865"/>
      <c r="I48" s="865"/>
    </row>
    <row r="49" spans="1:9" s="334" customFormat="1" ht="11.25" x14ac:dyDescent="0.2">
      <c r="C49" s="369"/>
    </row>
    <row r="50" spans="1:9" s="373" customFormat="1" ht="31.5" x14ac:dyDescent="0.25">
      <c r="A50" s="866" t="s">
        <v>149</v>
      </c>
      <c r="B50" s="867"/>
      <c r="C50" s="372" t="s">
        <v>150</v>
      </c>
      <c r="D50" s="372" t="s">
        <v>151</v>
      </c>
      <c r="E50" s="372" t="s">
        <v>152</v>
      </c>
      <c r="F50" s="372" t="s">
        <v>153</v>
      </c>
      <c r="G50" s="372" t="s">
        <v>154</v>
      </c>
    </row>
    <row r="51" spans="1:9" s="334" customFormat="1" ht="11.25" customHeight="1" x14ac:dyDescent="0.2">
      <c r="A51" s="933" t="s">
        <v>291</v>
      </c>
      <c r="B51" s="905"/>
      <c r="C51" s="388">
        <v>0</v>
      </c>
      <c r="D51" s="389">
        <v>0</v>
      </c>
      <c r="E51" s="389">
        <v>0</v>
      </c>
      <c r="F51" s="612">
        <v>0</v>
      </c>
      <c r="G51" s="612">
        <v>0</v>
      </c>
    </row>
    <row r="52" spans="1:9" s="334" customFormat="1" ht="11.25" customHeight="1" x14ac:dyDescent="0.2">
      <c r="A52" s="870"/>
      <c r="B52" s="871"/>
      <c r="C52" s="433">
        <v>0</v>
      </c>
      <c r="D52" s="434">
        <v>0</v>
      </c>
      <c r="E52" s="434">
        <v>0</v>
      </c>
      <c r="F52" s="613">
        <v>0</v>
      </c>
      <c r="G52" s="613">
        <v>0</v>
      </c>
    </row>
    <row r="53" spans="1:9" s="334" customFormat="1" ht="11.25" x14ac:dyDescent="0.2">
      <c r="A53" s="872" t="s">
        <v>169</v>
      </c>
      <c r="B53" s="873"/>
      <c r="C53" s="387"/>
      <c r="D53" s="354">
        <f>SUM(D51:D52)</f>
        <v>0</v>
      </c>
      <c r="E53" s="354">
        <f>SUM(E51:E52)</f>
        <v>0</v>
      </c>
      <c r="F53" s="874"/>
      <c r="G53" s="875"/>
    </row>
    <row r="54" spans="1:9" s="334" customFormat="1" ht="11.25" x14ac:dyDescent="0.2">
      <c r="C54" s="369"/>
    </row>
    <row r="55" spans="1:9" s="340" customFormat="1" ht="11.25" x14ac:dyDescent="0.2">
      <c r="A55" s="860" t="s">
        <v>172</v>
      </c>
      <c r="B55" s="860"/>
      <c r="C55" s="860"/>
      <c r="D55" s="860"/>
      <c r="E55" s="860"/>
      <c r="F55" s="860"/>
      <c r="G55" s="860"/>
      <c r="H55" s="860"/>
      <c r="I55" s="860"/>
    </row>
    <row r="56" spans="1:9" s="334" customFormat="1" ht="11.25" x14ac:dyDescent="0.2"/>
    <row r="57" spans="1:9" s="334" customFormat="1" ht="11.25" x14ac:dyDescent="0.2">
      <c r="A57" s="862" t="s">
        <v>441</v>
      </c>
      <c r="B57" s="863"/>
      <c r="C57" s="863"/>
      <c r="D57" s="863"/>
      <c r="E57" s="863"/>
      <c r="F57" s="863"/>
      <c r="G57" s="863"/>
      <c r="H57" s="863"/>
      <c r="I57" s="864"/>
    </row>
    <row r="58" spans="1:9" s="334" customFormat="1" ht="11.25" x14ac:dyDescent="0.2">
      <c r="A58" s="857"/>
      <c r="B58" s="858"/>
      <c r="C58" s="858"/>
      <c r="D58" s="858"/>
      <c r="E58" s="858"/>
      <c r="F58" s="858"/>
      <c r="G58" s="858"/>
      <c r="H58" s="858"/>
      <c r="I58" s="859"/>
    </row>
    <row r="59" spans="1:9" s="334" customFormat="1" ht="11.25" x14ac:dyDescent="0.2">
      <c r="A59" s="857"/>
      <c r="B59" s="858"/>
      <c r="C59" s="858"/>
      <c r="D59" s="858"/>
      <c r="E59" s="858"/>
      <c r="F59" s="858"/>
      <c r="G59" s="858"/>
      <c r="H59" s="858"/>
      <c r="I59" s="859"/>
    </row>
    <row r="60" spans="1:9" s="334" customFormat="1" ht="11.25" x14ac:dyDescent="0.2"/>
    <row r="61" spans="1:9" s="333" customFormat="1" ht="10.5" x14ac:dyDescent="0.15">
      <c r="A61" s="861" t="s">
        <v>175</v>
      </c>
      <c r="B61" s="861"/>
      <c r="C61" s="861"/>
      <c r="D61" s="861"/>
      <c r="E61" s="861"/>
      <c r="F61" s="861"/>
      <c r="G61" s="861"/>
      <c r="H61" s="861"/>
      <c r="I61" s="861"/>
    </row>
    <row r="62" spans="1:9" s="334" customFormat="1" ht="11.25" x14ac:dyDescent="0.2"/>
    <row r="63" spans="1:9" s="334" customFormat="1" ht="33.75" customHeight="1" x14ac:dyDescent="0.2">
      <c r="A63" s="862" t="s">
        <v>442</v>
      </c>
      <c r="B63" s="863"/>
      <c r="C63" s="863"/>
      <c r="D63" s="863"/>
      <c r="E63" s="863"/>
      <c r="F63" s="863"/>
      <c r="G63" s="863"/>
      <c r="H63" s="863"/>
      <c r="I63" s="864"/>
    </row>
    <row r="64" spans="1:9" s="334" customFormat="1" ht="11.25" x14ac:dyDescent="0.2">
      <c r="A64" s="857"/>
      <c r="B64" s="858"/>
      <c r="C64" s="858"/>
      <c r="D64" s="858"/>
      <c r="E64" s="858"/>
      <c r="F64" s="858"/>
      <c r="G64" s="858"/>
      <c r="H64" s="858"/>
      <c r="I64" s="859"/>
    </row>
    <row r="65" spans="1:9" s="334" customFormat="1" ht="11.25" x14ac:dyDescent="0.2">
      <c r="A65" s="857"/>
      <c r="B65" s="858"/>
      <c r="C65" s="858"/>
      <c r="D65" s="858"/>
      <c r="E65" s="858"/>
      <c r="F65" s="858"/>
      <c r="G65" s="858"/>
      <c r="H65" s="858"/>
      <c r="I65" s="859"/>
    </row>
    <row r="67" spans="1:9" x14ac:dyDescent="0.2">
      <c r="A67" s="614" t="s">
        <v>443</v>
      </c>
    </row>
    <row r="68" spans="1:9" x14ac:dyDescent="0.2">
      <c r="A68" s="614" t="s">
        <v>444</v>
      </c>
    </row>
  </sheetData>
  <mergeCells count="50">
    <mergeCell ref="A1:I1"/>
    <mergeCell ref="A3:I3"/>
    <mergeCell ref="A5:B5"/>
    <mergeCell ref="D5:I5"/>
    <mergeCell ref="A6:B6"/>
    <mergeCell ref="D6:I6"/>
    <mergeCell ref="A20:I20"/>
    <mergeCell ref="A7:B7"/>
    <mergeCell ref="D7:I7"/>
    <mergeCell ref="A8:B8"/>
    <mergeCell ref="D8:I8"/>
    <mergeCell ref="A10:I10"/>
    <mergeCell ref="G12:I12"/>
    <mergeCell ref="G13:I13"/>
    <mergeCell ref="G15:I15"/>
    <mergeCell ref="G16:I16"/>
    <mergeCell ref="G17:I17"/>
    <mergeCell ref="G18:I18"/>
    <mergeCell ref="C37:I37"/>
    <mergeCell ref="D22:I22"/>
    <mergeCell ref="D23:I23"/>
    <mergeCell ref="C24:I24"/>
    <mergeCell ref="A26:I26"/>
    <mergeCell ref="D28:I28"/>
    <mergeCell ref="D29:I29"/>
    <mergeCell ref="C30:I30"/>
    <mergeCell ref="A32:I32"/>
    <mergeCell ref="C34:I34"/>
    <mergeCell ref="C35:I35"/>
    <mergeCell ref="C36:I36"/>
    <mergeCell ref="A39:I39"/>
    <mergeCell ref="A41:B41"/>
    <mergeCell ref="A42:B42"/>
    <mergeCell ref="A45:B45"/>
    <mergeCell ref="A46:B46"/>
    <mergeCell ref="F46:G46"/>
    <mergeCell ref="A48:I48"/>
    <mergeCell ref="A50:B50"/>
    <mergeCell ref="A51:B51"/>
    <mergeCell ref="A52:B52"/>
    <mergeCell ref="A53:B53"/>
    <mergeCell ref="F53:G53"/>
    <mergeCell ref="A64:I64"/>
    <mergeCell ref="A65:I65"/>
    <mergeCell ref="A55:I55"/>
    <mergeCell ref="A57:I57"/>
    <mergeCell ref="A58:I58"/>
    <mergeCell ref="A59:I59"/>
    <mergeCell ref="A61:I61"/>
    <mergeCell ref="A63:I63"/>
  </mergeCells>
  <pageMargins left="0.70866141732283472" right="0.70866141732283472" top="0.78740157480314965" bottom="0.78740157480314965" header="0.31496062992125984" footer="0.31496062992125984"/>
  <pageSetup paperSize="9" scale="61" firstPageNumber="60" fitToHeight="2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84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7820248</v>
      </c>
      <c r="F6" s="8">
        <f>SUM(F7:F9)</f>
        <v>7820248</v>
      </c>
      <c r="G6" s="8">
        <f>SUM(G7:G9)</f>
        <v>4028833</v>
      </c>
      <c r="H6" s="9">
        <f t="shared" ref="H6:H29" si="0">G6/F6*100</f>
        <v>51.517969762595762</v>
      </c>
      <c r="I6" s="8">
        <f>SUM(I7:I9)</f>
        <v>3843951</v>
      </c>
      <c r="J6" s="8">
        <f>SUM(J7:J9)</f>
        <v>2198208</v>
      </c>
      <c r="K6" s="8">
        <f t="shared" ref="K6:S6" si="1">SUM(K7:K9)</f>
        <v>2198208</v>
      </c>
      <c r="L6" s="8">
        <f t="shared" si="1"/>
        <v>1234116</v>
      </c>
      <c r="M6" s="9">
        <f t="shared" ref="M6:M29" si="2">L6/K6*100</f>
        <v>56.141911957376188</v>
      </c>
      <c r="N6" s="8">
        <f t="shared" si="1"/>
        <v>1298128</v>
      </c>
      <c r="O6" s="8">
        <f t="shared" si="1"/>
        <v>5622040</v>
      </c>
      <c r="P6" s="8">
        <f t="shared" si="1"/>
        <v>5622040</v>
      </c>
      <c r="Q6" s="8">
        <f t="shared" si="1"/>
        <v>2794717</v>
      </c>
      <c r="R6" s="9">
        <f t="shared" ref="R6:R36" si="3">Q6/P6*100</f>
        <v>49.710016293018192</v>
      </c>
      <c r="S6" s="8">
        <f t="shared" si="1"/>
        <v>2545823</v>
      </c>
      <c r="T6" s="8"/>
      <c r="U6" s="8"/>
      <c r="V6" s="8"/>
      <c r="W6" s="9"/>
      <c r="X6" s="8"/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9" si="4">SUM(J7,O7)</f>
        <v>780000</v>
      </c>
      <c r="F7" s="12">
        <f t="shared" si="4"/>
        <v>780000</v>
      </c>
      <c r="G7" s="12">
        <f t="shared" si="4"/>
        <v>525012</v>
      </c>
      <c r="H7" s="13">
        <f t="shared" si="0"/>
        <v>67.309230769230766</v>
      </c>
      <c r="I7" s="12">
        <f>SUM(N7,S7)</f>
        <v>575953</v>
      </c>
      <c r="J7" s="44">
        <v>780000</v>
      </c>
      <c r="K7" s="14">
        <v>780000</v>
      </c>
      <c r="L7" s="14">
        <v>525012</v>
      </c>
      <c r="M7" s="13">
        <f t="shared" si="2"/>
        <v>67.309230769230766</v>
      </c>
      <c r="N7" s="14">
        <v>575953</v>
      </c>
      <c r="O7" s="14"/>
      <c r="P7" s="14"/>
      <c r="Q7" s="14"/>
      <c r="R7" s="13"/>
      <c r="S7" s="14"/>
      <c r="T7" s="14"/>
      <c r="U7" s="14"/>
      <c r="V7" s="14"/>
      <c r="W7" s="13"/>
      <c r="X7" s="14"/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/>
      <c r="F8" s="12"/>
      <c r="G8" s="12"/>
      <c r="H8" s="13"/>
      <c r="I8" s="12"/>
      <c r="J8" s="45"/>
      <c r="K8" s="12"/>
      <c r="L8" s="12"/>
      <c r="M8" s="13"/>
      <c r="N8" s="12"/>
      <c r="O8" s="12"/>
      <c r="P8" s="12"/>
      <c r="Q8" s="12"/>
      <c r="R8" s="13"/>
      <c r="S8" s="12"/>
      <c r="T8" s="12"/>
      <c r="U8" s="12"/>
      <c r="V8" s="12"/>
      <c r="W8" s="13"/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4"/>
        <v>7040248</v>
      </c>
      <c r="F9" s="12">
        <f t="shared" si="4"/>
        <v>7040248</v>
      </c>
      <c r="G9" s="12">
        <f t="shared" si="4"/>
        <v>3503821</v>
      </c>
      <c r="H9" s="13">
        <f t="shared" si="0"/>
        <v>49.768431452982909</v>
      </c>
      <c r="I9" s="12">
        <f>SUM(N9,S9)</f>
        <v>3267998</v>
      </c>
      <c r="J9" s="45">
        <v>1418208</v>
      </c>
      <c r="K9" s="12">
        <v>1418208</v>
      </c>
      <c r="L9" s="12">
        <v>709104</v>
      </c>
      <c r="M9" s="13">
        <f t="shared" si="2"/>
        <v>50</v>
      </c>
      <c r="N9" s="12">
        <v>722175</v>
      </c>
      <c r="O9" s="12">
        <v>5622040</v>
      </c>
      <c r="P9" s="12">
        <v>5622040</v>
      </c>
      <c r="Q9" s="12">
        <v>2794717</v>
      </c>
      <c r="R9" s="13">
        <f t="shared" si="3"/>
        <v>49.710016293018192</v>
      </c>
      <c r="S9" s="12">
        <v>2545823</v>
      </c>
      <c r="T9" s="12"/>
      <c r="U9" s="12"/>
      <c r="V9" s="12"/>
      <c r="W9" s="13"/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/>
      <c r="F10" s="18"/>
      <c r="G10" s="18"/>
      <c r="H10" s="9"/>
      <c r="I10" s="18"/>
      <c r="J10" s="19"/>
      <c r="K10" s="18"/>
      <c r="L10" s="18"/>
      <c r="M10" s="9"/>
      <c r="N10" s="18"/>
      <c r="O10" s="18"/>
      <c r="P10" s="18"/>
      <c r="Q10" s="18"/>
      <c r="R10" s="9"/>
      <c r="S10" s="18"/>
      <c r="T10" s="18"/>
      <c r="U10" s="18"/>
      <c r="V10" s="18"/>
      <c r="W10" s="9"/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7820248</v>
      </c>
      <c r="F11" s="8">
        <f>SUM(F12:F31)</f>
        <v>7820248</v>
      </c>
      <c r="G11" s="8">
        <f>SUM(G12:G31)</f>
        <v>3804680</v>
      </c>
      <c r="H11" s="9">
        <f t="shared" si="0"/>
        <v>48.651654014041497</v>
      </c>
      <c r="I11" s="8">
        <f>SUM(I12:I31)</f>
        <v>3580325</v>
      </c>
      <c r="J11" s="8">
        <f>SUM(J12:J31)</f>
        <v>2198208</v>
      </c>
      <c r="K11" s="8">
        <f>SUM(K12:K31)</f>
        <v>2198208</v>
      </c>
      <c r="L11" s="8">
        <f>SUM(L12:L31)</f>
        <v>1009963</v>
      </c>
      <c r="M11" s="9">
        <f t="shared" si="2"/>
        <v>45.944833245989457</v>
      </c>
      <c r="N11" s="8">
        <f>SUM(N12:N31)</f>
        <v>1034502</v>
      </c>
      <c r="O11" s="8">
        <f>SUM(O12:O31)</f>
        <v>5622040</v>
      </c>
      <c r="P11" s="8">
        <f>SUM(P12:P31)</f>
        <v>5622040</v>
      </c>
      <c r="Q11" s="8">
        <f>SUM(Q12:Q31)</f>
        <v>2794717</v>
      </c>
      <c r="R11" s="9">
        <f t="shared" si="3"/>
        <v>49.710016293018192</v>
      </c>
      <c r="S11" s="8">
        <f>SUM(S12:S31)</f>
        <v>2545823</v>
      </c>
      <c r="T11" s="8"/>
      <c r="U11" s="8"/>
      <c r="V11" s="8"/>
      <c r="W11" s="9"/>
      <c r="X11" s="8"/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5">SUM(J12,O12)</f>
        <v>648000</v>
      </c>
      <c r="F12" s="12">
        <f t="shared" si="5"/>
        <v>646000</v>
      </c>
      <c r="G12" s="12">
        <f t="shared" si="5"/>
        <v>448508</v>
      </c>
      <c r="H12" s="13">
        <f t="shared" si="0"/>
        <v>69.428482972136223</v>
      </c>
      <c r="I12" s="12">
        <f t="shared" si="5"/>
        <v>419903</v>
      </c>
      <c r="J12" s="20">
        <v>638000</v>
      </c>
      <c r="K12" s="21">
        <v>636000</v>
      </c>
      <c r="L12" s="21">
        <v>439779</v>
      </c>
      <c r="M12" s="13">
        <f t="shared" si="2"/>
        <v>69.147641509433967</v>
      </c>
      <c r="N12" s="22">
        <v>419903</v>
      </c>
      <c r="O12" s="21">
        <v>10000</v>
      </c>
      <c r="P12" s="21">
        <v>10000</v>
      </c>
      <c r="Q12" s="21">
        <v>8729</v>
      </c>
      <c r="R12" s="13">
        <f t="shared" si="3"/>
        <v>87.29</v>
      </c>
      <c r="S12" s="21"/>
      <c r="T12" s="21"/>
      <c r="U12" s="21"/>
      <c r="V12" s="21"/>
      <c r="W12" s="13"/>
      <c r="X12" s="22"/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5"/>
        <v>670000</v>
      </c>
      <c r="F13" s="12">
        <f t="shared" si="5"/>
        <v>670000</v>
      </c>
      <c r="G13" s="12">
        <f t="shared" si="5"/>
        <v>92981</v>
      </c>
      <c r="H13" s="13">
        <f t="shared" si="0"/>
        <v>13.87776119402985</v>
      </c>
      <c r="I13" s="12">
        <f t="shared" si="5"/>
        <v>118736</v>
      </c>
      <c r="J13" s="20">
        <v>670000</v>
      </c>
      <c r="K13" s="12">
        <v>670000</v>
      </c>
      <c r="L13" s="12">
        <v>92981</v>
      </c>
      <c r="M13" s="13">
        <f t="shared" si="2"/>
        <v>13.87776119402985</v>
      </c>
      <c r="N13" s="12">
        <v>118736</v>
      </c>
      <c r="O13" s="12"/>
      <c r="P13" s="12"/>
      <c r="Q13" s="12"/>
      <c r="R13" s="13"/>
      <c r="S13" s="12"/>
      <c r="T13" s="12"/>
      <c r="U13" s="12"/>
      <c r="V13" s="12"/>
      <c r="W13" s="13"/>
      <c r="X13" s="12"/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/>
      <c r="F14" s="12"/>
      <c r="G14" s="12"/>
      <c r="H14" s="13"/>
      <c r="I14" s="12"/>
      <c r="J14" s="20"/>
      <c r="K14" s="12"/>
      <c r="L14" s="12"/>
      <c r="M14" s="13"/>
      <c r="N14" s="12"/>
      <c r="O14" s="12"/>
      <c r="P14" s="12"/>
      <c r="Q14" s="12"/>
      <c r="R14" s="13"/>
      <c r="S14" s="12"/>
      <c r="T14" s="12"/>
      <c r="U14" s="12"/>
      <c r="V14" s="12"/>
      <c r="W14" s="13"/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5"/>
        <v>420000</v>
      </c>
      <c r="F15" s="12">
        <f t="shared" si="5"/>
        <v>405800</v>
      </c>
      <c r="G15" s="12">
        <f t="shared" si="5"/>
        <v>212674</v>
      </c>
      <c r="H15" s="13">
        <f t="shared" si="0"/>
        <v>52.40857565303105</v>
      </c>
      <c r="I15" s="12">
        <f t="shared" si="5"/>
        <v>174072</v>
      </c>
      <c r="J15" s="20">
        <v>420000</v>
      </c>
      <c r="K15" s="12">
        <v>405800</v>
      </c>
      <c r="L15" s="12">
        <v>212674</v>
      </c>
      <c r="M15" s="13">
        <f t="shared" si="2"/>
        <v>52.40857565303105</v>
      </c>
      <c r="N15" s="12">
        <v>174072</v>
      </c>
      <c r="O15" s="12"/>
      <c r="P15" s="12"/>
      <c r="Q15" s="12"/>
      <c r="R15" s="13"/>
      <c r="S15" s="12"/>
      <c r="T15" s="12"/>
      <c r="U15" s="12"/>
      <c r="V15" s="12"/>
      <c r="W15" s="13"/>
      <c r="X15" s="12"/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5"/>
        <v>2000</v>
      </c>
      <c r="F16" s="12">
        <f t="shared" si="5"/>
        <v>2000</v>
      </c>
      <c r="G16" s="12">
        <f t="shared" si="5"/>
        <v>0</v>
      </c>
      <c r="H16" s="13">
        <f t="shared" si="0"/>
        <v>0</v>
      </c>
      <c r="I16" s="12">
        <f t="shared" si="5"/>
        <v>152</v>
      </c>
      <c r="J16" s="20">
        <v>2000</v>
      </c>
      <c r="K16" s="12">
        <v>2000</v>
      </c>
      <c r="L16" s="12"/>
      <c r="M16" s="13">
        <f t="shared" si="2"/>
        <v>0</v>
      </c>
      <c r="N16" s="12">
        <v>152</v>
      </c>
      <c r="O16" s="12"/>
      <c r="P16" s="12"/>
      <c r="Q16" s="12"/>
      <c r="R16" s="13"/>
      <c r="S16" s="12"/>
      <c r="T16" s="12"/>
      <c r="U16" s="12"/>
      <c r="V16" s="12"/>
      <c r="W16" s="13"/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5"/>
        <v>1000</v>
      </c>
      <c r="F17" s="12">
        <f t="shared" si="5"/>
        <v>1000</v>
      </c>
      <c r="G17" s="12">
        <f t="shared" si="5"/>
        <v>0</v>
      </c>
      <c r="H17" s="13">
        <f t="shared" si="0"/>
        <v>0</v>
      </c>
      <c r="I17" s="12">
        <f t="shared" si="5"/>
        <v>0</v>
      </c>
      <c r="J17" s="20">
        <v>1000</v>
      </c>
      <c r="K17" s="12">
        <v>1000</v>
      </c>
      <c r="L17" s="12"/>
      <c r="M17" s="13">
        <f t="shared" si="2"/>
        <v>0</v>
      </c>
      <c r="N17" s="12"/>
      <c r="O17" s="12"/>
      <c r="P17" s="12"/>
      <c r="Q17" s="12"/>
      <c r="R17" s="13"/>
      <c r="S17" s="12"/>
      <c r="T17" s="12"/>
      <c r="U17" s="12"/>
      <c r="V17" s="12"/>
      <c r="W17" s="13"/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5"/>
        <v>198000</v>
      </c>
      <c r="F18" s="12">
        <f t="shared" si="5"/>
        <v>198000</v>
      </c>
      <c r="G18" s="12">
        <f t="shared" si="5"/>
        <v>91863</v>
      </c>
      <c r="H18" s="13">
        <f t="shared" si="0"/>
        <v>46.395454545454548</v>
      </c>
      <c r="I18" s="12">
        <f t="shared" si="5"/>
        <v>82213</v>
      </c>
      <c r="J18" s="20">
        <v>198000</v>
      </c>
      <c r="K18" s="12">
        <v>198000</v>
      </c>
      <c r="L18" s="12">
        <v>91863</v>
      </c>
      <c r="M18" s="13">
        <f t="shared" si="2"/>
        <v>46.395454545454548</v>
      </c>
      <c r="N18" s="12">
        <v>82213</v>
      </c>
      <c r="O18" s="12"/>
      <c r="P18" s="12"/>
      <c r="Q18" s="12"/>
      <c r="R18" s="13"/>
      <c r="S18" s="12"/>
      <c r="T18" s="12"/>
      <c r="U18" s="12"/>
      <c r="V18" s="12"/>
      <c r="W18" s="13"/>
      <c r="X18" s="12"/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5"/>
        <v>4094300</v>
      </c>
      <c r="F19" s="12">
        <f t="shared" si="5"/>
        <v>4120894</v>
      </c>
      <c r="G19" s="12">
        <f t="shared" si="5"/>
        <v>2049200</v>
      </c>
      <c r="H19" s="13">
        <f t="shared" si="0"/>
        <v>49.727073785445583</v>
      </c>
      <c r="I19" s="12">
        <f t="shared" si="5"/>
        <v>1911787</v>
      </c>
      <c r="J19" s="23"/>
      <c r="K19" s="12"/>
      <c r="L19" s="12"/>
      <c r="M19" s="13" t="e">
        <f t="shared" si="2"/>
        <v>#DIV/0!</v>
      </c>
      <c r="N19" s="12">
        <v>36000</v>
      </c>
      <c r="O19" s="12">
        <v>4094300</v>
      </c>
      <c r="P19" s="12">
        <v>4120894</v>
      </c>
      <c r="Q19" s="12">
        <v>2049200</v>
      </c>
      <c r="R19" s="13">
        <f t="shared" si="3"/>
        <v>49.727073785445583</v>
      </c>
      <c r="S19" s="12">
        <v>1875787</v>
      </c>
      <c r="T19" s="24"/>
      <c r="U19" s="24"/>
      <c r="V19" s="24"/>
      <c r="W19" s="13"/>
      <c r="X19" s="24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5"/>
        <v>1409260</v>
      </c>
      <c r="F20" s="12">
        <f t="shared" si="5"/>
        <v>1409260</v>
      </c>
      <c r="G20" s="12">
        <f t="shared" si="5"/>
        <v>695804</v>
      </c>
      <c r="H20" s="13">
        <f t="shared" si="0"/>
        <v>49.373713864013737</v>
      </c>
      <c r="I20" s="12">
        <f t="shared" si="5"/>
        <v>652191</v>
      </c>
      <c r="J20" s="20"/>
      <c r="K20" s="12"/>
      <c r="L20" s="12"/>
      <c r="M20" s="13" t="e">
        <f t="shared" si="2"/>
        <v>#DIV/0!</v>
      </c>
      <c r="N20" s="12">
        <v>12391</v>
      </c>
      <c r="O20" s="12">
        <v>1409260</v>
      </c>
      <c r="P20" s="12">
        <v>1409260</v>
      </c>
      <c r="Q20" s="12">
        <v>695804</v>
      </c>
      <c r="R20" s="13">
        <f t="shared" si="3"/>
        <v>49.373713864013737</v>
      </c>
      <c r="S20" s="12">
        <v>639800</v>
      </c>
      <c r="T20" s="12"/>
      <c r="U20" s="12"/>
      <c r="V20" s="12"/>
      <c r="W20" s="13"/>
      <c r="X20" s="12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5"/>
        <v>115480</v>
      </c>
      <c r="F21" s="12">
        <f t="shared" si="5"/>
        <v>88886</v>
      </c>
      <c r="G21" s="12">
        <f t="shared" si="5"/>
        <v>40984</v>
      </c>
      <c r="H21" s="13">
        <f t="shared" si="0"/>
        <v>46.108498526202105</v>
      </c>
      <c r="I21" s="12">
        <f t="shared" si="5"/>
        <v>30776</v>
      </c>
      <c r="J21" s="20">
        <v>7000</v>
      </c>
      <c r="K21" s="12">
        <v>7000</v>
      </c>
      <c r="L21" s="12"/>
      <c r="M21" s="13">
        <f t="shared" si="2"/>
        <v>0</v>
      </c>
      <c r="N21" s="12">
        <v>540</v>
      </c>
      <c r="O21" s="12">
        <v>108480</v>
      </c>
      <c r="P21" s="12">
        <v>81886</v>
      </c>
      <c r="Q21" s="12">
        <v>40984</v>
      </c>
      <c r="R21" s="13">
        <f t="shared" si="3"/>
        <v>50.050069608968563</v>
      </c>
      <c r="S21" s="12">
        <v>30236</v>
      </c>
      <c r="T21" s="12"/>
      <c r="U21" s="12"/>
      <c r="V21" s="12"/>
      <c r="W21" s="13"/>
      <c r="X21" s="12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/>
      <c r="F22" s="12"/>
      <c r="G22" s="12"/>
      <c r="H22" s="13"/>
      <c r="I22" s="12"/>
      <c r="J22" s="20"/>
      <c r="K22" s="12"/>
      <c r="L22" s="12"/>
      <c r="M22" s="13"/>
      <c r="N22" s="12"/>
      <c r="O22" s="12"/>
      <c r="P22" s="12"/>
      <c r="Q22" s="12"/>
      <c r="R22" s="13"/>
      <c r="S22" s="12"/>
      <c r="T22" s="12"/>
      <c r="U22" s="12"/>
      <c r="V22" s="12"/>
      <c r="W22" s="13"/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/>
      <c r="F23" s="12"/>
      <c r="G23" s="12"/>
      <c r="H23" s="13"/>
      <c r="I23" s="12"/>
      <c r="J23" s="20"/>
      <c r="K23" s="12"/>
      <c r="L23" s="12"/>
      <c r="M23" s="13"/>
      <c r="N23" s="12"/>
      <c r="O23" s="12"/>
      <c r="P23" s="12"/>
      <c r="Q23" s="12"/>
      <c r="R23" s="13"/>
      <c r="S23" s="12"/>
      <c r="T23" s="12"/>
      <c r="U23" s="12"/>
      <c r="V23" s="12"/>
      <c r="W23" s="13"/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/>
      <c r="F24" s="12"/>
      <c r="G24" s="12"/>
      <c r="H24" s="13"/>
      <c r="I24" s="12"/>
      <c r="J24" s="20"/>
      <c r="K24" s="12"/>
      <c r="L24" s="12"/>
      <c r="M24" s="13"/>
      <c r="N24" s="12"/>
      <c r="O24" s="12"/>
      <c r="P24" s="12"/>
      <c r="Q24" s="12"/>
      <c r="R24" s="13"/>
      <c r="S24" s="12"/>
      <c r="T24" s="12"/>
      <c r="U24" s="12"/>
      <c r="V24" s="12"/>
      <c r="W24" s="13"/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/>
      <c r="F25" s="12"/>
      <c r="G25" s="12"/>
      <c r="H25" s="13"/>
      <c r="I25" s="12"/>
      <c r="J25" s="20"/>
      <c r="K25" s="21"/>
      <c r="L25" s="21"/>
      <c r="M25" s="13"/>
      <c r="N25" s="22"/>
      <c r="O25" s="21"/>
      <c r="P25" s="21"/>
      <c r="Q25" s="21"/>
      <c r="R25" s="13"/>
      <c r="S25" s="21"/>
      <c r="T25" s="21"/>
      <c r="U25" s="21"/>
      <c r="V25" s="21"/>
      <c r="W25" s="13"/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5"/>
        <v>161208</v>
      </c>
      <c r="F26" s="12">
        <f t="shared" si="5"/>
        <v>161208</v>
      </c>
      <c r="G26" s="12">
        <f t="shared" si="5"/>
        <v>84540</v>
      </c>
      <c r="H26" s="26">
        <f>G26/F26*100</f>
        <v>52.441566175375911</v>
      </c>
      <c r="I26" s="12">
        <f>SUM(N26,S26)</f>
        <v>80622</v>
      </c>
      <c r="J26" s="20">
        <v>161208</v>
      </c>
      <c r="K26" s="22">
        <v>161208</v>
      </c>
      <c r="L26" s="22">
        <v>84540</v>
      </c>
      <c r="M26" s="13">
        <f>L26/K26*100</f>
        <v>52.441566175375911</v>
      </c>
      <c r="N26" s="22">
        <v>80622</v>
      </c>
      <c r="O26" s="22"/>
      <c r="P26" s="22"/>
      <c r="Q26" s="22"/>
      <c r="R26" s="13"/>
      <c r="S26" s="22"/>
      <c r="T26" s="47"/>
      <c r="U26" s="47"/>
      <c r="V26" s="47"/>
      <c r="W26" s="13"/>
      <c r="X26" s="47"/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/>
      <c r="F27" s="12"/>
      <c r="G27" s="12"/>
      <c r="H27" s="26"/>
      <c r="I27" s="12"/>
      <c r="J27" s="20"/>
      <c r="K27" s="22"/>
      <c r="L27" s="22"/>
      <c r="M27" s="13"/>
      <c r="N27" s="12"/>
      <c r="O27" s="22"/>
      <c r="P27" s="22"/>
      <c r="Q27" s="22"/>
      <c r="R27" s="13"/>
      <c r="S27" s="22"/>
      <c r="T27" s="47"/>
      <c r="U27" s="47"/>
      <c r="V27" s="47"/>
      <c r="W27" s="13"/>
      <c r="X27" s="47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100000</v>
      </c>
      <c r="F28" s="12">
        <f>SUM(K28,P28)</f>
        <v>100000</v>
      </c>
      <c r="G28" s="12">
        <f>SUM(L28,Q28)</f>
        <v>70926</v>
      </c>
      <c r="H28" s="26">
        <f>G28/F28*100</f>
        <v>70.926000000000002</v>
      </c>
      <c r="I28" s="12">
        <f>SUM(N28,S28)</f>
        <v>109208</v>
      </c>
      <c r="J28" s="20">
        <v>100000</v>
      </c>
      <c r="K28" s="22">
        <v>100000</v>
      </c>
      <c r="L28" s="22">
        <v>70926</v>
      </c>
      <c r="M28" s="13">
        <f>L28/K28*100</f>
        <v>70.926000000000002</v>
      </c>
      <c r="N28" s="12">
        <v>109208</v>
      </c>
      <c r="O28" s="22"/>
      <c r="P28" s="22"/>
      <c r="Q28" s="22"/>
      <c r="R28" s="13"/>
      <c r="S28" s="22"/>
      <c r="T28" s="47"/>
      <c r="U28" s="47"/>
      <c r="V28" s="47"/>
      <c r="W28" s="13"/>
      <c r="X28" s="47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5"/>
        <v>1000</v>
      </c>
      <c r="F29" s="12">
        <f t="shared" si="5"/>
        <v>17200</v>
      </c>
      <c r="G29" s="12">
        <f t="shared" si="5"/>
        <v>17200</v>
      </c>
      <c r="H29" s="26">
        <f t="shared" si="0"/>
        <v>100</v>
      </c>
      <c r="I29" s="12">
        <f t="shared" si="5"/>
        <v>665</v>
      </c>
      <c r="J29" s="20">
        <v>1000</v>
      </c>
      <c r="K29" s="22">
        <v>17200</v>
      </c>
      <c r="L29" s="22">
        <v>17200</v>
      </c>
      <c r="M29" s="13">
        <f t="shared" si="2"/>
        <v>100</v>
      </c>
      <c r="N29" s="22">
        <v>665</v>
      </c>
      <c r="O29" s="22"/>
      <c r="P29" s="22"/>
      <c r="Q29" s="22"/>
      <c r="R29" s="13"/>
      <c r="S29" s="22"/>
      <c r="T29" s="47"/>
      <c r="U29" s="47"/>
      <c r="V29" s="47"/>
      <c r="W29" s="13"/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/>
      <c r="F30" s="12"/>
      <c r="G30" s="12"/>
      <c r="H30" s="26"/>
      <c r="I30" s="12"/>
      <c r="J30" s="20"/>
      <c r="K30" s="22"/>
      <c r="L30" s="22"/>
      <c r="M30" s="13"/>
      <c r="N30" s="22"/>
      <c r="O30" s="22"/>
      <c r="P30" s="22"/>
      <c r="Q30" s="22"/>
      <c r="R30" s="13"/>
      <c r="S30" s="22"/>
      <c r="T30" s="47"/>
      <c r="U30" s="47"/>
      <c r="V30" s="47"/>
      <c r="W30" s="13"/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/>
      <c r="F31" s="12"/>
      <c r="G31" s="12"/>
      <c r="H31" s="26"/>
      <c r="I31" s="12"/>
      <c r="J31" s="20"/>
      <c r="K31" s="29"/>
      <c r="L31" s="29"/>
      <c r="M31" s="13"/>
      <c r="N31" s="29"/>
      <c r="O31" s="29"/>
      <c r="P31" s="29"/>
      <c r="Q31" s="29"/>
      <c r="R31" s="13"/>
      <c r="S31" s="29"/>
      <c r="T31" s="30"/>
      <c r="U31" s="30"/>
      <c r="V31" s="30"/>
      <c r="W31" s="13"/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/>
      <c r="F32" s="12"/>
      <c r="G32" s="12"/>
      <c r="H32" s="26"/>
      <c r="I32" s="12"/>
      <c r="J32" s="32"/>
      <c r="K32" s="30"/>
      <c r="L32" s="30"/>
      <c r="M32" s="13"/>
      <c r="N32" s="30"/>
      <c r="O32" s="30"/>
      <c r="P32" s="30"/>
      <c r="Q32" s="30"/>
      <c r="R32" s="13"/>
      <c r="S32" s="30"/>
      <c r="T32" s="30"/>
      <c r="U32" s="30"/>
      <c r="V32" s="30"/>
      <c r="W32" s="13"/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224153</v>
      </c>
      <c r="H33" s="34"/>
      <c r="I33" s="8">
        <f>I6-I11</f>
        <v>263626</v>
      </c>
      <c r="J33" s="8">
        <f>J6-J11</f>
        <v>0</v>
      </c>
      <c r="K33" s="8">
        <f>K6-K11</f>
        <v>0</v>
      </c>
      <c r="L33" s="8">
        <f>L6-L11</f>
        <v>224153</v>
      </c>
      <c r="M33" s="9"/>
      <c r="N33" s="8">
        <f>N6-N11</f>
        <v>263626</v>
      </c>
      <c r="O33" s="8">
        <f>O6-O11</f>
        <v>0</v>
      </c>
      <c r="P33" s="8">
        <f>P6-P11</f>
        <v>0</v>
      </c>
      <c r="Q33" s="8">
        <f>Q6-Q11</f>
        <v>0</v>
      </c>
      <c r="R33" s="9"/>
      <c r="S33" s="8">
        <f>S6-S11</f>
        <v>0</v>
      </c>
      <c r="T33" s="8"/>
      <c r="U33" s="8"/>
      <c r="V33" s="8"/>
      <c r="W33" s="9"/>
      <c r="X33" s="8"/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21074</v>
      </c>
      <c r="F34" s="37">
        <v>20914</v>
      </c>
      <c r="G34" s="37">
        <v>20787</v>
      </c>
      <c r="H34" s="26">
        <v>99.45</v>
      </c>
      <c r="I34" s="37">
        <v>19890</v>
      </c>
      <c r="J34" s="38"/>
      <c r="K34" s="38"/>
      <c r="L34" s="38"/>
      <c r="M34" s="9"/>
      <c r="N34" s="38"/>
      <c r="O34" s="38">
        <v>21074</v>
      </c>
      <c r="P34" s="38">
        <v>20914</v>
      </c>
      <c r="Q34" s="38">
        <v>20787</v>
      </c>
      <c r="R34" s="9">
        <f t="shared" si="3"/>
        <v>99.392751267093814</v>
      </c>
      <c r="S34" s="38">
        <v>19890</v>
      </c>
      <c r="T34" s="38"/>
      <c r="U34" s="38"/>
      <c r="V34" s="38"/>
      <c r="W34" s="9"/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85">
        <v>16.190000000000001</v>
      </c>
      <c r="F35" s="85">
        <v>16.420000000000002</v>
      </c>
      <c r="G35" s="85">
        <v>16.420000000000002</v>
      </c>
      <c r="H35" s="86">
        <v>100</v>
      </c>
      <c r="I35" s="85">
        <v>16.02</v>
      </c>
      <c r="J35" s="38"/>
      <c r="K35" s="49"/>
      <c r="L35" s="38"/>
      <c r="M35" s="9"/>
      <c r="N35" s="38"/>
      <c r="O35" s="51">
        <v>16.190000000000001</v>
      </c>
      <c r="P35" s="51">
        <v>16.420000000000002</v>
      </c>
      <c r="Q35" s="51">
        <v>16.420000000000002</v>
      </c>
      <c r="R35" s="9">
        <f t="shared" si="3"/>
        <v>100</v>
      </c>
      <c r="S35" s="51">
        <v>16.02</v>
      </c>
      <c r="T35" s="38"/>
      <c r="U35" s="38"/>
      <c r="V35" s="38"/>
      <c r="W35" s="9"/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17</v>
      </c>
      <c r="F36" s="37">
        <v>17</v>
      </c>
      <c r="G36" s="37">
        <v>17</v>
      </c>
      <c r="H36" s="26">
        <v>100</v>
      </c>
      <c r="I36" s="37">
        <v>17</v>
      </c>
      <c r="J36" s="38"/>
      <c r="K36" s="38"/>
      <c r="L36" s="38"/>
      <c r="M36" s="9"/>
      <c r="N36" s="38"/>
      <c r="O36" s="38">
        <v>17</v>
      </c>
      <c r="P36" s="38">
        <v>17</v>
      </c>
      <c r="Q36" s="38">
        <v>17</v>
      </c>
      <c r="R36" s="9">
        <f t="shared" si="3"/>
        <v>100</v>
      </c>
      <c r="S36" s="38">
        <v>17</v>
      </c>
      <c r="T36" s="38"/>
      <c r="U36" s="38"/>
      <c r="V36" s="38"/>
      <c r="W36" s="9"/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61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workbookViewId="0">
      <selection sqref="A1:XFD1048576"/>
    </sheetView>
  </sheetViews>
  <sheetFormatPr defaultColWidth="9.140625"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21.6" customHeight="1" x14ac:dyDescent="0.3">
      <c r="A1" s="983" t="s">
        <v>374</v>
      </c>
      <c r="B1" s="936"/>
      <c r="C1" s="936"/>
      <c r="D1" s="936"/>
      <c r="E1" s="936"/>
      <c r="F1" s="936"/>
      <c r="G1" s="936"/>
      <c r="H1" s="936"/>
      <c r="I1" s="936"/>
    </row>
    <row r="3" spans="1:14" s="333" customFormat="1" ht="14.45" customHeight="1" x14ac:dyDescent="0.2">
      <c r="A3" s="937" t="s">
        <v>104</v>
      </c>
      <c r="B3" s="937"/>
      <c r="C3" s="937"/>
      <c r="D3" s="937"/>
      <c r="E3" s="937"/>
      <c r="F3" s="937"/>
      <c r="G3" s="937"/>
      <c r="H3" s="937"/>
      <c r="I3" s="937"/>
    </row>
    <row r="4" spans="1:14" s="334" customFormat="1" ht="11.25" x14ac:dyDescent="0.2"/>
    <row r="5" spans="1:14" s="336" customFormat="1" x14ac:dyDescent="0.2">
      <c r="A5" s="984" t="s">
        <v>105</v>
      </c>
      <c r="B5" s="985"/>
      <c r="C5" s="539" t="s">
        <v>16</v>
      </c>
      <c r="D5" s="962" t="s">
        <v>334</v>
      </c>
      <c r="E5" s="962"/>
      <c r="F5" s="962"/>
      <c r="G5" s="962"/>
      <c r="H5" s="962"/>
      <c r="I5" s="962"/>
    </row>
    <row r="6" spans="1:14" s="334" customFormat="1" ht="85.9" customHeight="1" x14ac:dyDescent="0.2">
      <c r="A6" s="978" t="s">
        <v>107</v>
      </c>
      <c r="B6" s="979"/>
      <c r="C6" s="540">
        <v>224153</v>
      </c>
      <c r="D6" s="980" t="s">
        <v>375</v>
      </c>
      <c r="E6" s="980"/>
      <c r="F6" s="980"/>
      <c r="G6" s="980"/>
      <c r="H6" s="980"/>
      <c r="I6" s="980"/>
    </row>
    <row r="7" spans="1:14" s="338" customFormat="1" ht="15" customHeight="1" x14ac:dyDescent="0.15">
      <c r="A7" s="978" t="s">
        <v>92</v>
      </c>
      <c r="B7" s="979"/>
      <c r="C7" s="540">
        <v>0</v>
      </c>
      <c r="D7" s="980" t="s">
        <v>376</v>
      </c>
      <c r="E7" s="981"/>
      <c r="F7" s="981"/>
      <c r="G7" s="981"/>
      <c r="H7" s="981"/>
      <c r="I7" s="981"/>
    </row>
    <row r="8" spans="1:14" s="338" customFormat="1" ht="16.149999999999999" customHeight="1" x14ac:dyDescent="0.15">
      <c r="A8" s="978" t="s">
        <v>110</v>
      </c>
      <c r="B8" s="979"/>
      <c r="C8" s="337">
        <v>0</v>
      </c>
      <c r="D8" s="915"/>
      <c r="E8" s="916"/>
      <c r="F8" s="916"/>
      <c r="G8" s="916"/>
      <c r="H8" s="916"/>
      <c r="I8" s="917"/>
    </row>
    <row r="9" spans="1:14" s="334" customFormat="1" ht="13.15" customHeight="1" x14ac:dyDescent="0.2">
      <c r="C9" s="339"/>
    </row>
    <row r="10" spans="1:14" s="340" customFormat="1" ht="16.149999999999999" customHeight="1" x14ac:dyDescent="0.2">
      <c r="A10" s="937" t="s">
        <v>111</v>
      </c>
      <c r="B10" s="937"/>
      <c r="C10" s="937"/>
      <c r="D10" s="937"/>
      <c r="E10" s="937"/>
      <c r="F10" s="937"/>
      <c r="G10" s="937"/>
      <c r="H10" s="937"/>
      <c r="I10" s="937"/>
    </row>
    <row r="11" spans="1:14" s="334" customFormat="1" ht="15.6" customHeight="1" x14ac:dyDescent="0.2">
      <c r="C11" s="339"/>
    </row>
    <row r="12" spans="1:14" ht="38.25" x14ac:dyDescent="0.2">
      <c r="A12" s="541" t="s">
        <v>112</v>
      </c>
      <c r="B12" s="541" t="s">
        <v>113</v>
      </c>
      <c r="C12" s="541" t="s">
        <v>114</v>
      </c>
      <c r="D12" s="541" t="s">
        <v>115</v>
      </c>
      <c r="E12" s="541" t="s">
        <v>116</v>
      </c>
      <c r="F12" s="541" t="s">
        <v>117</v>
      </c>
      <c r="G12" s="982" t="s">
        <v>118</v>
      </c>
      <c r="H12" s="982"/>
      <c r="I12" s="982"/>
    </row>
    <row r="13" spans="1:14" s="334" customFormat="1" ht="32.450000000000003" customHeight="1" x14ac:dyDescent="0.2">
      <c r="A13" s="542" t="s">
        <v>187</v>
      </c>
      <c r="B13" s="543">
        <v>12940.4</v>
      </c>
      <c r="C13" s="543">
        <v>6412</v>
      </c>
      <c r="D13" s="543"/>
      <c r="E13" s="543">
        <v>19352.400000000001</v>
      </c>
      <c r="F13" s="543">
        <v>19352.400000000001</v>
      </c>
      <c r="G13" s="973" t="s">
        <v>377</v>
      </c>
      <c r="H13" s="948"/>
      <c r="I13" s="968"/>
    </row>
    <row r="14" spans="1:14" s="334" customFormat="1" ht="60" customHeight="1" x14ac:dyDescent="0.2">
      <c r="A14" s="544" t="s">
        <v>214</v>
      </c>
      <c r="B14" s="545">
        <v>61855</v>
      </c>
      <c r="C14" s="545">
        <v>84540</v>
      </c>
      <c r="D14" s="545">
        <v>64038</v>
      </c>
      <c r="E14" s="545">
        <v>82357</v>
      </c>
      <c r="F14" s="545">
        <v>82357</v>
      </c>
      <c r="G14" s="938" t="s">
        <v>378</v>
      </c>
      <c r="H14" s="939"/>
      <c r="I14" s="940"/>
      <c r="N14" s="349"/>
    </row>
    <row r="15" spans="1:14" s="334" customFormat="1" ht="30" customHeight="1" x14ac:dyDescent="0.2">
      <c r="A15" s="544" t="s">
        <v>191</v>
      </c>
      <c r="B15" s="545">
        <v>38683.379999999997</v>
      </c>
      <c r="C15" s="545">
        <v>15000</v>
      </c>
      <c r="D15" s="545"/>
      <c r="E15" s="545">
        <v>53683.38</v>
      </c>
      <c r="F15" s="545">
        <v>53683.38</v>
      </c>
      <c r="G15" s="938" t="s">
        <v>379</v>
      </c>
      <c r="H15" s="970"/>
      <c r="I15" s="971"/>
    </row>
    <row r="16" spans="1:14" s="334" customFormat="1" ht="90.6" customHeight="1" x14ac:dyDescent="0.2">
      <c r="A16" s="546" t="s">
        <v>193</v>
      </c>
      <c r="B16" s="547">
        <v>64212.52</v>
      </c>
      <c r="C16" s="547">
        <v>40984</v>
      </c>
      <c r="D16" s="547">
        <v>41630</v>
      </c>
      <c r="E16" s="547">
        <v>63566.52</v>
      </c>
      <c r="F16" s="547">
        <v>70172.52</v>
      </c>
      <c r="G16" s="974" t="s">
        <v>380</v>
      </c>
      <c r="H16" s="975"/>
      <c r="I16" s="976"/>
    </row>
    <row r="17" spans="1:11" s="334" customFormat="1" ht="16.149999999999999" customHeight="1" x14ac:dyDescent="0.2">
      <c r="A17" s="548" t="s">
        <v>90</v>
      </c>
      <c r="B17" s="549">
        <f>SUM(B13:B16)</f>
        <v>177691.3</v>
      </c>
      <c r="C17" s="549">
        <f t="shared" ref="C17:F17" si="0">SUM(C13:C16)</f>
        <v>146936</v>
      </c>
      <c r="D17" s="549">
        <f t="shared" si="0"/>
        <v>105668</v>
      </c>
      <c r="E17" s="549">
        <f t="shared" si="0"/>
        <v>218959.3</v>
      </c>
      <c r="F17" s="549">
        <f t="shared" si="0"/>
        <v>225565.3</v>
      </c>
      <c r="G17" s="977"/>
      <c r="H17" s="977"/>
      <c r="I17" s="977"/>
      <c r="K17" s="334">
        <v>19352.400000000001</v>
      </c>
    </row>
    <row r="18" spans="1:11" s="355" customFormat="1" ht="11.25" x14ac:dyDescent="0.2">
      <c r="C18" s="356"/>
    </row>
    <row r="19" spans="1:11" s="340" customFormat="1" ht="15" customHeight="1" x14ac:dyDescent="0.2">
      <c r="A19" s="937" t="s">
        <v>129</v>
      </c>
      <c r="B19" s="937"/>
      <c r="C19" s="937"/>
      <c r="D19" s="937"/>
      <c r="E19" s="937"/>
      <c r="F19" s="937"/>
      <c r="G19" s="937"/>
      <c r="H19" s="937"/>
      <c r="I19" s="937"/>
    </row>
    <row r="20" spans="1:11" s="334" customFormat="1" ht="25.9" customHeight="1" x14ac:dyDescent="0.2">
      <c r="A20" s="550" t="s">
        <v>381</v>
      </c>
      <c r="B20" s="338"/>
      <c r="C20" s="339"/>
    </row>
    <row r="21" spans="1:11" s="334" customFormat="1" x14ac:dyDescent="0.2">
      <c r="A21" s="539" t="s">
        <v>130</v>
      </c>
      <c r="B21" s="539" t="s">
        <v>16</v>
      </c>
      <c r="C21" s="551" t="s">
        <v>131</v>
      </c>
      <c r="D21" s="962" t="s">
        <v>132</v>
      </c>
      <c r="E21" s="962"/>
      <c r="F21" s="962"/>
      <c r="G21" s="962"/>
      <c r="H21" s="962"/>
      <c r="I21" s="962"/>
    </row>
    <row r="22" spans="1:11" s="334" customFormat="1" ht="11.25" customHeight="1" x14ac:dyDescent="0.2">
      <c r="A22" s="964"/>
      <c r="B22" s="552">
        <v>0</v>
      </c>
      <c r="C22" s="553"/>
      <c r="D22" s="967"/>
      <c r="E22" s="948"/>
      <c r="F22" s="948"/>
      <c r="G22" s="948"/>
      <c r="H22" s="948"/>
      <c r="I22" s="968"/>
    </row>
    <row r="23" spans="1:11" s="334" customFormat="1" ht="11.25" customHeight="1" x14ac:dyDescent="0.2">
      <c r="A23" s="965"/>
      <c r="B23" s="554">
        <v>0</v>
      </c>
      <c r="C23" s="555"/>
      <c r="D23" s="969"/>
      <c r="E23" s="970"/>
      <c r="F23" s="970"/>
      <c r="G23" s="970"/>
      <c r="H23" s="970"/>
      <c r="I23" s="971"/>
    </row>
    <row r="24" spans="1:11" s="334" customFormat="1" ht="11.25" customHeight="1" x14ac:dyDescent="0.2">
      <c r="A24" s="966"/>
      <c r="B24" s="554">
        <v>0</v>
      </c>
      <c r="C24" s="554"/>
      <c r="D24" s="969"/>
      <c r="E24" s="970"/>
      <c r="F24" s="970"/>
      <c r="G24" s="970"/>
      <c r="H24" s="970"/>
      <c r="I24" s="971"/>
    </row>
    <row r="25" spans="1:11" s="338" customFormat="1" x14ac:dyDescent="0.2">
      <c r="A25" s="556" t="s">
        <v>90</v>
      </c>
      <c r="B25" s="557">
        <f>SUM(B22:B24)</f>
        <v>0</v>
      </c>
      <c r="C25" s="954"/>
      <c r="D25" s="954"/>
      <c r="E25" s="954"/>
      <c r="F25" s="954"/>
      <c r="G25" s="954"/>
      <c r="H25" s="954"/>
      <c r="I25" s="972"/>
    </row>
    <row r="26" spans="1:11" s="355" customFormat="1" x14ac:dyDescent="0.2">
      <c r="A26" s="558"/>
      <c r="B26" s="558"/>
      <c r="C26" s="559"/>
      <c r="D26" s="558"/>
      <c r="E26" s="558"/>
      <c r="F26" s="558"/>
      <c r="G26" s="558"/>
      <c r="H26" s="558"/>
      <c r="I26" s="558"/>
    </row>
    <row r="27" spans="1:11" s="340" customFormat="1" x14ac:dyDescent="0.2">
      <c r="A27" s="937" t="s">
        <v>140</v>
      </c>
      <c r="B27" s="937"/>
      <c r="C27" s="937"/>
      <c r="D27" s="937"/>
      <c r="E27" s="937"/>
      <c r="F27" s="937"/>
      <c r="G27" s="937"/>
      <c r="H27" s="937"/>
      <c r="I27" s="937"/>
    </row>
    <row r="28" spans="1:11" s="334" customFormat="1" ht="26.45" customHeight="1" x14ac:dyDescent="0.2">
      <c r="A28" s="550" t="s">
        <v>382</v>
      </c>
      <c r="B28" s="560"/>
      <c r="C28" s="561"/>
      <c r="D28" s="392"/>
      <c r="E28" s="392"/>
      <c r="F28" s="392"/>
      <c r="G28" s="392"/>
      <c r="H28" s="392"/>
      <c r="I28" s="392"/>
    </row>
    <row r="29" spans="1:11" s="334" customFormat="1" x14ac:dyDescent="0.2">
      <c r="A29" s="539" t="s">
        <v>130</v>
      </c>
      <c r="B29" s="539" t="s">
        <v>16</v>
      </c>
      <c r="C29" s="551" t="s">
        <v>131</v>
      </c>
      <c r="D29" s="962" t="s">
        <v>141</v>
      </c>
      <c r="E29" s="962"/>
      <c r="F29" s="962"/>
      <c r="G29" s="962"/>
      <c r="H29" s="962"/>
      <c r="I29" s="963"/>
    </row>
    <row r="30" spans="1:11" s="334" customFormat="1" ht="11.25" customHeight="1" x14ac:dyDescent="0.2">
      <c r="A30" s="964"/>
      <c r="B30" s="552">
        <v>0</v>
      </c>
      <c r="C30" s="553"/>
      <c r="D30" s="967"/>
      <c r="E30" s="948"/>
      <c r="F30" s="948"/>
      <c r="G30" s="948"/>
      <c r="H30" s="948"/>
      <c r="I30" s="968"/>
    </row>
    <row r="31" spans="1:11" s="334" customFormat="1" ht="11.25" customHeight="1" x14ac:dyDescent="0.2">
      <c r="A31" s="965"/>
      <c r="B31" s="554">
        <v>0</v>
      </c>
      <c r="C31" s="555"/>
      <c r="D31" s="969"/>
      <c r="E31" s="970"/>
      <c r="F31" s="970"/>
      <c r="G31" s="970"/>
      <c r="H31" s="970"/>
      <c r="I31" s="971"/>
    </row>
    <row r="32" spans="1:11" s="334" customFormat="1" ht="11.25" customHeight="1" x14ac:dyDescent="0.2">
      <c r="A32" s="966"/>
      <c r="B32" s="554">
        <v>0</v>
      </c>
      <c r="C32" s="554"/>
      <c r="D32" s="969"/>
      <c r="E32" s="970"/>
      <c r="F32" s="970"/>
      <c r="G32" s="970"/>
      <c r="H32" s="970"/>
      <c r="I32" s="971"/>
    </row>
    <row r="33" spans="1:9" s="338" customFormat="1" x14ac:dyDescent="0.2">
      <c r="A33" s="556" t="s">
        <v>90</v>
      </c>
      <c r="B33" s="557">
        <f>SUM(B30:B32)</f>
        <v>0</v>
      </c>
      <c r="C33" s="954"/>
      <c r="D33" s="954"/>
      <c r="E33" s="954"/>
      <c r="F33" s="954"/>
      <c r="G33" s="954"/>
      <c r="H33" s="954"/>
      <c r="I33" s="954"/>
    </row>
    <row r="34" spans="1:9" s="334" customFormat="1" x14ac:dyDescent="0.2">
      <c r="A34" s="392"/>
      <c r="B34" s="392"/>
      <c r="C34" s="561"/>
      <c r="D34" s="392"/>
      <c r="E34" s="392"/>
      <c r="F34" s="392"/>
      <c r="G34" s="392"/>
      <c r="H34" s="392"/>
      <c r="I34" s="392"/>
    </row>
    <row r="35" spans="1:9" s="340" customFormat="1" x14ac:dyDescent="0.2">
      <c r="A35" s="937" t="s">
        <v>143</v>
      </c>
      <c r="B35" s="937"/>
      <c r="C35" s="937"/>
      <c r="D35" s="937"/>
      <c r="E35" s="937"/>
      <c r="F35" s="937"/>
      <c r="G35" s="937"/>
      <c r="H35" s="937"/>
      <c r="I35" s="937"/>
    </row>
    <row r="36" spans="1:9" s="334" customFormat="1" ht="12.6" customHeight="1" x14ac:dyDescent="0.2">
      <c r="A36" s="392"/>
      <c r="B36" s="392"/>
      <c r="C36" s="562"/>
      <c r="D36" s="392"/>
      <c r="E36" s="392"/>
      <c r="F36" s="392"/>
      <c r="G36" s="392"/>
      <c r="H36" s="392"/>
      <c r="I36" s="392"/>
    </row>
    <row r="37" spans="1:9" s="334" customFormat="1" x14ac:dyDescent="0.2">
      <c r="A37" s="539" t="s">
        <v>144</v>
      </c>
      <c r="B37" s="551" t="s">
        <v>145</v>
      </c>
      <c r="C37" s="955" t="s">
        <v>146</v>
      </c>
      <c r="D37" s="955"/>
      <c r="E37" s="955"/>
      <c r="F37" s="955"/>
      <c r="G37" s="955"/>
      <c r="H37" s="955"/>
      <c r="I37" s="956"/>
    </row>
    <row r="38" spans="1:9" s="334" customFormat="1" ht="13.9" customHeight="1" x14ac:dyDescent="0.2">
      <c r="A38" s="563">
        <v>2000</v>
      </c>
      <c r="B38" s="563">
        <v>0</v>
      </c>
      <c r="C38" s="957" t="s">
        <v>383</v>
      </c>
      <c r="D38" s="957"/>
      <c r="E38" s="957"/>
      <c r="F38" s="957"/>
      <c r="G38" s="957"/>
      <c r="H38" s="957"/>
      <c r="I38" s="957"/>
    </row>
    <row r="39" spans="1:9" s="334" customFormat="1" x14ac:dyDescent="0.2">
      <c r="A39" s="564">
        <v>0</v>
      </c>
      <c r="B39" s="564">
        <v>0</v>
      </c>
      <c r="C39" s="958"/>
      <c r="D39" s="958"/>
      <c r="E39" s="958"/>
      <c r="F39" s="958"/>
      <c r="G39" s="958"/>
      <c r="H39" s="958"/>
      <c r="I39" s="958"/>
    </row>
    <row r="40" spans="1:9" s="338" customFormat="1" x14ac:dyDescent="0.15">
      <c r="A40" s="565">
        <f>SUM(A38:A39)</f>
        <v>2000</v>
      </c>
      <c r="B40" s="565">
        <f>SUM(B38:B39)</f>
        <v>0</v>
      </c>
      <c r="C40" s="959" t="s">
        <v>90</v>
      </c>
      <c r="D40" s="960"/>
      <c r="E40" s="960"/>
      <c r="F40" s="960"/>
      <c r="G40" s="960"/>
      <c r="H40" s="960"/>
      <c r="I40" s="961"/>
    </row>
    <row r="41" spans="1:9" s="334" customFormat="1" ht="19.149999999999999" customHeight="1" x14ac:dyDescent="0.2">
      <c r="A41" s="392"/>
      <c r="B41" s="392"/>
      <c r="C41" s="562"/>
      <c r="D41" s="392"/>
      <c r="E41" s="392"/>
      <c r="F41" s="392"/>
      <c r="G41" s="392"/>
      <c r="H41" s="392"/>
      <c r="I41" s="392"/>
    </row>
    <row r="42" spans="1:9" s="334" customFormat="1" ht="16.899999999999999" customHeight="1" x14ac:dyDescent="0.2">
      <c r="A42" s="937" t="s">
        <v>148</v>
      </c>
      <c r="B42" s="946"/>
      <c r="C42" s="946"/>
      <c r="D42" s="946"/>
      <c r="E42" s="946"/>
      <c r="F42" s="946"/>
      <c r="G42" s="946"/>
      <c r="H42" s="946"/>
      <c r="I42" s="946"/>
    </row>
    <row r="43" spans="1:9" s="334" customFormat="1" ht="11.25" x14ac:dyDescent="0.2">
      <c r="C43" s="369"/>
    </row>
    <row r="44" spans="1:9" s="373" customFormat="1" ht="31.5" x14ac:dyDescent="0.25">
      <c r="A44" s="866" t="s">
        <v>149</v>
      </c>
      <c r="B44" s="867"/>
      <c r="C44" s="372" t="s">
        <v>150</v>
      </c>
      <c r="D44" s="372" t="s">
        <v>151</v>
      </c>
      <c r="E44" s="372" t="s">
        <v>152</v>
      </c>
      <c r="F44" s="372" t="s">
        <v>153</v>
      </c>
      <c r="G44" s="372" t="s">
        <v>154</v>
      </c>
    </row>
    <row r="45" spans="1:9" s="334" customFormat="1" ht="18.600000000000001" customHeight="1" x14ac:dyDescent="0.2">
      <c r="A45" s="951" t="s">
        <v>384</v>
      </c>
      <c r="B45" s="952"/>
      <c r="C45" s="566" t="s">
        <v>385</v>
      </c>
      <c r="D45" s="567">
        <v>0</v>
      </c>
      <c r="E45" s="567">
        <v>-2000</v>
      </c>
      <c r="F45" s="568">
        <v>42885</v>
      </c>
      <c r="G45" s="568">
        <v>42885</v>
      </c>
    </row>
    <row r="46" spans="1:9" s="334" customFormat="1" ht="30" customHeight="1" x14ac:dyDescent="0.2">
      <c r="A46" s="951" t="s">
        <v>386</v>
      </c>
      <c r="B46" s="953"/>
      <c r="C46" s="566" t="s">
        <v>387</v>
      </c>
      <c r="D46" s="567">
        <v>0</v>
      </c>
      <c r="E46" s="567">
        <v>2000</v>
      </c>
      <c r="F46" s="568">
        <v>42885</v>
      </c>
      <c r="G46" s="568">
        <v>42885</v>
      </c>
    </row>
    <row r="47" spans="1:9" s="334" customFormat="1" ht="26.45" customHeight="1" x14ac:dyDescent="0.2">
      <c r="A47" s="951" t="s">
        <v>388</v>
      </c>
      <c r="B47" s="953"/>
      <c r="C47" s="566" t="s">
        <v>389</v>
      </c>
      <c r="D47" s="567">
        <v>0</v>
      </c>
      <c r="E47" s="567">
        <v>-14200</v>
      </c>
      <c r="F47" s="568">
        <v>42885</v>
      </c>
      <c r="G47" s="568">
        <v>42885</v>
      </c>
    </row>
    <row r="48" spans="1:9" s="334" customFormat="1" ht="26.45" customHeight="1" x14ac:dyDescent="0.2">
      <c r="A48" s="951" t="s">
        <v>390</v>
      </c>
      <c r="B48" s="953"/>
      <c r="C48" s="566" t="s">
        <v>391</v>
      </c>
      <c r="D48" s="567">
        <v>0</v>
      </c>
      <c r="E48" s="567">
        <v>14200</v>
      </c>
      <c r="F48" s="568">
        <v>42885</v>
      </c>
      <c r="G48" s="568">
        <v>42885</v>
      </c>
    </row>
    <row r="49" spans="1:9" s="334" customFormat="1" ht="18" customHeight="1" x14ac:dyDescent="0.2">
      <c r="A49" s="872" t="s">
        <v>169</v>
      </c>
      <c r="B49" s="873"/>
      <c r="C49" s="569"/>
      <c r="D49" s="549">
        <f>SUM(D45:D47)</f>
        <v>0</v>
      </c>
      <c r="E49" s="549">
        <v>0</v>
      </c>
      <c r="F49" s="944"/>
      <c r="G49" s="945"/>
    </row>
    <row r="50" spans="1:9" s="334" customFormat="1" ht="11.25" x14ac:dyDescent="0.2">
      <c r="C50" s="369"/>
    </row>
    <row r="51" spans="1:9" s="334" customFormat="1" ht="16.149999999999999" customHeight="1" x14ac:dyDescent="0.2">
      <c r="A51" s="946" t="s">
        <v>392</v>
      </c>
      <c r="B51" s="946"/>
      <c r="C51" s="946"/>
      <c r="D51" s="946"/>
      <c r="E51" s="946"/>
      <c r="F51" s="946"/>
      <c r="G51" s="946"/>
      <c r="H51" s="946"/>
      <c r="I51" s="946"/>
    </row>
    <row r="52" spans="1:9" s="334" customFormat="1" ht="19.149999999999999" customHeight="1" x14ac:dyDescent="0.2">
      <c r="A52" s="550" t="s">
        <v>376</v>
      </c>
      <c r="C52" s="369"/>
    </row>
    <row r="53" spans="1:9" s="373" customFormat="1" ht="31.5" x14ac:dyDescent="0.25">
      <c r="A53" s="866" t="s">
        <v>149</v>
      </c>
      <c r="B53" s="867"/>
      <c r="C53" s="372" t="s">
        <v>150</v>
      </c>
      <c r="D53" s="372" t="s">
        <v>151</v>
      </c>
      <c r="E53" s="372" t="s">
        <v>152</v>
      </c>
      <c r="F53" s="372" t="s">
        <v>153</v>
      </c>
      <c r="G53" s="372" t="s">
        <v>154</v>
      </c>
    </row>
    <row r="54" spans="1:9" s="334" customFormat="1" ht="12" customHeight="1" x14ac:dyDescent="0.2">
      <c r="A54" s="947"/>
      <c r="B54" s="948"/>
      <c r="C54" s="570"/>
      <c r="D54" s="571">
        <v>0</v>
      </c>
      <c r="E54" s="571">
        <v>0</v>
      </c>
      <c r="F54" s="572"/>
      <c r="G54" s="390"/>
    </row>
    <row r="55" spans="1:9" s="334" customFormat="1" ht="13.15" customHeight="1" x14ac:dyDescent="0.2">
      <c r="A55" s="949"/>
      <c r="B55" s="950"/>
      <c r="C55" s="573"/>
      <c r="D55" s="574">
        <v>0</v>
      </c>
      <c r="E55" s="574">
        <v>0</v>
      </c>
      <c r="F55" s="575"/>
      <c r="G55" s="435"/>
    </row>
    <row r="56" spans="1:9" s="334" customFormat="1" x14ac:dyDescent="0.2">
      <c r="A56" s="941" t="s">
        <v>169</v>
      </c>
      <c r="B56" s="942"/>
      <c r="C56" s="387"/>
      <c r="D56" s="354">
        <f>SUM(D54:D55)</f>
        <v>0</v>
      </c>
      <c r="E56" s="354">
        <f>SUM(E54:E55)</f>
        <v>0</v>
      </c>
      <c r="F56" s="874"/>
      <c r="G56" s="875"/>
    </row>
    <row r="57" spans="1:9" s="334" customFormat="1" ht="11.25" x14ac:dyDescent="0.2">
      <c r="C57" s="369"/>
    </row>
    <row r="58" spans="1:9" s="340" customFormat="1" ht="14.45" customHeight="1" x14ac:dyDescent="0.2">
      <c r="A58" s="943" t="s">
        <v>172</v>
      </c>
      <c r="B58" s="943"/>
      <c r="C58" s="943"/>
      <c r="D58" s="943"/>
      <c r="E58" s="943"/>
      <c r="F58" s="943"/>
      <c r="G58" s="943"/>
      <c r="H58" s="943"/>
      <c r="I58" s="943"/>
    </row>
    <row r="59" spans="1:9" s="334" customFormat="1" ht="11.25" x14ac:dyDescent="0.2"/>
    <row r="60" spans="1:9" s="334" customFormat="1" ht="16.899999999999999" customHeight="1" x14ac:dyDescent="0.2">
      <c r="A60" s="938" t="s">
        <v>393</v>
      </c>
      <c r="B60" s="858"/>
      <c r="C60" s="858"/>
      <c r="D60" s="858"/>
      <c r="E60" s="858"/>
      <c r="F60" s="858"/>
      <c r="G60" s="858"/>
      <c r="H60" s="858"/>
      <c r="I60" s="859"/>
    </row>
    <row r="61" spans="1:9" s="334" customFormat="1" ht="11.25" x14ac:dyDescent="0.2">
      <c r="A61" s="857"/>
      <c r="B61" s="858"/>
      <c r="C61" s="858"/>
      <c r="D61" s="858"/>
      <c r="E61" s="858"/>
      <c r="F61" s="858"/>
      <c r="G61" s="858"/>
      <c r="H61" s="858"/>
      <c r="I61" s="859"/>
    </row>
    <row r="62" spans="1:9" s="334" customFormat="1" ht="11.25" x14ac:dyDescent="0.2">
      <c r="A62" s="857"/>
      <c r="B62" s="858"/>
      <c r="C62" s="858"/>
      <c r="D62" s="858"/>
      <c r="E62" s="858"/>
      <c r="F62" s="858"/>
      <c r="G62" s="858"/>
      <c r="H62" s="858"/>
      <c r="I62" s="859"/>
    </row>
    <row r="63" spans="1:9" s="334" customFormat="1" ht="11.25" x14ac:dyDescent="0.2"/>
    <row r="64" spans="1:9" s="333" customFormat="1" ht="16.149999999999999" customHeight="1" x14ac:dyDescent="0.2">
      <c r="A64" s="937" t="s">
        <v>175</v>
      </c>
      <c r="B64" s="937"/>
      <c r="C64" s="937"/>
      <c r="D64" s="937"/>
      <c r="E64" s="937"/>
      <c r="F64" s="937"/>
      <c r="G64" s="937"/>
      <c r="H64" s="937"/>
      <c r="I64" s="937"/>
    </row>
    <row r="65" spans="1:9" s="334" customFormat="1" ht="16.899999999999999" customHeight="1" x14ac:dyDescent="0.2"/>
    <row r="66" spans="1:9" s="334" customFormat="1" ht="64.150000000000006" customHeight="1" x14ac:dyDescent="0.2">
      <c r="A66" s="938" t="s">
        <v>394</v>
      </c>
      <c r="B66" s="863"/>
      <c r="C66" s="863"/>
      <c r="D66" s="863"/>
      <c r="E66" s="863"/>
      <c r="F66" s="863"/>
      <c r="G66" s="863"/>
      <c r="H66" s="863"/>
      <c r="I66" s="864"/>
    </row>
    <row r="67" spans="1:9" s="334" customFormat="1" ht="18.600000000000001" customHeight="1" x14ac:dyDescent="0.2">
      <c r="A67" s="938" t="s">
        <v>395</v>
      </c>
      <c r="B67" s="939"/>
      <c r="C67" s="939"/>
      <c r="D67" s="939"/>
      <c r="E67" s="939"/>
      <c r="F67" s="939"/>
      <c r="G67" s="939"/>
      <c r="H67" s="939"/>
      <c r="I67" s="940"/>
    </row>
    <row r="68" spans="1:9" s="334" customFormat="1" ht="15.6" customHeight="1" x14ac:dyDescent="0.2">
      <c r="A68" s="857"/>
      <c r="B68" s="858"/>
      <c r="C68" s="858"/>
      <c r="D68" s="858"/>
      <c r="E68" s="858"/>
      <c r="F68" s="858"/>
      <c r="G68" s="858"/>
      <c r="H68" s="858"/>
      <c r="I68" s="859"/>
    </row>
    <row r="70" spans="1:9" ht="18.75" x14ac:dyDescent="0.3">
      <c r="A70" s="391"/>
    </row>
    <row r="71" spans="1:9" ht="18.75" x14ac:dyDescent="0.3">
      <c r="A71" s="391"/>
    </row>
  </sheetData>
  <mergeCells count="58">
    <mergeCell ref="G12:I12"/>
    <mergeCell ref="A1:I1"/>
    <mergeCell ref="A3:I3"/>
    <mergeCell ref="A5:B5"/>
    <mergeCell ref="D5:I5"/>
    <mergeCell ref="A6:B6"/>
    <mergeCell ref="D6:I6"/>
    <mergeCell ref="A7:B7"/>
    <mergeCell ref="D7:I7"/>
    <mergeCell ref="A8:B8"/>
    <mergeCell ref="D8:I8"/>
    <mergeCell ref="A10:I10"/>
    <mergeCell ref="C25:I25"/>
    <mergeCell ref="G13:I13"/>
    <mergeCell ref="G14:I14"/>
    <mergeCell ref="G15:I15"/>
    <mergeCell ref="G16:I16"/>
    <mergeCell ref="G17:I17"/>
    <mergeCell ref="A19:I19"/>
    <mergeCell ref="D21:I21"/>
    <mergeCell ref="A22:A24"/>
    <mergeCell ref="D22:I22"/>
    <mergeCell ref="D23:I23"/>
    <mergeCell ref="D24:I24"/>
    <mergeCell ref="C40:I40"/>
    <mergeCell ref="A27:I27"/>
    <mergeCell ref="D29:I29"/>
    <mergeCell ref="A30:A32"/>
    <mergeCell ref="D30:I30"/>
    <mergeCell ref="D31:I31"/>
    <mergeCell ref="D32:I32"/>
    <mergeCell ref="C33:I33"/>
    <mergeCell ref="A35:I35"/>
    <mergeCell ref="C37:I37"/>
    <mergeCell ref="C38:I38"/>
    <mergeCell ref="C39:I39"/>
    <mergeCell ref="A55:B55"/>
    <mergeCell ref="A42:I42"/>
    <mergeCell ref="A44:B44"/>
    <mergeCell ref="A45:B45"/>
    <mergeCell ref="A46:B46"/>
    <mergeCell ref="A47:B47"/>
    <mergeCell ref="A48:B48"/>
    <mergeCell ref="A49:B49"/>
    <mergeCell ref="F49:G49"/>
    <mergeCell ref="A51:I51"/>
    <mergeCell ref="A53:B53"/>
    <mergeCell ref="A54:B54"/>
    <mergeCell ref="A64:I64"/>
    <mergeCell ref="A66:I66"/>
    <mergeCell ref="A67:I67"/>
    <mergeCell ref="A68:I68"/>
    <mergeCell ref="A56:B56"/>
    <mergeCell ref="F56:G56"/>
    <mergeCell ref="A58:I58"/>
    <mergeCell ref="A60:I60"/>
    <mergeCell ref="A61:I61"/>
    <mergeCell ref="A62:I62"/>
  </mergeCells>
  <pageMargins left="0.70866141732283472" right="0.70866141732283472" top="0.78740157480314965" bottom="0.78740157480314965" header="0.31496062992125984" footer="0.31496062992125984"/>
  <pageSetup paperSize="9" scale="54" firstPageNumber="62" fitToHeight="3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sqref="A1:XFD1048576"/>
    </sheetView>
  </sheetViews>
  <sheetFormatPr defaultColWidth="3.7109375" defaultRowHeight="15" x14ac:dyDescent="0.25"/>
  <cols>
    <col min="1" max="1" width="3.140625" style="42" customWidth="1"/>
    <col min="2" max="2" width="3.7109375" style="43" customWidth="1"/>
    <col min="3" max="3" width="21" style="43" customWidth="1"/>
    <col min="4" max="4" width="4.85546875" style="43" customWidth="1"/>
    <col min="5" max="7" width="6.28515625" style="43" customWidth="1"/>
    <col min="8" max="8" width="5" style="43" customWidth="1"/>
    <col min="9" max="12" width="6.28515625" style="43" customWidth="1"/>
    <col min="13" max="13" width="5" style="43" customWidth="1"/>
    <col min="14" max="17" width="6.28515625" style="43" customWidth="1"/>
    <col min="18" max="18" width="5" style="43" customWidth="1"/>
    <col min="19" max="22" width="6.28515625" style="43" customWidth="1"/>
    <col min="23" max="23" width="5" style="43" customWidth="1"/>
    <col min="24" max="24" width="6.28515625" style="43" customWidth="1"/>
    <col min="25" max="16384" width="3.7109375" style="43"/>
  </cols>
  <sheetData>
    <row r="1" spans="1:24" s="1" customFormat="1" ht="15.75" x14ac:dyDescent="0.25">
      <c r="A1" s="853" t="s">
        <v>81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4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4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4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13</v>
      </c>
      <c r="X5" s="850"/>
    </row>
    <row r="6" spans="1:24" s="2" customFormat="1" ht="9.75" customHeight="1" x14ac:dyDescent="0.2">
      <c r="A6" s="6" t="s">
        <v>14</v>
      </c>
      <c r="B6" s="849" t="s">
        <v>15</v>
      </c>
      <c r="C6" s="849"/>
      <c r="D6" s="7" t="s">
        <v>16</v>
      </c>
      <c r="E6" s="8">
        <f>SUM(E7:E9)</f>
        <v>6969660</v>
      </c>
      <c r="F6" s="8">
        <f>SUM(F7:F9)</f>
        <v>7518510</v>
      </c>
      <c r="G6" s="8">
        <f>SUM(G7:G9)</f>
        <v>3514657</v>
      </c>
      <c r="H6" s="9">
        <f t="shared" ref="H6:H36" si="0">G6/F6*100</f>
        <v>46.746722422394868</v>
      </c>
      <c r="I6" s="8">
        <f>SUM(I7:I9)</f>
        <v>3254780</v>
      </c>
      <c r="J6" s="8">
        <f>SUM(J7:J9)</f>
        <v>1709590</v>
      </c>
      <c r="K6" s="8">
        <f t="shared" ref="K6:X6" si="1">SUM(K7:K9)</f>
        <v>2258440</v>
      </c>
      <c r="L6" s="8">
        <f t="shared" si="1"/>
        <v>983924</v>
      </c>
      <c r="M6" s="9">
        <f t="shared" ref="M6:M29" si="2">L6/K6*100</f>
        <v>43.566532650856345</v>
      </c>
      <c r="N6" s="8">
        <f t="shared" si="1"/>
        <v>886436</v>
      </c>
      <c r="O6" s="8">
        <f t="shared" si="1"/>
        <v>5260070</v>
      </c>
      <c r="P6" s="8">
        <f t="shared" si="1"/>
        <v>5260070</v>
      </c>
      <c r="Q6" s="8">
        <f t="shared" si="1"/>
        <v>2530733</v>
      </c>
      <c r="R6" s="9">
        <f t="shared" ref="R6:R36" si="3">Q6/P6*100</f>
        <v>48.112154400987059</v>
      </c>
      <c r="S6" s="8">
        <f t="shared" si="1"/>
        <v>2368344</v>
      </c>
      <c r="T6" s="8">
        <f t="shared" si="1"/>
        <v>15000</v>
      </c>
      <c r="U6" s="8">
        <f t="shared" si="1"/>
        <v>15000</v>
      </c>
      <c r="V6" s="8">
        <f t="shared" si="1"/>
        <v>0</v>
      </c>
      <c r="W6" s="9">
        <f t="shared" ref="W6:W33" si="4">V6/U6*100</f>
        <v>0</v>
      </c>
      <c r="X6" s="8">
        <f t="shared" si="1"/>
        <v>0</v>
      </c>
    </row>
    <row r="7" spans="1:24" s="2" customFormat="1" ht="9.75" x14ac:dyDescent="0.2">
      <c r="A7" s="10" t="s">
        <v>17</v>
      </c>
      <c r="B7" s="845" t="s">
        <v>18</v>
      </c>
      <c r="C7" s="845"/>
      <c r="D7" s="11" t="s">
        <v>16</v>
      </c>
      <c r="E7" s="12">
        <f t="shared" ref="E7:G9" si="5">SUM(J7,O7)</f>
        <v>430000</v>
      </c>
      <c r="F7" s="12">
        <f t="shared" si="5"/>
        <v>498850</v>
      </c>
      <c r="G7" s="12">
        <f t="shared" si="5"/>
        <v>344175</v>
      </c>
      <c r="H7" s="13">
        <f t="shared" si="0"/>
        <v>68.99368547659617</v>
      </c>
      <c r="I7" s="12">
        <f>SUM(N7,S7)</f>
        <v>233200</v>
      </c>
      <c r="J7" s="44">
        <v>430000</v>
      </c>
      <c r="K7" s="14">
        <v>498850</v>
      </c>
      <c r="L7" s="14">
        <v>344175</v>
      </c>
      <c r="M7" s="13">
        <f t="shared" si="2"/>
        <v>68.99368547659617</v>
      </c>
      <c r="N7" s="14">
        <v>233200</v>
      </c>
      <c r="O7" s="14"/>
      <c r="P7" s="14"/>
      <c r="Q7" s="14"/>
      <c r="R7" s="13"/>
      <c r="S7" s="14"/>
      <c r="T7" s="14">
        <v>15000</v>
      </c>
      <c r="U7" s="14">
        <v>15000</v>
      </c>
      <c r="V7" s="14">
        <v>0</v>
      </c>
      <c r="W7" s="13">
        <f t="shared" si="4"/>
        <v>0</v>
      </c>
      <c r="X7" s="14"/>
    </row>
    <row r="8" spans="1:24" s="2" customFormat="1" ht="9.75" x14ac:dyDescent="0.2">
      <c r="A8" s="15" t="s">
        <v>19</v>
      </c>
      <c r="B8" s="848" t="s">
        <v>20</v>
      </c>
      <c r="C8" s="848"/>
      <c r="D8" s="11" t="s">
        <v>16</v>
      </c>
      <c r="E8" s="12">
        <f t="shared" si="5"/>
        <v>300</v>
      </c>
      <c r="F8" s="12">
        <f t="shared" si="5"/>
        <v>300</v>
      </c>
      <c r="G8" s="12">
        <f t="shared" si="5"/>
        <v>104</v>
      </c>
      <c r="H8" s="13">
        <f t="shared" si="0"/>
        <v>34.666666666666671</v>
      </c>
      <c r="I8" s="12">
        <f>SUM(N8,S8)</f>
        <v>156</v>
      </c>
      <c r="J8" s="45">
        <v>300</v>
      </c>
      <c r="K8" s="12">
        <v>300</v>
      </c>
      <c r="L8" s="12">
        <v>104</v>
      </c>
      <c r="M8" s="13">
        <f t="shared" si="2"/>
        <v>34.666666666666671</v>
      </c>
      <c r="N8" s="12">
        <v>156</v>
      </c>
      <c r="O8" s="12"/>
      <c r="P8" s="12"/>
      <c r="Q8" s="12"/>
      <c r="R8" s="13"/>
      <c r="S8" s="12"/>
      <c r="T8" s="12"/>
      <c r="U8" s="12"/>
      <c r="V8" s="12"/>
      <c r="W8" s="13"/>
      <c r="X8" s="12"/>
    </row>
    <row r="9" spans="1:24" s="2" customFormat="1" ht="9.75" x14ac:dyDescent="0.2">
      <c r="A9" s="15" t="s">
        <v>21</v>
      </c>
      <c r="B9" s="16" t="s">
        <v>22</v>
      </c>
      <c r="C9" s="17"/>
      <c r="D9" s="11" t="s">
        <v>16</v>
      </c>
      <c r="E9" s="12">
        <f t="shared" si="5"/>
        <v>6539360</v>
      </c>
      <c r="F9" s="12">
        <f t="shared" si="5"/>
        <v>7019360</v>
      </c>
      <c r="G9" s="12">
        <f t="shared" si="5"/>
        <v>3170378</v>
      </c>
      <c r="H9" s="13">
        <f t="shared" si="0"/>
        <v>45.166197488090084</v>
      </c>
      <c r="I9" s="12">
        <f>SUM(N9,S9)</f>
        <v>3021424</v>
      </c>
      <c r="J9" s="45">
        <v>1279290</v>
      </c>
      <c r="K9" s="12">
        <v>1759290</v>
      </c>
      <c r="L9" s="12">
        <v>639645</v>
      </c>
      <c r="M9" s="13">
        <f t="shared" si="2"/>
        <v>36.358133110516171</v>
      </c>
      <c r="N9" s="12">
        <v>653080</v>
      </c>
      <c r="O9" s="12">
        <v>5260070</v>
      </c>
      <c r="P9" s="12">
        <v>5260070</v>
      </c>
      <c r="Q9" s="12">
        <v>2530733</v>
      </c>
      <c r="R9" s="13">
        <f t="shared" si="3"/>
        <v>48.112154400987059</v>
      </c>
      <c r="S9" s="12">
        <v>2368344</v>
      </c>
      <c r="T9" s="12"/>
      <c r="U9" s="12"/>
      <c r="V9" s="12"/>
      <c r="W9" s="13"/>
      <c r="X9" s="12"/>
    </row>
    <row r="10" spans="1:24" s="2" customFormat="1" ht="9.75" x14ac:dyDescent="0.2">
      <c r="A10" s="6" t="s">
        <v>23</v>
      </c>
      <c r="B10" s="849" t="s">
        <v>24</v>
      </c>
      <c r="C10" s="849"/>
      <c r="D10" s="7" t="s">
        <v>16</v>
      </c>
      <c r="E10" s="18"/>
      <c r="F10" s="18"/>
      <c r="G10" s="18"/>
      <c r="H10" s="9"/>
      <c r="I10" s="18"/>
      <c r="J10" s="19"/>
      <c r="K10" s="18"/>
      <c r="L10" s="18"/>
      <c r="M10" s="9"/>
      <c r="N10" s="18"/>
      <c r="O10" s="18"/>
      <c r="P10" s="18"/>
      <c r="Q10" s="18"/>
      <c r="R10" s="9"/>
      <c r="S10" s="18"/>
      <c r="T10" s="18"/>
      <c r="U10" s="18"/>
      <c r="V10" s="18"/>
      <c r="W10" s="9"/>
      <c r="X10" s="18"/>
    </row>
    <row r="11" spans="1:24" s="2" customFormat="1" ht="9.75" x14ac:dyDescent="0.2">
      <c r="A11" s="6" t="s">
        <v>25</v>
      </c>
      <c r="B11" s="849" t="s">
        <v>26</v>
      </c>
      <c r="C11" s="849"/>
      <c r="D11" s="7" t="s">
        <v>16</v>
      </c>
      <c r="E11" s="8">
        <f>SUM(E12:E31)</f>
        <v>6969660</v>
      </c>
      <c r="F11" s="8">
        <f>SUM(F12:F31)</f>
        <v>7518510</v>
      </c>
      <c r="G11" s="8">
        <f>SUM(G12:G31)</f>
        <v>3241627</v>
      </c>
      <c r="H11" s="9">
        <f t="shared" si="0"/>
        <v>43.115284810421208</v>
      </c>
      <c r="I11" s="8">
        <f>SUM(I12:I31)</f>
        <v>3156762</v>
      </c>
      <c r="J11" s="8">
        <f>SUM(J12:J31)</f>
        <v>1709590</v>
      </c>
      <c r="K11" s="8">
        <f>SUM(K12:K31)</f>
        <v>2258440</v>
      </c>
      <c r="L11" s="8">
        <f>SUM(L12:L31)</f>
        <v>710894</v>
      </c>
      <c r="M11" s="9">
        <f t="shared" si="2"/>
        <v>31.477214360354932</v>
      </c>
      <c r="N11" s="8">
        <f>SUM(N12:N31)</f>
        <v>788418</v>
      </c>
      <c r="O11" s="8">
        <f>SUM(O12:O31)</f>
        <v>5260070</v>
      </c>
      <c r="P11" s="8">
        <f>SUM(P12:P31)</f>
        <v>5260070</v>
      </c>
      <c r="Q11" s="8">
        <f>SUM(Q12:Q31)</f>
        <v>2530733</v>
      </c>
      <c r="R11" s="9">
        <f t="shared" si="3"/>
        <v>48.112154400987059</v>
      </c>
      <c r="S11" s="8">
        <f>SUM(S12:S31)</f>
        <v>2368344</v>
      </c>
      <c r="T11" s="8">
        <f>SUM(T12:T31)</f>
        <v>10000</v>
      </c>
      <c r="U11" s="8">
        <f>SUM(U12:U31)</f>
        <v>10000</v>
      </c>
      <c r="V11" s="8">
        <f>SUM(V12:V31)</f>
        <v>0</v>
      </c>
      <c r="W11" s="9">
        <f t="shared" si="4"/>
        <v>0</v>
      </c>
      <c r="X11" s="8">
        <f>SUM(X12:X31)</f>
        <v>0</v>
      </c>
    </row>
    <row r="12" spans="1:24" s="2" customFormat="1" ht="9.75" x14ac:dyDescent="0.2">
      <c r="A12" s="10" t="s">
        <v>27</v>
      </c>
      <c r="B12" s="845" t="s">
        <v>28</v>
      </c>
      <c r="C12" s="845"/>
      <c r="D12" s="11" t="s">
        <v>16</v>
      </c>
      <c r="E12" s="12">
        <f t="shared" ref="E12:I29" si="6">SUM(J12,O12)</f>
        <v>261000</v>
      </c>
      <c r="F12" s="12">
        <f t="shared" si="6"/>
        <v>261000</v>
      </c>
      <c r="G12" s="12">
        <f t="shared" si="6"/>
        <v>138239</v>
      </c>
      <c r="H12" s="13">
        <f t="shared" si="0"/>
        <v>52.965134099616861</v>
      </c>
      <c r="I12" s="12">
        <f t="shared" si="6"/>
        <v>120001</v>
      </c>
      <c r="J12" s="20">
        <v>261000</v>
      </c>
      <c r="K12" s="21">
        <v>261000</v>
      </c>
      <c r="L12" s="21">
        <v>138239</v>
      </c>
      <c r="M12" s="13">
        <f t="shared" si="2"/>
        <v>52.965134099616861</v>
      </c>
      <c r="N12" s="22">
        <v>120001</v>
      </c>
      <c r="O12" s="21"/>
      <c r="P12" s="21"/>
      <c r="Q12" s="21"/>
      <c r="R12" s="13"/>
      <c r="S12" s="21"/>
      <c r="T12" s="21"/>
      <c r="U12" s="21"/>
      <c r="V12" s="21"/>
      <c r="W12" s="13"/>
      <c r="X12" s="22"/>
    </row>
    <row r="13" spans="1:24" s="2" customFormat="1" ht="9.75" x14ac:dyDescent="0.2">
      <c r="A13" s="10" t="s">
        <v>29</v>
      </c>
      <c r="B13" s="845" t="s">
        <v>30</v>
      </c>
      <c r="C13" s="845"/>
      <c r="D13" s="11" t="s">
        <v>16</v>
      </c>
      <c r="E13" s="12">
        <f t="shared" si="6"/>
        <v>535000</v>
      </c>
      <c r="F13" s="12">
        <f t="shared" si="6"/>
        <v>535000</v>
      </c>
      <c r="G13" s="12">
        <f t="shared" si="6"/>
        <v>130750</v>
      </c>
      <c r="H13" s="13">
        <f t="shared" si="0"/>
        <v>24.439252336448597</v>
      </c>
      <c r="I13" s="12">
        <f t="shared" si="6"/>
        <v>165521</v>
      </c>
      <c r="J13" s="20">
        <v>535000</v>
      </c>
      <c r="K13" s="12">
        <v>535000</v>
      </c>
      <c r="L13" s="12">
        <v>130750</v>
      </c>
      <c r="M13" s="13">
        <f t="shared" si="2"/>
        <v>24.439252336448597</v>
      </c>
      <c r="N13" s="12">
        <v>165521</v>
      </c>
      <c r="O13" s="12"/>
      <c r="P13" s="12"/>
      <c r="Q13" s="12"/>
      <c r="R13" s="13"/>
      <c r="S13" s="12"/>
      <c r="T13" s="12"/>
      <c r="U13" s="12"/>
      <c r="V13" s="12"/>
      <c r="W13" s="13"/>
      <c r="X13" s="12"/>
    </row>
    <row r="14" spans="1:24" s="2" customFormat="1" ht="9.75" x14ac:dyDescent="0.2">
      <c r="A14" s="10" t="s">
        <v>31</v>
      </c>
      <c r="B14" s="16" t="s">
        <v>32</v>
      </c>
      <c r="C14" s="16"/>
      <c r="D14" s="11" t="s">
        <v>16</v>
      </c>
      <c r="E14" s="12"/>
      <c r="F14" s="12"/>
      <c r="G14" s="12"/>
      <c r="H14" s="13"/>
      <c r="I14" s="12"/>
      <c r="J14" s="20"/>
      <c r="K14" s="12"/>
      <c r="L14" s="12"/>
      <c r="M14" s="13"/>
      <c r="N14" s="12"/>
      <c r="O14" s="12"/>
      <c r="P14" s="12"/>
      <c r="Q14" s="12"/>
      <c r="R14" s="13"/>
      <c r="S14" s="12"/>
      <c r="T14" s="12"/>
      <c r="U14" s="12"/>
      <c r="V14" s="12"/>
      <c r="W14" s="13"/>
      <c r="X14" s="12"/>
    </row>
    <row r="15" spans="1:24" s="2" customFormat="1" ht="9.75" x14ac:dyDescent="0.2">
      <c r="A15" s="10" t="s">
        <v>33</v>
      </c>
      <c r="B15" s="845" t="s">
        <v>34</v>
      </c>
      <c r="C15" s="845"/>
      <c r="D15" s="11" t="s">
        <v>16</v>
      </c>
      <c r="E15" s="12">
        <f t="shared" si="6"/>
        <v>300000</v>
      </c>
      <c r="F15" s="12">
        <f t="shared" si="6"/>
        <v>780000</v>
      </c>
      <c r="G15" s="12">
        <f t="shared" si="6"/>
        <v>111220</v>
      </c>
      <c r="H15" s="13">
        <f t="shared" si="0"/>
        <v>14.258974358974358</v>
      </c>
      <c r="I15" s="12">
        <f t="shared" si="6"/>
        <v>164327</v>
      </c>
      <c r="J15" s="20">
        <v>300000</v>
      </c>
      <c r="K15" s="12">
        <v>780000</v>
      </c>
      <c r="L15" s="12">
        <v>111220</v>
      </c>
      <c r="M15" s="13">
        <f t="shared" si="2"/>
        <v>14.258974358974358</v>
      </c>
      <c r="N15" s="12">
        <v>164327</v>
      </c>
      <c r="O15" s="12"/>
      <c r="P15" s="12"/>
      <c r="Q15" s="12"/>
      <c r="R15" s="13"/>
      <c r="S15" s="12"/>
      <c r="T15" s="12"/>
      <c r="U15" s="12"/>
      <c r="V15" s="12"/>
      <c r="W15" s="13"/>
      <c r="X15" s="12"/>
    </row>
    <row r="16" spans="1:24" s="2" customFormat="1" ht="9.75" x14ac:dyDescent="0.2">
      <c r="A16" s="10" t="s">
        <v>35</v>
      </c>
      <c r="B16" s="845" t="s">
        <v>36</v>
      </c>
      <c r="C16" s="845"/>
      <c r="D16" s="11" t="s">
        <v>16</v>
      </c>
      <c r="E16" s="12">
        <f t="shared" si="6"/>
        <v>2000</v>
      </c>
      <c r="F16" s="12">
        <f t="shared" si="6"/>
        <v>2000</v>
      </c>
      <c r="G16" s="12">
        <f t="shared" si="6"/>
        <v>126</v>
      </c>
      <c r="H16" s="13">
        <f t="shared" si="0"/>
        <v>6.3</v>
      </c>
      <c r="I16" s="12">
        <f t="shared" si="6"/>
        <v>579</v>
      </c>
      <c r="J16" s="20">
        <v>2000</v>
      </c>
      <c r="K16" s="12">
        <v>2000</v>
      </c>
      <c r="L16" s="12">
        <v>126</v>
      </c>
      <c r="M16" s="13">
        <f t="shared" si="2"/>
        <v>6.3</v>
      </c>
      <c r="N16" s="12">
        <v>579</v>
      </c>
      <c r="O16" s="12"/>
      <c r="P16" s="12"/>
      <c r="Q16" s="12"/>
      <c r="R16" s="13"/>
      <c r="S16" s="12"/>
      <c r="T16" s="12"/>
      <c r="U16" s="12"/>
      <c r="V16" s="12"/>
      <c r="W16" s="13"/>
      <c r="X16" s="12"/>
    </row>
    <row r="17" spans="1:24" s="2" customFormat="1" ht="9.75" x14ac:dyDescent="0.2">
      <c r="A17" s="10" t="s">
        <v>37</v>
      </c>
      <c r="B17" s="16" t="s">
        <v>38</v>
      </c>
      <c r="C17" s="16"/>
      <c r="D17" s="11" t="s">
        <v>16</v>
      </c>
      <c r="E17" s="12">
        <f t="shared" si="6"/>
        <v>1084</v>
      </c>
      <c r="F17" s="12">
        <f t="shared" si="6"/>
        <v>1084</v>
      </c>
      <c r="G17" s="12">
        <f t="shared" si="6"/>
        <v>411</v>
      </c>
      <c r="H17" s="13">
        <f t="shared" si="0"/>
        <v>37.915129151291517</v>
      </c>
      <c r="I17" s="12">
        <f t="shared" si="6"/>
        <v>534</v>
      </c>
      <c r="J17" s="20">
        <v>1084</v>
      </c>
      <c r="K17" s="12">
        <v>1084</v>
      </c>
      <c r="L17" s="12">
        <v>411</v>
      </c>
      <c r="M17" s="13">
        <f t="shared" si="2"/>
        <v>37.915129151291517</v>
      </c>
      <c r="N17" s="12">
        <v>534</v>
      </c>
      <c r="O17" s="12"/>
      <c r="P17" s="12"/>
      <c r="Q17" s="12"/>
      <c r="R17" s="13"/>
      <c r="S17" s="12"/>
      <c r="T17" s="12"/>
      <c r="U17" s="12"/>
      <c r="V17" s="12"/>
      <c r="W17" s="13"/>
      <c r="X17" s="12"/>
    </row>
    <row r="18" spans="1:24" s="2" customFormat="1" ht="9.75" x14ac:dyDescent="0.2">
      <c r="A18" s="10" t="s">
        <v>39</v>
      </c>
      <c r="B18" s="845" t="s">
        <v>40</v>
      </c>
      <c r="C18" s="845"/>
      <c r="D18" s="11" t="s">
        <v>16</v>
      </c>
      <c r="E18" s="12">
        <f t="shared" si="6"/>
        <v>251990</v>
      </c>
      <c r="F18" s="12">
        <f t="shared" si="6"/>
        <v>248165</v>
      </c>
      <c r="G18" s="12">
        <f t="shared" si="6"/>
        <v>101508</v>
      </c>
      <c r="H18" s="13">
        <f t="shared" si="0"/>
        <v>40.903431184897144</v>
      </c>
      <c r="I18" s="12">
        <f t="shared" si="6"/>
        <v>109958</v>
      </c>
      <c r="J18" s="20">
        <v>251990</v>
      </c>
      <c r="K18" s="12">
        <v>248165</v>
      </c>
      <c r="L18" s="12">
        <v>101508</v>
      </c>
      <c r="M18" s="13">
        <f t="shared" si="2"/>
        <v>40.903431184897144</v>
      </c>
      <c r="N18" s="12">
        <v>109958</v>
      </c>
      <c r="O18" s="12"/>
      <c r="P18" s="12"/>
      <c r="Q18" s="12"/>
      <c r="R18" s="13"/>
      <c r="S18" s="12"/>
      <c r="T18" s="12"/>
      <c r="U18" s="12"/>
      <c r="V18" s="12"/>
      <c r="W18" s="13"/>
      <c r="X18" s="12"/>
    </row>
    <row r="19" spans="1:24" s="25" customFormat="1" ht="9.75" x14ac:dyDescent="0.2">
      <c r="A19" s="10" t="s">
        <v>41</v>
      </c>
      <c r="B19" s="845" t="s">
        <v>42</v>
      </c>
      <c r="C19" s="845"/>
      <c r="D19" s="11" t="s">
        <v>16</v>
      </c>
      <c r="E19" s="12">
        <f t="shared" si="6"/>
        <v>3832400</v>
      </c>
      <c r="F19" s="12">
        <f t="shared" si="6"/>
        <v>3862400</v>
      </c>
      <c r="G19" s="12">
        <f t="shared" si="6"/>
        <v>1861176</v>
      </c>
      <c r="H19" s="13">
        <f t="shared" si="0"/>
        <v>48.187033968516985</v>
      </c>
      <c r="I19" s="12">
        <f t="shared" si="6"/>
        <v>1742822</v>
      </c>
      <c r="J19" s="23"/>
      <c r="K19" s="12"/>
      <c r="L19" s="12"/>
      <c r="M19" s="13"/>
      <c r="N19" s="12"/>
      <c r="O19" s="12">
        <v>3832400</v>
      </c>
      <c r="P19" s="12">
        <v>3862400</v>
      </c>
      <c r="Q19" s="12">
        <v>1861176</v>
      </c>
      <c r="R19" s="13">
        <f t="shared" si="3"/>
        <v>48.187033968516985</v>
      </c>
      <c r="S19" s="12">
        <v>1742822</v>
      </c>
      <c r="T19" s="24"/>
      <c r="U19" s="24"/>
      <c r="V19" s="24"/>
      <c r="W19" s="13"/>
      <c r="X19" s="24"/>
    </row>
    <row r="20" spans="1:24" s="2" customFormat="1" ht="9.75" x14ac:dyDescent="0.2">
      <c r="A20" s="10" t="s">
        <v>43</v>
      </c>
      <c r="B20" s="845" t="s">
        <v>44</v>
      </c>
      <c r="C20" s="845"/>
      <c r="D20" s="11" t="s">
        <v>16</v>
      </c>
      <c r="E20" s="12">
        <f t="shared" si="6"/>
        <v>1319112</v>
      </c>
      <c r="F20" s="12">
        <f t="shared" si="6"/>
        <v>1319112</v>
      </c>
      <c r="G20" s="12">
        <f t="shared" si="6"/>
        <v>629390</v>
      </c>
      <c r="H20" s="13">
        <f t="shared" si="0"/>
        <v>47.713158549084532</v>
      </c>
      <c r="I20" s="12">
        <f t="shared" si="6"/>
        <v>596142</v>
      </c>
      <c r="J20" s="20"/>
      <c r="K20" s="12"/>
      <c r="L20" s="12"/>
      <c r="M20" s="13"/>
      <c r="N20" s="12"/>
      <c r="O20" s="12">
        <v>1319112</v>
      </c>
      <c r="P20" s="12">
        <v>1319112</v>
      </c>
      <c r="Q20" s="12">
        <v>629390</v>
      </c>
      <c r="R20" s="13">
        <f t="shared" si="3"/>
        <v>47.713158549084532</v>
      </c>
      <c r="S20" s="12">
        <v>596142</v>
      </c>
      <c r="T20" s="12"/>
      <c r="U20" s="12"/>
      <c r="V20" s="12"/>
      <c r="W20" s="13"/>
      <c r="X20" s="12"/>
    </row>
    <row r="21" spans="1:24" s="2" customFormat="1" ht="9.75" x14ac:dyDescent="0.2">
      <c r="A21" s="10" t="s">
        <v>45</v>
      </c>
      <c r="B21" s="845" t="s">
        <v>46</v>
      </c>
      <c r="C21" s="845"/>
      <c r="D21" s="11" t="s">
        <v>16</v>
      </c>
      <c r="E21" s="12">
        <f t="shared" si="6"/>
        <v>133558</v>
      </c>
      <c r="F21" s="12">
        <f t="shared" si="6"/>
        <v>103558</v>
      </c>
      <c r="G21" s="12">
        <f t="shared" si="6"/>
        <v>50342</v>
      </c>
      <c r="H21" s="13">
        <f t="shared" si="0"/>
        <v>48.61237181096584</v>
      </c>
      <c r="I21" s="12">
        <f t="shared" si="6"/>
        <v>42545</v>
      </c>
      <c r="J21" s="20">
        <v>25000</v>
      </c>
      <c r="K21" s="12">
        <v>25000</v>
      </c>
      <c r="L21" s="12">
        <v>10175</v>
      </c>
      <c r="M21" s="13">
        <f t="shared" si="2"/>
        <v>40.699999999999996</v>
      </c>
      <c r="N21" s="12">
        <v>13165</v>
      </c>
      <c r="O21" s="12">
        <v>108558</v>
      </c>
      <c r="P21" s="12">
        <v>78558</v>
      </c>
      <c r="Q21" s="12">
        <v>40167</v>
      </c>
      <c r="R21" s="13">
        <f t="shared" si="3"/>
        <v>51.130375009547095</v>
      </c>
      <c r="S21" s="12">
        <v>29380</v>
      </c>
      <c r="T21" s="12"/>
      <c r="U21" s="12"/>
      <c r="V21" s="12"/>
      <c r="W21" s="13"/>
      <c r="X21" s="12"/>
    </row>
    <row r="22" spans="1:24" s="2" customFormat="1" ht="9.75" x14ac:dyDescent="0.2">
      <c r="A22" s="10" t="s">
        <v>47</v>
      </c>
      <c r="B22" s="845" t="s">
        <v>48</v>
      </c>
      <c r="C22" s="845"/>
      <c r="D22" s="11" t="s">
        <v>16</v>
      </c>
      <c r="E22" s="12"/>
      <c r="F22" s="12"/>
      <c r="G22" s="12"/>
      <c r="H22" s="13"/>
      <c r="I22" s="12"/>
      <c r="J22" s="20"/>
      <c r="K22" s="12"/>
      <c r="L22" s="12"/>
      <c r="M22" s="13"/>
      <c r="N22" s="12"/>
      <c r="O22" s="12"/>
      <c r="P22" s="12"/>
      <c r="Q22" s="12"/>
      <c r="R22" s="13"/>
      <c r="S22" s="12"/>
      <c r="T22" s="12"/>
      <c r="U22" s="12"/>
      <c r="V22" s="12"/>
      <c r="W22" s="13"/>
      <c r="X22" s="12"/>
    </row>
    <row r="23" spans="1:24" s="2" customFormat="1" ht="9.75" x14ac:dyDescent="0.2">
      <c r="A23" s="10" t="s">
        <v>49</v>
      </c>
      <c r="B23" s="16" t="s">
        <v>50</v>
      </c>
      <c r="C23" s="16"/>
      <c r="D23" s="11" t="s">
        <v>16</v>
      </c>
      <c r="E23" s="12"/>
      <c r="F23" s="12"/>
      <c r="G23" s="12"/>
      <c r="H23" s="13"/>
      <c r="I23" s="12"/>
      <c r="J23" s="20"/>
      <c r="K23" s="12"/>
      <c r="L23" s="12"/>
      <c r="M23" s="13"/>
      <c r="N23" s="12"/>
      <c r="O23" s="12"/>
      <c r="P23" s="12"/>
      <c r="Q23" s="12"/>
      <c r="R23" s="13"/>
      <c r="S23" s="12"/>
      <c r="T23" s="12"/>
      <c r="U23" s="12"/>
      <c r="V23" s="12"/>
      <c r="W23" s="13"/>
      <c r="X23" s="12"/>
    </row>
    <row r="24" spans="1:24" s="2" customFormat="1" ht="9.75" x14ac:dyDescent="0.2">
      <c r="A24" s="10" t="s">
        <v>51</v>
      </c>
      <c r="B24" s="16" t="s">
        <v>52</v>
      </c>
      <c r="C24" s="16"/>
      <c r="D24" s="11" t="s">
        <v>16</v>
      </c>
      <c r="E24" s="12"/>
      <c r="F24" s="12"/>
      <c r="G24" s="12"/>
      <c r="H24" s="13"/>
      <c r="I24" s="12"/>
      <c r="J24" s="20"/>
      <c r="K24" s="12"/>
      <c r="L24" s="12"/>
      <c r="M24" s="13"/>
      <c r="N24" s="12"/>
      <c r="O24" s="12"/>
      <c r="P24" s="12"/>
      <c r="Q24" s="12"/>
      <c r="R24" s="13"/>
      <c r="S24" s="12"/>
      <c r="T24" s="12"/>
      <c r="U24" s="12"/>
      <c r="V24" s="12"/>
      <c r="W24" s="13"/>
      <c r="X24" s="12"/>
    </row>
    <row r="25" spans="1:24" s="2" customFormat="1" ht="9.75" x14ac:dyDescent="0.2">
      <c r="A25" s="10" t="s">
        <v>53</v>
      </c>
      <c r="B25" s="16" t="s">
        <v>54</v>
      </c>
      <c r="C25" s="16"/>
      <c r="D25" s="11" t="s">
        <v>16</v>
      </c>
      <c r="E25" s="12"/>
      <c r="F25" s="12"/>
      <c r="G25" s="12"/>
      <c r="H25" s="13"/>
      <c r="I25" s="12"/>
      <c r="J25" s="20"/>
      <c r="K25" s="21"/>
      <c r="L25" s="21"/>
      <c r="M25" s="13"/>
      <c r="N25" s="22"/>
      <c r="O25" s="21"/>
      <c r="P25" s="21"/>
      <c r="Q25" s="21"/>
      <c r="R25" s="13"/>
      <c r="S25" s="21"/>
      <c r="T25" s="21"/>
      <c r="U25" s="21"/>
      <c r="V25" s="21"/>
      <c r="W25" s="13"/>
      <c r="X25" s="21"/>
    </row>
    <row r="26" spans="1:24" s="27" customFormat="1" ht="9.75" x14ac:dyDescent="0.2">
      <c r="A26" s="10" t="s">
        <v>55</v>
      </c>
      <c r="B26" s="845" t="s">
        <v>56</v>
      </c>
      <c r="C26" s="845"/>
      <c r="D26" s="11" t="s">
        <v>16</v>
      </c>
      <c r="E26" s="12">
        <f t="shared" si="6"/>
        <v>131616</v>
      </c>
      <c r="F26" s="12">
        <f t="shared" si="6"/>
        <v>131616</v>
      </c>
      <c r="G26" s="12">
        <f t="shared" si="6"/>
        <v>65364</v>
      </c>
      <c r="H26" s="26">
        <f>G26/F26*100</f>
        <v>49.662654996353027</v>
      </c>
      <c r="I26" s="12">
        <f>SUM(N26,S26)</f>
        <v>63024</v>
      </c>
      <c r="J26" s="20">
        <v>131616</v>
      </c>
      <c r="K26" s="22">
        <v>131616</v>
      </c>
      <c r="L26" s="22">
        <v>65364</v>
      </c>
      <c r="M26" s="13">
        <f>L26/K26*100</f>
        <v>49.662654996353027</v>
      </c>
      <c r="N26" s="22">
        <v>63024</v>
      </c>
      <c r="O26" s="22"/>
      <c r="P26" s="22"/>
      <c r="Q26" s="22"/>
      <c r="R26" s="13"/>
      <c r="S26" s="22"/>
      <c r="T26" s="47"/>
      <c r="U26" s="47"/>
      <c r="V26" s="47"/>
      <c r="W26" s="13"/>
      <c r="X26" s="47"/>
    </row>
    <row r="27" spans="1:24" s="27" customFormat="1" ht="9.75" x14ac:dyDescent="0.2">
      <c r="A27" s="10" t="s">
        <v>57</v>
      </c>
      <c r="B27" s="16" t="s">
        <v>58</v>
      </c>
      <c r="C27" s="16"/>
      <c r="D27" s="11" t="s">
        <v>16</v>
      </c>
      <c r="E27" s="12"/>
      <c r="F27" s="12"/>
      <c r="G27" s="12"/>
      <c r="H27" s="26"/>
      <c r="I27" s="12"/>
      <c r="J27" s="20"/>
      <c r="K27" s="22"/>
      <c r="L27" s="22"/>
      <c r="M27" s="13"/>
      <c r="N27" s="12"/>
      <c r="O27" s="22"/>
      <c r="P27" s="22"/>
      <c r="Q27" s="22"/>
      <c r="R27" s="13"/>
      <c r="S27" s="22"/>
      <c r="T27" s="47"/>
      <c r="U27" s="47"/>
      <c r="V27" s="47"/>
      <c r="W27" s="13"/>
      <c r="X27" s="47"/>
    </row>
    <row r="28" spans="1:24" s="27" customFormat="1" ht="9.75" x14ac:dyDescent="0.2">
      <c r="A28" s="10" t="s">
        <v>59</v>
      </c>
      <c r="B28" s="16" t="s">
        <v>60</v>
      </c>
      <c r="C28" s="16"/>
      <c r="D28" s="11" t="s">
        <v>16</v>
      </c>
      <c r="E28" s="12">
        <f>SUM(J28,O28)</f>
        <v>198900</v>
      </c>
      <c r="F28" s="12">
        <f>SUM(K28,P28)</f>
        <v>267750</v>
      </c>
      <c r="G28" s="12">
        <f>SUM(L28,Q28)</f>
        <v>146276</v>
      </c>
      <c r="H28" s="26">
        <f>G28/F28*100</f>
        <v>54.631559290382825</v>
      </c>
      <c r="I28" s="12">
        <f>SUM(N28,S28)</f>
        <v>148742</v>
      </c>
      <c r="J28" s="20">
        <v>198900</v>
      </c>
      <c r="K28" s="22">
        <v>267750</v>
      </c>
      <c r="L28" s="22">
        <v>146276</v>
      </c>
      <c r="M28" s="13">
        <f>L28/K28*100</f>
        <v>54.631559290382825</v>
      </c>
      <c r="N28" s="12">
        <v>148742</v>
      </c>
      <c r="O28" s="22"/>
      <c r="P28" s="22"/>
      <c r="Q28" s="22"/>
      <c r="R28" s="13"/>
      <c r="S28" s="22"/>
      <c r="T28" s="47">
        <v>10000</v>
      </c>
      <c r="U28" s="47">
        <v>10000</v>
      </c>
      <c r="V28" s="47">
        <v>0</v>
      </c>
      <c r="W28" s="13">
        <f>V28/U28*100</f>
        <v>0</v>
      </c>
      <c r="X28" s="47"/>
    </row>
    <row r="29" spans="1:24" s="28" customFormat="1" ht="9.75" x14ac:dyDescent="0.2">
      <c r="A29" s="10" t="s">
        <v>61</v>
      </c>
      <c r="B29" s="16" t="s">
        <v>62</v>
      </c>
      <c r="C29" s="16"/>
      <c r="D29" s="11" t="s">
        <v>16</v>
      </c>
      <c r="E29" s="12">
        <f t="shared" si="6"/>
        <v>3000</v>
      </c>
      <c r="F29" s="12">
        <f t="shared" si="6"/>
        <v>6825</v>
      </c>
      <c r="G29" s="12">
        <f t="shared" si="6"/>
        <v>6825</v>
      </c>
      <c r="H29" s="26">
        <f t="shared" si="0"/>
        <v>100</v>
      </c>
      <c r="I29" s="12">
        <f t="shared" si="6"/>
        <v>2567</v>
      </c>
      <c r="J29" s="20">
        <v>3000</v>
      </c>
      <c r="K29" s="22">
        <v>6825</v>
      </c>
      <c r="L29" s="22">
        <v>6825</v>
      </c>
      <c r="M29" s="13">
        <f t="shared" si="2"/>
        <v>100</v>
      </c>
      <c r="N29" s="22">
        <v>2567</v>
      </c>
      <c r="O29" s="22"/>
      <c r="P29" s="22"/>
      <c r="Q29" s="22"/>
      <c r="R29" s="13"/>
      <c r="S29" s="22"/>
      <c r="T29" s="47"/>
      <c r="U29" s="47"/>
      <c r="V29" s="47"/>
      <c r="W29" s="13"/>
      <c r="X29" s="47"/>
    </row>
    <row r="30" spans="1:24" s="2" customFormat="1" ht="9.75" x14ac:dyDescent="0.2">
      <c r="A30" s="10" t="s">
        <v>63</v>
      </c>
      <c r="B30" s="16" t="s">
        <v>64</v>
      </c>
      <c r="C30" s="16"/>
      <c r="D30" s="11" t="s">
        <v>16</v>
      </c>
      <c r="E30" s="12"/>
      <c r="F30" s="12"/>
      <c r="G30" s="12"/>
      <c r="H30" s="26"/>
      <c r="I30" s="12"/>
      <c r="J30" s="20"/>
      <c r="K30" s="22"/>
      <c r="L30" s="22"/>
      <c r="M30" s="13"/>
      <c r="N30" s="22"/>
      <c r="O30" s="22"/>
      <c r="P30" s="22"/>
      <c r="Q30" s="22"/>
      <c r="R30" s="13"/>
      <c r="S30" s="22"/>
      <c r="T30" s="47"/>
      <c r="U30" s="47"/>
      <c r="V30" s="47"/>
      <c r="W30" s="13"/>
      <c r="X30" s="47"/>
    </row>
    <row r="31" spans="1:24" s="31" customFormat="1" ht="9.75" x14ac:dyDescent="0.2">
      <c r="A31" s="10" t="s">
        <v>65</v>
      </c>
      <c r="B31" s="16" t="s">
        <v>66</v>
      </c>
      <c r="C31" s="16"/>
      <c r="D31" s="11" t="s">
        <v>16</v>
      </c>
      <c r="E31" s="12"/>
      <c r="F31" s="12"/>
      <c r="G31" s="12"/>
      <c r="H31" s="26"/>
      <c r="I31" s="12"/>
      <c r="J31" s="20"/>
      <c r="K31" s="29"/>
      <c r="L31" s="29"/>
      <c r="M31" s="13"/>
      <c r="N31" s="29"/>
      <c r="O31" s="29"/>
      <c r="P31" s="29"/>
      <c r="Q31" s="29"/>
      <c r="R31" s="13"/>
      <c r="S31" s="29"/>
      <c r="T31" s="30"/>
      <c r="U31" s="30"/>
      <c r="V31" s="30"/>
      <c r="W31" s="13"/>
      <c r="X31" s="30"/>
    </row>
    <row r="32" spans="1:24" s="31" customFormat="1" ht="9.75" x14ac:dyDescent="0.2">
      <c r="A32" s="10" t="s">
        <v>67</v>
      </c>
      <c r="B32" s="16" t="s">
        <v>68</v>
      </c>
      <c r="C32" s="16"/>
      <c r="D32" s="11" t="s">
        <v>16</v>
      </c>
      <c r="E32" s="12"/>
      <c r="F32" s="12"/>
      <c r="G32" s="12"/>
      <c r="H32" s="26"/>
      <c r="I32" s="12"/>
      <c r="J32" s="32"/>
      <c r="K32" s="30"/>
      <c r="L32" s="30"/>
      <c r="M32" s="13"/>
      <c r="N32" s="30"/>
      <c r="O32" s="30"/>
      <c r="P32" s="30"/>
      <c r="Q32" s="30"/>
      <c r="R32" s="13"/>
      <c r="S32" s="30"/>
      <c r="T32" s="30"/>
      <c r="U32" s="30"/>
      <c r="V32" s="30"/>
      <c r="W32" s="13"/>
      <c r="X32" s="30"/>
    </row>
    <row r="33" spans="1:24" s="31" customFormat="1" ht="9.75" x14ac:dyDescent="0.2">
      <c r="A33" s="6" t="s">
        <v>69</v>
      </c>
      <c r="B33" s="33" t="s">
        <v>70</v>
      </c>
      <c r="C33" s="33"/>
      <c r="D33" s="7" t="s">
        <v>16</v>
      </c>
      <c r="E33" s="8">
        <f>E6-E11</f>
        <v>0</v>
      </c>
      <c r="F33" s="8">
        <f>F6-F11</f>
        <v>0</v>
      </c>
      <c r="G33" s="8">
        <f>G6-G11</f>
        <v>273030</v>
      </c>
      <c r="H33" s="34"/>
      <c r="I33" s="8">
        <f>I6-I11</f>
        <v>98018</v>
      </c>
      <c r="J33" s="8">
        <f>J6-J11</f>
        <v>0</v>
      </c>
      <c r="K33" s="8">
        <f>K6-K11</f>
        <v>0</v>
      </c>
      <c r="L33" s="8">
        <f>L6-L11</f>
        <v>273030</v>
      </c>
      <c r="M33" s="9"/>
      <c r="N33" s="8">
        <f>N6-N11</f>
        <v>98018</v>
      </c>
      <c r="O33" s="8">
        <f>O6-O11</f>
        <v>0</v>
      </c>
      <c r="P33" s="8">
        <f>P6-P11</f>
        <v>0</v>
      </c>
      <c r="Q33" s="8">
        <f>Q6-Q11</f>
        <v>0</v>
      </c>
      <c r="R33" s="9">
        <v>0</v>
      </c>
      <c r="S33" s="8">
        <f>S6-S11</f>
        <v>0</v>
      </c>
      <c r="T33" s="8">
        <f>T6-T11</f>
        <v>5000</v>
      </c>
      <c r="U33" s="8">
        <f>U6-U11</f>
        <v>5000</v>
      </c>
      <c r="V33" s="8">
        <f>V6-V11</f>
        <v>0</v>
      </c>
      <c r="W33" s="9">
        <f t="shared" si="4"/>
        <v>0</v>
      </c>
      <c r="X33" s="8">
        <f>X6-X11</f>
        <v>0</v>
      </c>
    </row>
    <row r="34" spans="1:24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50">
        <v>22318</v>
      </c>
      <c r="F34" s="50">
        <v>23772</v>
      </c>
      <c r="G34" s="50">
        <v>22910</v>
      </c>
      <c r="H34" s="26">
        <f t="shared" si="0"/>
        <v>96.373885243143192</v>
      </c>
      <c r="I34" s="50">
        <v>21661</v>
      </c>
      <c r="J34" s="38"/>
      <c r="K34" s="38"/>
      <c r="L34" s="38"/>
      <c r="M34" s="9"/>
      <c r="N34" s="51"/>
      <c r="O34" s="51">
        <v>22318</v>
      </c>
      <c r="P34" s="51">
        <v>23772</v>
      </c>
      <c r="Q34" s="51">
        <v>22910</v>
      </c>
      <c r="R34" s="9">
        <f t="shared" si="3"/>
        <v>96.373885243143192</v>
      </c>
      <c r="S34" s="51">
        <v>21661</v>
      </c>
      <c r="T34" s="38"/>
      <c r="U34" s="38"/>
      <c r="V34" s="38"/>
      <c r="W34" s="9"/>
      <c r="X34" s="38"/>
    </row>
    <row r="35" spans="1:24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50">
        <v>14.31</v>
      </c>
      <c r="F35" s="50">
        <v>13.54</v>
      </c>
      <c r="G35" s="50">
        <v>13.54</v>
      </c>
      <c r="H35" s="26">
        <f t="shared" si="0"/>
        <v>100</v>
      </c>
      <c r="I35" s="50">
        <v>13.41</v>
      </c>
      <c r="J35" s="38"/>
      <c r="K35" s="49"/>
      <c r="L35" s="38"/>
      <c r="M35" s="9"/>
      <c r="N35" s="51"/>
      <c r="O35" s="51">
        <v>14.31</v>
      </c>
      <c r="P35" s="51">
        <v>13.54</v>
      </c>
      <c r="Q35" s="51">
        <v>13.54</v>
      </c>
      <c r="R35" s="9">
        <f t="shared" si="3"/>
        <v>100</v>
      </c>
      <c r="S35" s="51">
        <v>13.41</v>
      </c>
      <c r="T35" s="38"/>
      <c r="U35" s="38"/>
      <c r="V35" s="38"/>
      <c r="W35" s="9"/>
      <c r="X35" s="38"/>
    </row>
    <row r="36" spans="1:24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50">
        <v>16</v>
      </c>
      <c r="F36" s="50">
        <v>16</v>
      </c>
      <c r="G36" s="50">
        <v>16</v>
      </c>
      <c r="H36" s="26">
        <f t="shared" si="0"/>
        <v>100</v>
      </c>
      <c r="I36" s="50">
        <v>16</v>
      </c>
      <c r="J36" s="38"/>
      <c r="K36" s="38"/>
      <c r="L36" s="38"/>
      <c r="M36" s="9"/>
      <c r="N36" s="51"/>
      <c r="O36" s="51">
        <v>16</v>
      </c>
      <c r="P36" s="51">
        <v>16</v>
      </c>
      <c r="Q36" s="51">
        <v>16</v>
      </c>
      <c r="R36" s="9">
        <f t="shared" si="3"/>
        <v>100</v>
      </c>
      <c r="S36" s="51">
        <v>16</v>
      </c>
      <c r="T36" s="38"/>
      <c r="U36" s="38"/>
      <c r="V36" s="38"/>
      <c r="W36" s="9"/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85" firstPageNumber="63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workbookViewId="0">
      <selection sqref="A1:XFD1048576"/>
    </sheetView>
  </sheetViews>
  <sheetFormatPr defaultRowHeight="12.75" x14ac:dyDescent="0.2"/>
  <cols>
    <col min="1" max="1" width="33.140625" style="392" customWidth="1"/>
    <col min="2" max="2" width="19.140625" style="392" customWidth="1"/>
    <col min="3" max="5" width="14.7109375" style="392" customWidth="1"/>
    <col min="6" max="7" width="13" style="392" customWidth="1"/>
    <col min="8" max="16384" width="9.140625" style="392"/>
  </cols>
  <sheetData>
    <row r="1" spans="1:14" s="332" customFormat="1" ht="18.75" x14ac:dyDescent="0.3">
      <c r="A1" s="936" t="s">
        <v>302</v>
      </c>
      <c r="B1" s="936"/>
      <c r="C1" s="936"/>
      <c r="D1" s="936"/>
      <c r="E1" s="936"/>
      <c r="F1" s="936"/>
      <c r="G1" s="936"/>
      <c r="H1" s="936"/>
      <c r="I1" s="936"/>
    </row>
    <row r="3" spans="1:14" s="333" customFormat="1" ht="10.5" x14ac:dyDescent="0.15">
      <c r="A3" s="861" t="s">
        <v>104</v>
      </c>
      <c r="B3" s="861"/>
      <c r="C3" s="861"/>
      <c r="D3" s="861"/>
      <c r="E3" s="861"/>
      <c r="F3" s="861"/>
      <c r="G3" s="861"/>
      <c r="H3" s="861"/>
      <c r="I3" s="861"/>
    </row>
    <row r="4" spans="1:14" s="334" customFormat="1" ht="11.25" x14ac:dyDescent="0.2"/>
    <row r="5" spans="1:14" s="336" customFormat="1" ht="9.75" x14ac:dyDescent="0.2">
      <c r="A5" s="920" t="s">
        <v>105</v>
      </c>
      <c r="B5" s="921"/>
      <c r="C5" s="335" t="s">
        <v>16</v>
      </c>
      <c r="D5" s="902" t="s">
        <v>106</v>
      </c>
      <c r="E5" s="902"/>
      <c r="F5" s="902"/>
      <c r="G5" s="902"/>
      <c r="H5" s="902"/>
      <c r="I5" s="902"/>
    </row>
    <row r="6" spans="1:14" s="334" customFormat="1" ht="11.25" x14ac:dyDescent="0.2">
      <c r="A6" s="911" t="s">
        <v>107</v>
      </c>
      <c r="B6" s="912"/>
      <c r="C6" s="337">
        <v>273030.56</v>
      </c>
      <c r="D6" s="914" t="s">
        <v>303</v>
      </c>
      <c r="E6" s="914"/>
      <c r="F6" s="914"/>
      <c r="G6" s="914"/>
      <c r="H6" s="914"/>
      <c r="I6" s="914"/>
    </row>
    <row r="7" spans="1:14" s="338" customFormat="1" ht="11.25" x14ac:dyDescent="0.15">
      <c r="A7" s="911" t="s">
        <v>92</v>
      </c>
      <c r="B7" s="912"/>
      <c r="C7" s="337">
        <v>0</v>
      </c>
      <c r="D7" s="914" t="s">
        <v>304</v>
      </c>
      <c r="E7" s="914"/>
      <c r="F7" s="914"/>
      <c r="G7" s="914"/>
      <c r="H7" s="914"/>
      <c r="I7" s="914"/>
    </row>
    <row r="8" spans="1:14" s="338" customFormat="1" ht="10.5" x14ac:dyDescent="0.15">
      <c r="A8" s="911" t="s">
        <v>110</v>
      </c>
      <c r="B8" s="912"/>
      <c r="C8" s="337">
        <v>0</v>
      </c>
      <c r="D8" s="915"/>
      <c r="E8" s="916"/>
      <c r="F8" s="916"/>
      <c r="G8" s="916"/>
      <c r="H8" s="916"/>
      <c r="I8" s="917"/>
    </row>
    <row r="9" spans="1:14" s="334" customFormat="1" ht="11.25" x14ac:dyDescent="0.2">
      <c r="C9" s="339"/>
    </row>
    <row r="10" spans="1:14" s="340" customFormat="1" ht="11.25" x14ac:dyDescent="0.2">
      <c r="A10" s="861" t="s">
        <v>111</v>
      </c>
      <c r="B10" s="861"/>
      <c r="C10" s="861"/>
      <c r="D10" s="861"/>
      <c r="E10" s="861"/>
      <c r="F10" s="861"/>
      <c r="G10" s="861"/>
      <c r="H10" s="861"/>
      <c r="I10" s="861"/>
    </row>
    <row r="11" spans="1:14" s="334" customFormat="1" ht="11.25" x14ac:dyDescent="0.2">
      <c r="C11" s="339"/>
    </row>
    <row r="12" spans="1:14" s="342" customFormat="1" ht="19.5" x14ac:dyDescent="0.15">
      <c r="A12" s="341" t="s">
        <v>112</v>
      </c>
      <c r="B12" s="341" t="s">
        <v>113</v>
      </c>
      <c r="C12" s="341" t="s">
        <v>114</v>
      </c>
      <c r="D12" s="341" t="s">
        <v>115</v>
      </c>
      <c r="E12" s="341" t="s">
        <v>116</v>
      </c>
      <c r="F12" s="341" t="s">
        <v>117</v>
      </c>
      <c r="G12" s="918" t="s">
        <v>118</v>
      </c>
      <c r="H12" s="918"/>
      <c r="I12" s="918"/>
    </row>
    <row r="13" spans="1:14" s="334" customFormat="1" ht="11.25" x14ac:dyDescent="0.2">
      <c r="A13" s="437" t="s">
        <v>187</v>
      </c>
      <c r="B13" s="438">
        <v>111505.22</v>
      </c>
      <c r="C13" s="438">
        <v>15618.85</v>
      </c>
      <c r="D13" s="438">
        <v>68850</v>
      </c>
      <c r="E13" s="438">
        <v>58274.07</v>
      </c>
      <c r="F13" s="458">
        <v>58274.07</v>
      </c>
      <c r="G13" s="990" t="s">
        <v>305</v>
      </c>
      <c r="H13" s="869"/>
      <c r="I13" s="991"/>
    </row>
    <row r="14" spans="1:14" s="334" customFormat="1" ht="11.25" x14ac:dyDescent="0.2">
      <c r="A14" s="440" t="s">
        <v>214</v>
      </c>
      <c r="B14" s="441">
        <v>42203</v>
      </c>
      <c r="C14" s="441">
        <v>65364</v>
      </c>
      <c r="D14" s="441">
        <v>61710</v>
      </c>
      <c r="E14" s="441">
        <v>45857</v>
      </c>
      <c r="F14" s="459">
        <v>45857</v>
      </c>
      <c r="G14" s="857" t="s">
        <v>306</v>
      </c>
      <c r="H14" s="858"/>
      <c r="I14" s="859"/>
      <c r="N14" s="349"/>
    </row>
    <row r="15" spans="1:14" s="334" customFormat="1" ht="11.25" x14ac:dyDescent="0.2">
      <c r="A15" s="440" t="s">
        <v>191</v>
      </c>
      <c r="B15" s="441">
        <v>45640</v>
      </c>
      <c r="C15" s="441">
        <v>5000</v>
      </c>
      <c r="D15" s="441">
        <v>0</v>
      </c>
      <c r="E15" s="441">
        <v>50640</v>
      </c>
      <c r="F15" s="459">
        <v>50640</v>
      </c>
      <c r="G15" s="857" t="s">
        <v>307</v>
      </c>
      <c r="H15" s="858"/>
      <c r="I15" s="859"/>
    </row>
    <row r="16" spans="1:14" s="334" customFormat="1" ht="11.25" x14ac:dyDescent="0.2">
      <c r="A16" s="443" t="s">
        <v>193</v>
      </c>
      <c r="B16" s="444">
        <v>27153.02</v>
      </c>
      <c r="C16" s="444">
        <v>37223</v>
      </c>
      <c r="D16" s="444">
        <v>9660</v>
      </c>
      <c r="E16" s="444">
        <v>54716.02</v>
      </c>
      <c r="F16" s="460">
        <v>48188.9</v>
      </c>
      <c r="G16" s="992" t="s">
        <v>308</v>
      </c>
      <c r="H16" s="993"/>
      <c r="I16" s="994"/>
    </row>
    <row r="17" spans="1:9" s="334" customFormat="1" ht="11.25" x14ac:dyDescent="0.2">
      <c r="A17" s="353" t="s">
        <v>90</v>
      </c>
      <c r="B17" s="354">
        <f>SUM(B13:B16)</f>
        <v>226501.24</v>
      </c>
      <c r="C17" s="354">
        <f t="shared" ref="C17:F17" si="0">SUM(C13:C16)</f>
        <v>123205.85</v>
      </c>
      <c r="D17" s="354">
        <f t="shared" si="0"/>
        <v>140220</v>
      </c>
      <c r="E17" s="354">
        <f t="shared" si="0"/>
        <v>209487.09</v>
      </c>
      <c r="F17" s="354">
        <f t="shared" si="0"/>
        <v>202959.97</v>
      </c>
      <c r="G17" s="910"/>
      <c r="H17" s="910"/>
      <c r="I17" s="910"/>
    </row>
    <row r="18" spans="1:9" s="355" customFormat="1" ht="11.25" x14ac:dyDescent="0.2">
      <c r="C18" s="356"/>
    </row>
    <row r="19" spans="1:9" s="340" customFormat="1" ht="11.25" x14ac:dyDescent="0.2">
      <c r="A19" s="861" t="s">
        <v>129</v>
      </c>
      <c r="B19" s="861"/>
      <c r="C19" s="861"/>
      <c r="D19" s="861"/>
      <c r="E19" s="861"/>
      <c r="F19" s="861"/>
      <c r="G19" s="861"/>
      <c r="H19" s="861"/>
      <c r="I19" s="861"/>
    </row>
    <row r="20" spans="1:9" s="334" customFormat="1" ht="11.25" x14ac:dyDescent="0.2">
      <c r="C20" s="339"/>
    </row>
    <row r="21" spans="1:9" s="334" customFormat="1" ht="11.25" x14ac:dyDescent="0.2">
      <c r="A21" s="335" t="s">
        <v>130</v>
      </c>
      <c r="B21" s="335" t="s">
        <v>16</v>
      </c>
      <c r="C21" s="357" t="s">
        <v>131</v>
      </c>
      <c r="D21" s="902" t="s">
        <v>132</v>
      </c>
      <c r="E21" s="902"/>
      <c r="F21" s="902"/>
      <c r="G21" s="902"/>
      <c r="H21" s="902"/>
      <c r="I21" s="902"/>
    </row>
    <row r="22" spans="1:9" s="334" customFormat="1" ht="11.25" customHeight="1" x14ac:dyDescent="0.2">
      <c r="A22" s="989" t="s">
        <v>309</v>
      </c>
      <c r="B22" s="358"/>
      <c r="C22" s="368"/>
      <c r="D22" s="897"/>
      <c r="E22" s="898"/>
      <c r="F22" s="898"/>
      <c r="G22" s="898"/>
      <c r="H22" s="898"/>
      <c r="I22" s="899"/>
    </row>
    <row r="23" spans="1:9" s="334" customFormat="1" ht="24" customHeight="1" x14ac:dyDescent="0.2">
      <c r="A23" s="895"/>
      <c r="B23" s="362"/>
      <c r="C23" s="456"/>
      <c r="D23" s="885"/>
      <c r="E23" s="886"/>
      <c r="F23" s="886"/>
      <c r="G23" s="886"/>
      <c r="H23" s="886"/>
      <c r="I23" s="887"/>
    </row>
    <row r="24" spans="1:9" s="355" customFormat="1" ht="11.25" x14ac:dyDescent="0.2">
      <c r="C24" s="356"/>
    </row>
    <row r="25" spans="1:9" s="340" customFormat="1" ht="11.25" x14ac:dyDescent="0.2">
      <c r="A25" s="861" t="s">
        <v>140</v>
      </c>
      <c r="B25" s="861"/>
      <c r="C25" s="861"/>
      <c r="D25" s="861"/>
      <c r="E25" s="861"/>
      <c r="F25" s="861"/>
      <c r="G25" s="861"/>
      <c r="H25" s="861"/>
      <c r="I25" s="861"/>
    </row>
    <row r="26" spans="1:9" s="334" customFormat="1" ht="11.25" x14ac:dyDescent="0.2">
      <c r="C26" s="339"/>
    </row>
    <row r="27" spans="1:9" s="334" customFormat="1" ht="11.25" x14ac:dyDescent="0.2">
      <c r="A27" s="335" t="s">
        <v>130</v>
      </c>
      <c r="B27" s="335" t="s">
        <v>16</v>
      </c>
      <c r="C27" s="357" t="s">
        <v>131</v>
      </c>
      <c r="D27" s="902" t="s">
        <v>141</v>
      </c>
      <c r="E27" s="902"/>
      <c r="F27" s="902"/>
      <c r="G27" s="902"/>
      <c r="H27" s="902"/>
      <c r="I27" s="903"/>
    </row>
    <row r="28" spans="1:9" s="334" customFormat="1" ht="11.25" customHeight="1" x14ac:dyDescent="0.2">
      <c r="A28" s="989" t="s">
        <v>310</v>
      </c>
      <c r="B28" s="358"/>
      <c r="C28" s="368"/>
      <c r="D28" s="897"/>
      <c r="E28" s="898"/>
      <c r="F28" s="898"/>
      <c r="G28" s="898"/>
      <c r="H28" s="898"/>
      <c r="I28" s="899"/>
    </row>
    <row r="29" spans="1:9" s="334" customFormat="1" ht="11.25" customHeight="1" x14ac:dyDescent="0.2">
      <c r="A29" s="895"/>
      <c r="B29" s="362"/>
      <c r="C29" s="456"/>
      <c r="D29" s="885"/>
      <c r="E29" s="886"/>
      <c r="F29" s="886"/>
      <c r="G29" s="886"/>
      <c r="H29" s="886"/>
      <c r="I29" s="887"/>
    </row>
    <row r="30" spans="1:9" s="334" customFormat="1" ht="11.25" customHeight="1" x14ac:dyDescent="0.2">
      <c r="A30" s="896"/>
      <c r="B30" s="362"/>
      <c r="C30" s="362"/>
      <c r="D30" s="885"/>
      <c r="E30" s="886"/>
      <c r="F30" s="886"/>
      <c r="G30" s="886"/>
      <c r="H30" s="886"/>
      <c r="I30" s="887"/>
    </row>
    <row r="31" spans="1:9" s="334" customFormat="1" ht="11.25" x14ac:dyDescent="0.2">
      <c r="C31" s="339"/>
    </row>
    <row r="32" spans="1:9" s="340" customFormat="1" ht="11.25" x14ac:dyDescent="0.2">
      <c r="A32" s="861" t="s">
        <v>143</v>
      </c>
      <c r="B32" s="861"/>
      <c r="C32" s="861"/>
      <c r="D32" s="861"/>
      <c r="E32" s="861"/>
      <c r="F32" s="861"/>
      <c r="G32" s="861"/>
      <c r="H32" s="861"/>
      <c r="I32" s="861"/>
    </row>
    <row r="33" spans="1:9" s="334" customFormat="1" ht="11.25" x14ac:dyDescent="0.2">
      <c r="C33" s="369"/>
    </row>
    <row r="34" spans="1:9" s="334" customFormat="1" ht="11.25" x14ac:dyDescent="0.2">
      <c r="A34" s="335" t="s">
        <v>144</v>
      </c>
      <c r="B34" s="357" t="s">
        <v>145</v>
      </c>
      <c r="C34" s="892" t="s">
        <v>146</v>
      </c>
      <c r="D34" s="892"/>
      <c r="E34" s="892"/>
      <c r="F34" s="892"/>
      <c r="G34" s="892"/>
      <c r="H34" s="892"/>
      <c r="I34" s="893"/>
    </row>
    <row r="35" spans="1:9" s="334" customFormat="1" ht="26.25" customHeight="1" x14ac:dyDescent="0.2">
      <c r="A35" s="461" t="s">
        <v>311</v>
      </c>
      <c r="B35" s="370"/>
      <c r="C35" s="876"/>
      <c r="D35" s="876"/>
      <c r="E35" s="876"/>
      <c r="F35" s="876"/>
      <c r="G35" s="876"/>
      <c r="H35" s="876"/>
      <c r="I35" s="876"/>
    </row>
    <row r="36" spans="1:9" s="334" customFormat="1" ht="14.25" customHeight="1" x14ac:dyDescent="0.2">
      <c r="A36" s="462"/>
      <c r="B36" s="462">
        <v>30850</v>
      </c>
      <c r="C36" s="988" t="s">
        <v>312</v>
      </c>
      <c r="D36" s="988"/>
      <c r="E36" s="988"/>
      <c r="F36" s="988"/>
      <c r="G36" s="988"/>
      <c r="H36" s="988"/>
      <c r="I36" s="988"/>
    </row>
    <row r="37" spans="1:9" s="338" customFormat="1" ht="10.5" x14ac:dyDescent="0.15">
      <c r="A37" s="371">
        <f>SUM(A35:A36)</f>
        <v>0</v>
      </c>
      <c r="B37" s="371">
        <f>SUM(B35:B36)</f>
        <v>30850</v>
      </c>
      <c r="C37" s="878" t="s">
        <v>90</v>
      </c>
      <c r="D37" s="879"/>
      <c r="E37" s="879"/>
      <c r="F37" s="879"/>
      <c r="G37" s="879"/>
      <c r="H37" s="879"/>
      <c r="I37" s="880"/>
    </row>
    <row r="38" spans="1:9" s="334" customFormat="1" ht="11.25" x14ac:dyDescent="0.2">
      <c r="C38" s="369"/>
    </row>
    <row r="39" spans="1:9" s="334" customFormat="1" ht="11.25" x14ac:dyDescent="0.2">
      <c r="A39" s="861" t="s">
        <v>148</v>
      </c>
      <c r="B39" s="865"/>
      <c r="C39" s="865"/>
      <c r="D39" s="865"/>
      <c r="E39" s="865"/>
      <c r="F39" s="865"/>
      <c r="G39" s="865"/>
      <c r="H39" s="865"/>
      <c r="I39" s="865"/>
    </row>
    <row r="40" spans="1:9" s="334" customFormat="1" ht="11.25" x14ac:dyDescent="0.2">
      <c r="C40" s="369"/>
    </row>
    <row r="41" spans="1:9" s="373" customFormat="1" ht="31.5" x14ac:dyDescent="0.25">
      <c r="A41" s="866" t="s">
        <v>149</v>
      </c>
      <c r="B41" s="867"/>
      <c r="C41" s="372" t="s">
        <v>150</v>
      </c>
      <c r="D41" s="372" t="s">
        <v>151</v>
      </c>
      <c r="E41" s="372" t="s">
        <v>152</v>
      </c>
      <c r="F41" s="372" t="s">
        <v>153</v>
      </c>
      <c r="G41" s="372" t="s">
        <v>154</v>
      </c>
    </row>
    <row r="42" spans="1:9" s="334" customFormat="1" ht="14.25" customHeight="1" x14ac:dyDescent="0.2">
      <c r="A42" s="986" t="s">
        <v>313</v>
      </c>
      <c r="B42" s="987"/>
      <c r="C42" s="463" t="s">
        <v>314</v>
      </c>
      <c r="D42" s="464">
        <v>25850</v>
      </c>
      <c r="E42" s="464"/>
      <c r="F42" s="465">
        <v>42801</v>
      </c>
      <c r="G42" s="465">
        <v>42801</v>
      </c>
    </row>
    <row r="43" spans="1:9" s="334" customFormat="1" ht="22.5" customHeight="1" x14ac:dyDescent="0.2">
      <c r="A43" s="466" t="s">
        <v>315</v>
      </c>
      <c r="B43" s="467"/>
      <c r="C43" s="468" t="s">
        <v>200</v>
      </c>
      <c r="D43" s="469"/>
      <c r="E43" s="469">
        <v>25850</v>
      </c>
      <c r="F43" s="470">
        <v>42801</v>
      </c>
      <c r="G43" s="470">
        <v>42801</v>
      </c>
    </row>
    <row r="44" spans="1:9" s="334" customFormat="1" ht="13.5" customHeight="1" x14ac:dyDescent="0.2">
      <c r="A44" s="471" t="s">
        <v>316</v>
      </c>
      <c r="B44" s="472"/>
      <c r="C44" s="473" t="s">
        <v>314</v>
      </c>
      <c r="D44" s="474">
        <v>19000</v>
      </c>
      <c r="E44" s="474"/>
      <c r="F44" s="475">
        <v>42801</v>
      </c>
      <c r="G44" s="475">
        <v>42801</v>
      </c>
      <c r="H44" s="476"/>
    </row>
    <row r="45" spans="1:9" s="334" customFormat="1" ht="24" customHeight="1" x14ac:dyDescent="0.2">
      <c r="A45" s="471" t="s">
        <v>317</v>
      </c>
      <c r="B45" s="472"/>
      <c r="C45" s="473" t="s">
        <v>200</v>
      </c>
      <c r="D45" s="474"/>
      <c r="E45" s="474">
        <v>19000</v>
      </c>
      <c r="F45" s="475">
        <v>42801</v>
      </c>
      <c r="G45" s="475">
        <v>42801</v>
      </c>
      <c r="H45" s="476"/>
    </row>
    <row r="46" spans="1:9" s="334" customFormat="1" ht="15" customHeight="1" x14ac:dyDescent="0.2">
      <c r="A46" s="466" t="s">
        <v>318</v>
      </c>
      <c r="B46" s="472"/>
      <c r="C46" s="468" t="s">
        <v>314</v>
      </c>
      <c r="D46" s="469">
        <v>5000</v>
      </c>
      <c r="E46" s="469"/>
      <c r="F46" s="470">
        <v>42856</v>
      </c>
      <c r="G46" s="470">
        <v>42856</v>
      </c>
      <c r="H46" s="476"/>
    </row>
    <row r="47" spans="1:9" s="334" customFormat="1" ht="16.5" customHeight="1" x14ac:dyDescent="0.2">
      <c r="A47" s="466" t="s">
        <v>319</v>
      </c>
      <c r="B47" s="472"/>
      <c r="C47" s="468" t="s">
        <v>200</v>
      </c>
      <c r="D47" s="469"/>
      <c r="E47" s="469">
        <v>5000</v>
      </c>
      <c r="F47" s="470">
        <v>42856</v>
      </c>
      <c r="G47" s="470">
        <v>42856</v>
      </c>
      <c r="H47" s="476"/>
    </row>
    <row r="48" spans="1:9" s="334" customFormat="1" ht="16.5" customHeight="1" x14ac:dyDescent="0.2">
      <c r="A48" s="471" t="s">
        <v>320</v>
      </c>
      <c r="B48" s="472"/>
      <c r="C48" s="473" t="s">
        <v>314</v>
      </c>
      <c r="D48" s="474">
        <v>19000</v>
      </c>
      <c r="E48" s="474"/>
      <c r="F48" s="475">
        <v>42856</v>
      </c>
      <c r="G48" s="475">
        <v>42856</v>
      </c>
      <c r="H48" s="476"/>
    </row>
    <row r="49" spans="1:9" s="334" customFormat="1" ht="21" customHeight="1" x14ac:dyDescent="0.2">
      <c r="A49" s="471" t="s">
        <v>317</v>
      </c>
      <c r="B49" s="472"/>
      <c r="C49" s="473" t="s">
        <v>200</v>
      </c>
      <c r="D49" s="474"/>
      <c r="E49" s="474">
        <v>19000</v>
      </c>
      <c r="F49" s="475">
        <v>42856</v>
      </c>
      <c r="G49" s="475">
        <v>42856</v>
      </c>
      <c r="H49" s="476"/>
    </row>
    <row r="50" spans="1:9" s="334" customFormat="1" ht="35.25" customHeight="1" x14ac:dyDescent="0.2">
      <c r="A50" s="477" t="s">
        <v>321</v>
      </c>
      <c r="B50" s="472"/>
      <c r="C50" s="478" t="s">
        <v>322</v>
      </c>
      <c r="D50" s="479"/>
      <c r="E50" s="479">
        <v>-3825</v>
      </c>
      <c r="F50" s="480">
        <v>42886</v>
      </c>
      <c r="G50" s="480">
        <v>42886</v>
      </c>
      <c r="H50" s="476"/>
    </row>
    <row r="51" spans="1:9" s="334" customFormat="1" ht="16.5" customHeight="1" x14ac:dyDescent="0.2">
      <c r="A51" s="477" t="s">
        <v>323</v>
      </c>
      <c r="B51" s="472"/>
      <c r="C51" s="481" t="s">
        <v>324</v>
      </c>
      <c r="D51" s="479"/>
      <c r="E51" s="479">
        <v>3825</v>
      </c>
      <c r="F51" s="480">
        <v>42886</v>
      </c>
      <c r="G51" s="480">
        <v>42886</v>
      </c>
      <c r="H51" s="476"/>
    </row>
    <row r="52" spans="1:9" s="334" customFormat="1" ht="47.25" customHeight="1" x14ac:dyDescent="0.2">
      <c r="A52" s="466" t="s">
        <v>325</v>
      </c>
      <c r="B52" s="482"/>
      <c r="C52" s="468" t="s">
        <v>326</v>
      </c>
      <c r="D52" s="469">
        <v>480000</v>
      </c>
      <c r="E52" s="469">
        <v>480000</v>
      </c>
      <c r="F52" s="470">
        <v>42892</v>
      </c>
      <c r="G52" s="470">
        <v>42916</v>
      </c>
      <c r="H52" s="483"/>
    </row>
    <row r="53" spans="1:9" s="334" customFormat="1" ht="11.25" x14ac:dyDescent="0.2">
      <c r="A53" s="872" t="s">
        <v>169</v>
      </c>
      <c r="B53" s="873"/>
      <c r="C53" s="387"/>
      <c r="D53" s="354">
        <f>SUM(D42:D52)</f>
        <v>548850</v>
      </c>
      <c r="E53" s="354">
        <f>SUM(E42:E52)</f>
        <v>548850</v>
      </c>
      <c r="F53" s="881"/>
      <c r="G53" s="882"/>
    </row>
    <row r="54" spans="1:9" s="334" customFormat="1" ht="11.25" x14ac:dyDescent="0.2">
      <c r="C54" s="369"/>
    </row>
    <row r="55" spans="1:9" s="334" customFormat="1" ht="11.25" x14ac:dyDescent="0.2">
      <c r="A55" s="865" t="s">
        <v>327</v>
      </c>
      <c r="B55" s="865"/>
      <c r="C55" s="865"/>
      <c r="D55" s="865"/>
      <c r="E55" s="865"/>
      <c r="F55" s="865"/>
      <c r="G55" s="865"/>
      <c r="H55" s="865"/>
      <c r="I55" s="865"/>
    </row>
    <row r="56" spans="1:9" s="334" customFormat="1" ht="11.25" x14ac:dyDescent="0.2">
      <c r="C56" s="369"/>
    </row>
    <row r="57" spans="1:9" s="373" customFormat="1" ht="31.5" x14ac:dyDescent="0.25">
      <c r="A57" s="866" t="s">
        <v>149</v>
      </c>
      <c r="B57" s="867"/>
      <c r="C57" s="372" t="s">
        <v>150</v>
      </c>
      <c r="D57" s="372" t="s">
        <v>151</v>
      </c>
      <c r="E57" s="372" t="s">
        <v>152</v>
      </c>
      <c r="F57" s="372" t="s">
        <v>153</v>
      </c>
      <c r="G57" s="372" t="s">
        <v>154</v>
      </c>
    </row>
    <row r="58" spans="1:9" s="334" customFormat="1" ht="15.75" customHeight="1" x14ac:dyDescent="0.2">
      <c r="A58" s="986" t="s">
        <v>328</v>
      </c>
      <c r="B58" s="987"/>
      <c r="C58" s="388"/>
      <c r="D58" s="389"/>
      <c r="E58" s="389"/>
      <c r="F58" s="390"/>
      <c r="G58" s="390"/>
    </row>
    <row r="59" spans="1:9" s="334" customFormat="1" ht="11.25" x14ac:dyDescent="0.2">
      <c r="A59" s="872" t="s">
        <v>169</v>
      </c>
      <c r="B59" s="873"/>
      <c r="C59" s="387"/>
      <c r="D59" s="354"/>
      <c r="E59" s="354"/>
      <c r="F59" s="874"/>
      <c r="G59" s="875"/>
    </row>
    <row r="60" spans="1:9" s="334" customFormat="1" ht="11.25" x14ac:dyDescent="0.2">
      <c r="C60" s="369"/>
    </row>
    <row r="61" spans="1:9" s="340" customFormat="1" ht="11.25" x14ac:dyDescent="0.2">
      <c r="A61" s="860" t="s">
        <v>172</v>
      </c>
      <c r="B61" s="860"/>
      <c r="C61" s="860"/>
      <c r="D61" s="860"/>
      <c r="E61" s="860"/>
      <c r="F61" s="860"/>
      <c r="G61" s="860"/>
      <c r="H61" s="860"/>
      <c r="I61" s="860"/>
    </row>
    <row r="62" spans="1:9" s="334" customFormat="1" ht="11.25" x14ac:dyDescent="0.2">
      <c r="A62" s="334" t="s">
        <v>329</v>
      </c>
    </row>
    <row r="63" spans="1:9" s="334" customFormat="1" ht="11.25" x14ac:dyDescent="0.2">
      <c r="A63" s="862" t="s">
        <v>330</v>
      </c>
      <c r="B63" s="858"/>
      <c r="C63" s="858"/>
      <c r="D63" s="858"/>
      <c r="E63" s="858"/>
      <c r="F63" s="858"/>
      <c r="G63" s="858"/>
      <c r="H63" s="858"/>
      <c r="I63" s="859"/>
    </row>
    <row r="64" spans="1:9" s="334" customFormat="1" ht="11.25" x14ac:dyDescent="0.2">
      <c r="A64" s="857"/>
      <c r="B64" s="858"/>
      <c r="C64" s="858"/>
      <c r="D64" s="858"/>
      <c r="E64" s="858"/>
      <c r="F64" s="858"/>
      <c r="G64" s="858"/>
      <c r="H64" s="858"/>
      <c r="I64" s="859"/>
    </row>
    <row r="65" spans="1:9" s="333" customFormat="1" ht="10.5" x14ac:dyDescent="0.15">
      <c r="A65" s="861" t="s">
        <v>175</v>
      </c>
      <c r="B65" s="861"/>
      <c r="C65" s="861"/>
      <c r="D65" s="861"/>
      <c r="E65" s="861"/>
      <c r="F65" s="861"/>
      <c r="G65" s="861"/>
      <c r="H65" s="861"/>
      <c r="I65" s="861"/>
    </row>
    <row r="66" spans="1:9" s="334" customFormat="1" ht="11.25" x14ac:dyDescent="0.2"/>
    <row r="67" spans="1:9" s="334" customFormat="1" ht="55.5" customHeight="1" x14ac:dyDescent="0.2">
      <c r="A67" s="862" t="s">
        <v>331</v>
      </c>
      <c r="B67" s="863"/>
      <c r="C67" s="863"/>
      <c r="D67" s="863"/>
      <c r="E67" s="863"/>
      <c r="F67" s="863"/>
      <c r="G67" s="863"/>
      <c r="H67" s="863"/>
      <c r="I67" s="864"/>
    </row>
    <row r="68" spans="1:9" s="334" customFormat="1" ht="144.75" customHeight="1" x14ac:dyDescent="0.2">
      <c r="A68" s="857" t="s">
        <v>332</v>
      </c>
      <c r="B68" s="858"/>
      <c r="C68" s="858"/>
      <c r="D68" s="858"/>
      <c r="E68" s="858"/>
      <c r="F68" s="858"/>
      <c r="G68" s="858"/>
      <c r="H68" s="858"/>
      <c r="I68" s="859"/>
    </row>
    <row r="69" spans="1:9" s="334" customFormat="1" ht="18" customHeight="1" x14ac:dyDescent="0.2">
      <c r="A69" s="862"/>
      <c r="B69" s="863"/>
      <c r="C69" s="863"/>
      <c r="D69" s="863"/>
      <c r="E69" s="863"/>
      <c r="F69" s="863"/>
      <c r="G69" s="863"/>
      <c r="H69" s="863"/>
      <c r="I69" s="864"/>
    </row>
    <row r="71" spans="1:9" ht="18.75" x14ac:dyDescent="0.3">
      <c r="A71" s="391"/>
    </row>
    <row r="72" spans="1:9" ht="18.75" x14ac:dyDescent="0.3">
      <c r="A72" s="391"/>
    </row>
  </sheetData>
  <mergeCells count="50">
    <mergeCell ref="A1:I1"/>
    <mergeCell ref="A3:I3"/>
    <mergeCell ref="A5:B5"/>
    <mergeCell ref="D5:I5"/>
    <mergeCell ref="A6:B6"/>
    <mergeCell ref="D6:I6"/>
    <mergeCell ref="A19:I19"/>
    <mergeCell ref="A7:B7"/>
    <mergeCell ref="D7:I7"/>
    <mergeCell ref="A8:B8"/>
    <mergeCell ref="D8:I8"/>
    <mergeCell ref="A10:I10"/>
    <mergeCell ref="G12:I12"/>
    <mergeCell ref="G13:I13"/>
    <mergeCell ref="G14:I14"/>
    <mergeCell ref="G15:I15"/>
    <mergeCell ref="G16:I16"/>
    <mergeCell ref="G17:I17"/>
    <mergeCell ref="C34:I34"/>
    <mergeCell ref="D21:I21"/>
    <mergeCell ref="A22:A23"/>
    <mergeCell ref="D22:I22"/>
    <mergeCell ref="D23:I23"/>
    <mergeCell ref="A25:I25"/>
    <mergeCell ref="D27:I27"/>
    <mergeCell ref="A28:A30"/>
    <mergeCell ref="D28:I28"/>
    <mergeCell ref="D29:I29"/>
    <mergeCell ref="D30:I30"/>
    <mergeCell ref="A32:I32"/>
    <mergeCell ref="A59:B59"/>
    <mergeCell ref="F59:G59"/>
    <mergeCell ref="C35:I35"/>
    <mergeCell ref="C36:I36"/>
    <mergeCell ref="C37:I37"/>
    <mergeCell ref="A39:I39"/>
    <mergeCell ref="A41:B41"/>
    <mergeCell ref="A42:B42"/>
    <mergeCell ref="A53:B53"/>
    <mergeCell ref="F53:G53"/>
    <mergeCell ref="A55:I55"/>
    <mergeCell ref="A57:B57"/>
    <mergeCell ref="A58:B58"/>
    <mergeCell ref="A69:I69"/>
    <mergeCell ref="A61:I61"/>
    <mergeCell ref="A63:I63"/>
    <mergeCell ref="A64:I64"/>
    <mergeCell ref="A65:I65"/>
    <mergeCell ref="A67:I67"/>
    <mergeCell ref="A68:I68"/>
  </mergeCells>
  <pageMargins left="0.70866141732283472" right="0.70866141732283472" top="0.78740157480314965" bottom="0.78740157480314965" header="0.31496062992125984" footer="0.31496062992125984"/>
  <pageSetup paperSize="9" scale="61" firstPageNumber="64" orientation="portrait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workbookViewId="0">
      <selection sqref="A1:XFD1048576"/>
    </sheetView>
  </sheetViews>
  <sheetFormatPr defaultColWidth="3.7109375" defaultRowHeight="15" x14ac:dyDescent="0.25"/>
  <cols>
    <col min="1" max="1" width="2.7109375" style="42" customWidth="1"/>
    <col min="2" max="2" width="3.7109375" style="43" customWidth="1"/>
    <col min="3" max="3" width="33.5703125" style="43" customWidth="1"/>
    <col min="4" max="4" width="4.85546875" style="43" customWidth="1"/>
    <col min="5" max="5" width="8.7109375" style="43" customWidth="1"/>
    <col min="6" max="6" width="8.42578125" style="43" customWidth="1"/>
    <col min="7" max="7" width="9.28515625" style="43" customWidth="1"/>
    <col min="8" max="8" width="5" style="43" customWidth="1"/>
    <col min="9" max="9" width="8.5703125" style="43" customWidth="1"/>
    <col min="10" max="11" width="8.85546875" style="43" customWidth="1"/>
    <col min="12" max="12" width="8.140625" style="43" customWidth="1"/>
    <col min="13" max="13" width="5" style="43" customWidth="1"/>
    <col min="14" max="14" width="8.5703125" style="43" customWidth="1"/>
    <col min="15" max="15" width="9" style="43" customWidth="1"/>
    <col min="16" max="16" width="8.7109375" style="43" customWidth="1"/>
    <col min="17" max="17" width="8.140625" style="43" customWidth="1"/>
    <col min="18" max="18" width="4.7109375" style="43" customWidth="1"/>
    <col min="19" max="19" width="8.28515625" style="43" customWidth="1"/>
    <col min="20" max="20" width="3.85546875" style="43" customWidth="1"/>
    <col min="21" max="21" width="4.5703125" style="43" customWidth="1"/>
    <col min="22" max="22" width="0.42578125" style="43" customWidth="1"/>
    <col min="23" max="23" width="4.7109375" style="43" customWidth="1"/>
    <col min="24" max="24" width="3.5703125" style="43" customWidth="1"/>
    <col min="25" max="16384" width="3.7109375" style="43"/>
  </cols>
  <sheetData>
    <row r="1" spans="1:28" s="1" customFormat="1" ht="15.75" x14ac:dyDescent="0.25">
      <c r="A1" s="853" t="s">
        <v>82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</row>
    <row r="3" spans="1:28" s="2" customFormat="1" ht="9.75" customHeight="1" x14ac:dyDescent="0.2">
      <c r="A3" s="850" t="s">
        <v>1</v>
      </c>
      <c r="B3" s="855" t="s">
        <v>2</v>
      </c>
      <c r="C3" s="854"/>
      <c r="D3" s="855" t="s">
        <v>3</v>
      </c>
      <c r="E3" s="856" t="s">
        <v>4</v>
      </c>
      <c r="F3" s="856"/>
      <c r="G3" s="856"/>
      <c r="H3" s="856"/>
      <c r="I3" s="856"/>
      <c r="J3" s="856" t="s">
        <v>5</v>
      </c>
      <c r="K3" s="856"/>
      <c r="L3" s="856"/>
      <c r="M3" s="856"/>
      <c r="N3" s="856"/>
      <c r="O3" s="856" t="s">
        <v>6</v>
      </c>
      <c r="P3" s="856"/>
      <c r="Q3" s="856"/>
      <c r="R3" s="856"/>
      <c r="S3" s="856"/>
      <c r="T3" s="856" t="s">
        <v>7</v>
      </c>
      <c r="U3" s="856"/>
      <c r="V3" s="856"/>
      <c r="W3" s="856"/>
      <c r="X3" s="856"/>
    </row>
    <row r="4" spans="1:28" s="3" customFormat="1" ht="9.75" customHeight="1" x14ac:dyDescent="0.2">
      <c r="A4" s="854"/>
      <c r="B4" s="854"/>
      <c r="C4" s="854"/>
      <c r="D4" s="855"/>
      <c r="E4" s="851" t="s">
        <v>8</v>
      </c>
      <c r="F4" s="852" t="s">
        <v>9</v>
      </c>
      <c r="G4" s="852"/>
      <c r="H4" s="852"/>
      <c r="I4" s="850" t="s">
        <v>10</v>
      </c>
      <c r="J4" s="851" t="s">
        <v>8</v>
      </c>
      <c r="K4" s="852" t="s">
        <v>9</v>
      </c>
      <c r="L4" s="852"/>
      <c r="M4" s="852"/>
      <c r="N4" s="850" t="s">
        <v>10</v>
      </c>
      <c r="O4" s="851" t="s">
        <v>8</v>
      </c>
      <c r="P4" s="852" t="s">
        <v>9</v>
      </c>
      <c r="Q4" s="852"/>
      <c r="R4" s="852"/>
      <c r="S4" s="850" t="s">
        <v>10</v>
      </c>
      <c r="T4" s="851" t="s">
        <v>8</v>
      </c>
      <c r="U4" s="852" t="s">
        <v>9</v>
      </c>
      <c r="V4" s="852"/>
      <c r="W4" s="852"/>
      <c r="X4" s="850" t="s">
        <v>10</v>
      </c>
    </row>
    <row r="5" spans="1:28" s="5" customFormat="1" ht="9.75" customHeight="1" x14ac:dyDescent="0.2">
      <c r="A5" s="854"/>
      <c r="B5" s="854"/>
      <c r="C5" s="854"/>
      <c r="D5" s="855"/>
      <c r="E5" s="851"/>
      <c r="F5" s="4" t="s">
        <v>11</v>
      </c>
      <c r="G5" s="4" t="s">
        <v>12</v>
      </c>
      <c r="H5" s="4" t="s">
        <v>13</v>
      </c>
      <c r="I5" s="850"/>
      <c r="J5" s="851"/>
      <c r="K5" s="4" t="s">
        <v>11</v>
      </c>
      <c r="L5" s="4" t="s">
        <v>12</v>
      </c>
      <c r="M5" s="4" t="s">
        <v>13</v>
      </c>
      <c r="N5" s="850"/>
      <c r="O5" s="851"/>
      <c r="P5" s="4" t="s">
        <v>11</v>
      </c>
      <c r="Q5" s="4" t="s">
        <v>12</v>
      </c>
      <c r="R5" s="4" t="s">
        <v>13</v>
      </c>
      <c r="S5" s="850"/>
      <c r="T5" s="851"/>
      <c r="U5" s="4" t="s">
        <v>11</v>
      </c>
      <c r="V5" s="4" t="s">
        <v>12</v>
      </c>
      <c r="W5" s="4" t="s">
        <v>83</v>
      </c>
      <c r="X5" s="850"/>
    </row>
    <row r="6" spans="1:28" s="2" customFormat="1" ht="11.25" x14ac:dyDescent="0.2">
      <c r="A6" s="52" t="s">
        <v>14</v>
      </c>
      <c r="B6" s="926" t="s">
        <v>15</v>
      </c>
      <c r="C6" s="926"/>
      <c r="D6" s="53" t="s">
        <v>16</v>
      </c>
      <c r="E6" s="54">
        <f>SUM(E7:E9)</f>
        <v>19723172</v>
      </c>
      <c r="F6" s="54">
        <f>SUM(F7:F9)</f>
        <v>19892725</v>
      </c>
      <c r="G6" s="54">
        <f>SUM(G7:G9)</f>
        <v>10215257</v>
      </c>
      <c r="H6" s="55">
        <f t="shared" ref="H6:H36" si="0">G6/F6*100</f>
        <v>51.351722803185581</v>
      </c>
      <c r="I6" s="54">
        <f>SUM(I7:I9)</f>
        <v>11665236</v>
      </c>
      <c r="J6" s="54">
        <f>SUM(J7:J9)</f>
        <v>5302362</v>
      </c>
      <c r="K6" s="54">
        <f t="shared" ref="K6:X6" si="1">SUM(K7:K9)</f>
        <v>5471915</v>
      </c>
      <c r="L6" s="54">
        <f t="shared" si="1"/>
        <v>3004277</v>
      </c>
      <c r="M6" s="55">
        <f t="shared" ref="M6:M34" si="2">L6/K6*100</f>
        <v>54.903575804814217</v>
      </c>
      <c r="N6" s="54">
        <f t="shared" si="1"/>
        <v>2865736</v>
      </c>
      <c r="O6" s="54">
        <f t="shared" si="1"/>
        <v>14420810</v>
      </c>
      <c r="P6" s="54">
        <f t="shared" si="1"/>
        <v>14420810</v>
      </c>
      <c r="Q6" s="54">
        <f t="shared" si="1"/>
        <v>7210980</v>
      </c>
      <c r="R6" s="55">
        <f t="shared" ref="R6:R36" si="3">Q6/P6*100</f>
        <v>50.003987293362847</v>
      </c>
      <c r="S6" s="54">
        <f t="shared" si="1"/>
        <v>8799500</v>
      </c>
      <c r="T6" s="54">
        <f t="shared" si="1"/>
        <v>0</v>
      </c>
      <c r="U6" s="54">
        <f t="shared" si="1"/>
        <v>0</v>
      </c>
      <c r="V6" s="54">
        <f t="shared" si="1"/>
        <v>0</v>
      </c>
      <c r="W6" s="55">
        <v>0</v>
      </c>
      <c r="X6" s="54">
        <f t="shared" si="1"/>
        <v>0</v>
      </c>
      <c r="Y6" s="56"/>
      <c r="Z6" s="56"/>
      <c r="AA6" s="56"/>
      <c r="AB6" s="56"/>
    </row>
    <row r="7" spans="1:28" s="2" customFormat="1" ht="11.25" x14ac:dyDescent="0.2">
      <c r="A7" s="57" t="s">
        <v>17</v>
      </c>
      <c r="B7" s="922" t="s">
        <v>18</v>
      </c>
      <c r="C7" s="922"/>
      <c r="D7" s="58" t="s">
        <v>16</v>
      </c>
      <c r="E7" s="59">
        <f t="shared" ref="E7:G10" si="4">SUM(J7,O7)</f>
        <v>1940000</v>
      </c>
      <c r="F7" s="59">
        <f t="shared" si="4"/>
        <v>1959553</v>
      </c>
      <c r="G7" s="59">
        <f t="shared" si="4"/>
        <v>1174595</v>
      </c>
      <c r="H7" s="60">
        <f t="shared" si="0"/>
        <v>59.941986769431601</v>
      </c>
      <c r="I7" s="59">
        <f>SUM(N7,S7)</f>
        <v>1189550</v>
      </c>
      <c r="J7" s="61">
        <v>1940000</v>
      </c>
      <c r="K7" s="62">
        <v>1959553</v>
      </c>
      <c r="L7" s="62">
        <v>1174595</v>
      </c>
      <c r="M7" s="60">
        <f t="shared" si="2"/>
        <v>59.941986769431601</v>
      </c>
      <c r="N7" s="62">
        <v>1189550</v>
      </c>
      <c r="O7" s="62"/>
      <c r="P7" s="62"/>
      <c r="Q7" s="62"/>
      <c r="R7" s="60">
        <v>0</v>
      </c>
      <c r="S7" s="62"/>
      <c r="T7" s="62"/>
      <c r="U7" s="62"/>
      <c r="V7" s="62"/>
      <c r="W7" s="60">
        <v>0</v>
      </c>
      <c r="X7" s="62"/>
      <c r="Y7" s="56"/>
      <c r="Z7" s="56"/>
      <c r="AA7" s="56"/>
      <c r="AB7" s="56"/>
    </row>
    <row r="8" spans="1:28" s="2" customFormat="1" ht="11.25" x14ac:dyDescent="0.2">
      <c r="A8" s="63" t="s">
        <v>19</v>
      </c>
      <c r="B8" s="925" t="s">
        <v>20</v>
      </c>
      <c r="C8" s="925"/>
      <c r="D8" s="58" t="s">
        <v>16</v>
      </c>
      <c r="E8" s="59">
        <f t="shared" si="4"/>
        <v>3000</v>
      </c>
      <c r="F8" s="59">
        <f t="shared" si="4"/>
        <v>3000</v>
      </c>
      <c r="G8" s="59">
        <f t="shared" si="4"/>
        <v>0</v>
      </c>
      <c r="H8" s="60">
        <f t="shared" si="0"/>
        <v>0</v>
      </c>
      <c r="I8" s="59">
        <f>SUM(N8,S8)</f>
        <v>1654</v>
      </c>
      <c r="J8" s="64">
        <v>3000</v>
      </c>
      <c r="K8" s="59">
        <v>3000</v>
      </c>
      <c r="L8" s="59">
        <v>0</v>
      </c>
      <c r="M8" s="60">
        <f t="shared" si="2"/>
        <v>0</v>
      </c>
      <c r="N8" s="59">
        <v>1654</v>
      </c>
      <c r="O8" s="59"/>
      <c r="P8" s="59"/>
      <c r="Q8" s="59"/>
      <c r="R8" s="60">
        <v>0</v>
      </c>
      <c r="S8" s="59"/>
      <c r="T8" s="59"/>
      <c r="U8" s="59"/>
      <c r="V8" s="59"/>
      <c r="W8" s="60">
        <v>0</v>
      </c>
      <c r="X8" s="59"/>
      <c r="Y8" s="56"/>
      <c r="Z8" s="56"/>
      <c r="AA8" s="56"/>
      <c r="AB8" s="56"/>
    </row>
    <row r="9" spans="1:28" s="2" customFormat="1" ht="11.25" x14ac:dyDescent="0.2">
      <c r="A9" s="63" t="s">
        <v>21</v>
      </c>
      <c r="B9" s="65" t="s">
        <v>22</v>
      </c>
      <c r="C9" s="66"/>
      <c r="D9" s="58" t="s">
        <v>16</v>
      </c>
      <c r="E9" s="59">
        <f t="shared" si="4"/>
        <v>17780172</v>
      </c>
      <c r="F9" s="59">
        <f t="shared" si="4"/>
        <v>17930172</v>
      </c>
      <c r="G9" s="59">
        <f t="shared" si="4"/>
        <v>9040662</v>
      </c>
      <c r="H9" s="60">
        <f t="shared" si="0"/>
        <v>50.421501812698736</v>
      </c>
      <c r="I9" s="59">
        <f>SUM(N9,S9)</f>
        <v>10474032</v>
      </c>
      <c r="J9" s="64">
        <v>3359362</v>
      </c>
      <c r="K9" s="59">
        <v>3509362</v>
      </c>
      <c r="L9" s="59">
        <v>1829682</v>
      </c>
      <c r="M9" s="60">
        <f t="shared" si="2"/>
        <v>52.137169092273751</v>
      </c>
      <c r="N9" s="59">
        <v>1674532</v>
      </c>
      <c r="O9" s="59">
        <v>14420810</v>
      </c>
      <c r="P9" s="59">
        <v>14420810</v>
      </c>
      <c r="Q9" s="59">
        <v>7210980</v>
      </c>
      <c r="R9" s="60">
        <f t="shared" si="3"/>
        <v>50.003987293362847</v>
      </c>
      <c r="S9" s="59">
        <v>8799500</v>
      </c>
      <c r="T9" s="59"/>
      <c r="U9" s="59"/>
      <c r="V9" s="59"/>
      <c r="W9" s="60">
        <v>0</v>
      </c>
      <c r="X9" s="59"/>
      <c r="Y9" s="56"/>
      <c r="Z9" s="56"/>
      <c r="AA9" s="56"/>
      <c r="AB9" s="56"/>
    </row>
    <row r="10" spans="1:28" s="2" customFormat="1" ht="11.25" x14ac:dyDescent="0.2">
      <c r="A10" s="52" t="s">
        <v>23</v>
      </c>
      <c r="B10" s="926" t="s">
        <v>24</v>
      </c>
      <c r="C10" s="926"/>
      <c r="D10" s="53" t="s">
        <v>16</v>
      </c>
      <c r="E10" s="67">
        <f t="shared" si="4"/>
        <v>0</v>
      </c>
      <c r="F10" s="67">
        <f t="shared" si="4"/>
        <v>0</v>
      </c>
      <c r="G10" s="67">
        <f t="shared" si="4"/>
        <v>0</v>
      </c>
      <c r="H10" s="55">
        <v>0</v>
      </c>
      <c r="I10" s="67">
        <f>SUM(N10,S10)</f>
        <v>0</v>
      </c>
      <c r="J10" s="68"/>
      <c r="K10" s="67"/>
      <c r="L10" s="67"/>
      <c r="M10" s="55">
        <v>0</v>
      </c>
      <c r="N10" s="67"/>
      <c r="O10" s="67"/>
      <c r="P10" s="67"/>
      <c r="Q10" s="67"/>
      <c r="R10" s="55">
        <v>0</v>
      </c>
      <c r="S10" s="67"/>
      <c r="T10" s="67"/>
      <c r="U10" s="67"/>
      <c r="V10" s="67"/>
      <c r="W10" s="55">
        <v>0</v>
      </c>
      <c r="X10" s="67"/>
      <c r="Y10" s="56"/>
      <c r="Z10" s="56"/>
      <c r="AA10" s="56"/>
      <c r="AB10" s="56"/>
    </row>
    <row r="11" spans="1:28" s="2" customFormat="1" ht="11.25" x14ac:dyDescent="0.2">
      <c r="A11" s="52" t="s">
        <v>25</v>
      </c>
      <c r="B11" s="926" t="s">
        <v>26</v>
      </c>
      <c r="C11" s="926"/>
      <c r="D11" s="53" t="s">
        <v>16</v>
      </c>
      <c r="E11" s="54">
        <f>SUM(E12:E31)</f>
        <v>19723172</v>
      </c>
      <c r="F11" s="54">
        <f>SUM(F12:F31)</f>
        <v>19892725</v>
      </c>
      <c r="G11" s="54">
        <f>SUM(G12:G31)</f>
        <v>9651945</v>
      </c>
      <c r="H11" s="55">
        <f t="shared" si="0"/>
        <v>48.519974010599356</v>
      </c>
      <c r="I11" s="54">
        <f>SUM(I12:I31)</f>
        <v>9230062</v>
      </c>
      <c r="J11" s="54">
        <f>SUM(J12:J31)</f>
        <v>5302362</v>
      </c>
      <c r="K11" s="54">
        <f>SUM(K12:K31)</f>
        <v>5471915</v>
      </c>
      <c r="L11" s="54">
        <f>SUM(L12:L31)</f>
        <v>2562759</v>
      </c>
      <c r="M11" s="55">
        <f t="shared" si="2"/>
        <v>46.834773566475356</v>
      </c>
      <c r="N11" s="54">
        <f>SUM(N12:N31)</f>
        <v>2738686</v>
      </c>
      <c r="O11" s="54">
        <f>SUM(O12:O31)</f>
        <v>14420810</v>
      </c>
      <c r="P11" s="54">
        <f>SUM(P12:P31)</f>
        <v>14420810</v>
      </c>
      <c r="Q11" s="54">
        <f>SUM(Q12:Q31)</f>
        <v>7089186</v>
      </c>
      <c r="R11" s="55">
        <f t="shared" si="3"/>
        <v>49.159416149300903</v>
      </c>
      <c r="S11" s="54">
        <f>SUM(S12:S31)</f>
        <v>6491376</v>
      </c>
      <c r="T11" s="54">
        <f>SUM(T12:T31)</f>
        <v>0</v>
      </c>
      <c r="U11" s="54">
        <f>SUM(U12:U31)</f>
        <v>0</v>
      </c>
      <c r="V11" s="54">
        <f>SUM(V12:V31)</f>
        <v>0</v>
      </c>
      <c r="W11" s="55">
        <v>0</v>
      </c>
      <c r="X11" s="54">
        <f>SUM(X12:X31)</f>
        <v>0</v>
      </c>
      <c r="Y11" s="56"/>
      <c r="Z11" s="56"/>
      <c r="AA11" s="56"/>
      <c r="AB11" s="56"/>
    </row>
    <row r="12" spans="1:28" s="2" customFormat="1" ht="11.25" x14ac:dyDescent="0.2">
      <c r="A12" s="57" t="s">
        <v>27</v>
      </c>
      <c r="B12" s="922" t="s">
        <v>28</v>
      </c>
      <c r="C12" s="922"/>
      <c r="D12" s="58" t="s">
        <v>16</v>
      </c>
      <c r="E12" s="59">
        <f t="shared" ref="E12:I29" si="5">SUM(J12,O12)</f>
        <v>1785000</v>
      </c>
      <c r="F12" s="59">
        <f t="shared" si="5"/>
        <v>1785000</v>
      </c>
      <c r="G12" s="59">
        <f t="shared" si="5"/>
        <v>979606</v>
      </c>
      <c r="H12" s="60">
        <f t="shared" si="0"/>
        <v>54.87988795518207</v>
      </c>
      <c r="I12" s="59">
        <f t="shared" si="5"/>
        <v>1085301</v>
      </c>
      <c r="J12" s="69">
        <v>1700000</v>
      </c>
      <c r="K12" s="70">
        <v>1700000</v>
      </c>
      <c r="L12" s="70">
        <v>979606</v>
      </c>
      <c r="M12" s="60">
        <f t="shared" si="2"/>
        <v>57.62388235294118</v>
      </c>
      <c r="N12" s="71">
        <v>1085301</v>
      </c>
      <c r="O12" s="70">
        <v>85000</v>
      </c>
      <c r="P12" s="70">
        <v>85000</v>
      </c>
      <c r="Q12" s="70">
        <v>0</v>
      </c>
      <c r="R12" s="60">
        <f t="shared" si="3"/>
        <v>0</v>
      </c>
      <c r="S12" s="70">
        <v>0</v>
      </c>
      <c r="T12" s="70"/>
      <c r="U12" s="70"/>
      <c r="V12" s="70"/>
      <c r="W12" s="60">
        <v>0</v>
      </c>
      <c r="X12" s="71"/>
      <c r="Y12" s="56"/>
      <c r="Z12" s="56"/>
      <c r="AA12" s="56"/>
      <c r="AB12" s="56"/>
    </row>
    <row r="13" spans="1:28" s="2" customFormat="1" ht="11.25" x14ac:dyDescent="0.2">
      <c r="A13" s="57" t="s">
        <v>29</v>
      </c>
      <c r="B13" s="922" t="s">
        <v>30</v>
      </c>
      <c r="C13" s="922"/>
      <c r="D13" s="58" t="s">
        <v>16</v>
      </c>
      <c r="E13" s="59">
        <f t="shared" si="5"/>
        <v>1400000</v>
      </c>
      <c r="F13" s="59">
        <f t="shared" si="5"/>
        <v>1400000</v>
      </c>
      <c r="G13" s="59">
        <f t="shared" si="5"/>
        <v>594069</v>
      </c>
      <c r="H13" s="60">
        <f t="shared" si="0"/>
        <v>42.433500000000002</v>
      </c>
      <c r="I13" s="59">
        <f t="shared" si="5"/>
        <v>624875</v>
      </c>
      <c r="J13" s="69">
        <v>1400000</v>
      </c>
      <c r="K13" s="59">
        <v>1400000</v>
      </c>
      <c r="L13" s="59">
        <v>594069</v>
      </c>
      <c r="M13" s="60">
        <f t="shared" si="2"/>
        <v>42.433500000000002</v>
      </c>
      <c r="N13" s="59">
        <v>624875</v>
      </c>
      <c r="O13" s="59">
        <v>0</v>
      </c>
      <c r="P13" s="59">
        <v>0</v>
      </c>
      <c r="Q13" s="59">
        <v>0</v>
      </c>
      <c r="R13" s="60">
        <v>0</v>
      </c>
      <c r="S13" s="59">
        <v>0</v>
      </c>
      <c r="T13" s="59"/>
      <c r="U13" s="59"/>
      <c r="V13" s="59"/>
      <c r="W13" s="60">
        <v>0</v>
      </c>
      <c r="X13" s="59"/>
      <c r="Y13" s="56"/>
      <c r="Z13" s="56"/>
      <c r="AA13" s="56"/>
      <c r="AB13" s="56"/>
    </row>
    <row r="14" spans="1:28" s="2" customFormat="1" ht="11.25" x14ac:dyDescent="0.2">
      <c r="A14" s="57" t="s">
        <v>31</v>
      </c>
      <c r="B14" s="65" t="s">
        <v>32</v>
      </c>
      <c r="C14" s="65"/>
      <c r="D14" s="58" t="s">
        <v>16</v>
      </c>
      <c r="E14" s="59">
        <f t="shared" si="5"/>
        <v>0</v>
      </c>
      <c r="F14" s="59">
        <f t="shared" si="5"/>
        <v>0</v>
      </c>
      <c r="G14" s="59">
        <f t="shared" si="5"/>
        <v>0</v>
      </c>
      <c r="H14" s="60">
        <v>0</v>
      </c>
      <c r="I14" s="59">
        <f t="shared" si="5"/>
        <v>0</v>
      </c>
      <c r="J14" s="69">
        <v>0</v>
      </c>
      <c r="K14" s="59">
        <v>0</v>
      </c>
      <c r="L14" s="59">
        <v>0</v>
      </c>
      <c r="M14" s="60">
        <v>0</v>
      </c>
      <c r="N14" s="59">
        <v>0</v>
      </c>
      <c r="O14" s="59">
        <v>0</v>
      </c>
      <c r="P14" s="59">
        <v>0</v>
      </c>
      <c r="Q14" s="59">
        <v>0</v>
      </c>
      <c r="R14" s="60">
        <v>0</v>
      </c>
      <c r="S14" s="59">
        <v>0</v>
      </c>
      <c r="T14" s="59"/>
      <c r="U14" s="59"/>
      <c r="V14" s="59"/>
      <c r="W14" s="60">
        <v>0</v>
      </c>
      <c r="X14" s="59"/>
      <c r="Y14" s="56"/>
      <c r="Z14" s="56"/>
      <c r="AA14" s="56"/>
      <c r="AB14" s="56"/>
    </row>
    <row r="15" spans="1:28" s="2" customFormat="1" ht="11.25" x14ac:dyDescent="0.2">
      <c r="A15" s="57" t="s">
        <v>33</v>
      </c>
      <c r="B15" s="922" t="s">
        <v>34</v>
      </c>
      <c r="C15" s="922"/>
      <c r="D15" s="58" t="s">
        <v>16</v>
      </c>
      <c r="E15" s="59">
        <f t="shared" si="5"/>
        <v>620000</v>
      </c>
      <c r="F15" s="59">
        <f t="shared" si="5"/>
        <v>770000</v>
      </c>
      <c r="G15" s="59">
        <f t="shared" si="5"/>
        <v>99629</v>
      </c>
      <c r="H15" s="60">
        <f t="shared" si="0"/>
        <v>12.93883116883117</v>
      </c>
      <c r="I15" s="59">
        <f t="shared" si="5"/>
        <v>110961</v>
      </c>
      <c r="J15" s="69">
        <v>620000</v>
      </c>
      <c r="K15" s="59">
        <v>770000</v>
      </c>
      <c r="L15" s="59">
        <v>99629</v>
      </c>
      <c r="M15" s="60">
        <f t="shared" si="2"/>
        <v>12.93883116883117</v>
      </c>
      <c r="N15" s="59">
        <v>110961</v>
      </c>
      <c r="O15" s="59">
        <v>0</v>
      </c>
      <c r="P15" s="59">
        <v>0</v>
      </c>
      <c r="Q15" s="59">
        <v>0</v>
      </c>
      <c r="R15" s="60">
        <v>0</v>
      </c>
      <c r="S15" s="59">
        <v>0</v>
      </c>
      <c r="T15" s="59"/>
      <c r="U15" s="59"/>
      <c r="V15" s="59"/>
      <c r="W15" s="60">
        <v>0</v>
      </c>
      <c r="X15" s="59"/>
      <c r="Y15" s="56"/>
      <c r="Z15" s="56"/>
      <c r="AA15" s="56"/>
      <c r="AB15" s="56"/>
    </row>
    <row r="16" spans="1:28" s="2" customFormat="1" ht="11.25" x14ac:dyDescent="0.2">
      <c r="A16" s="57" t="s">
        <v>35</v>
      </c>
      <c r="B16" s="922" t="s">
        <v>36</v>
      </c>
      <c r="C16" s="922"/>
      <c r="D16" s="58" t="s">
        <v>16</v>
      </c>
      <c r="E16" s="59">
        <f t="shared" si="5"/>
        <v>2000</v>
      </c>
      <c r="F16" s="59">
        <f t="shared" si="5"/>
        <v>2000</v>
      </c>
      <c r="G16" s="59">
        <f t="shared" si="5"/>
        <v>0</v>
      </c>
      <c r="H16" s="60">
        <f t="shared" si="0"/>
        <v>0</v>
      </c>
      <c r="I16" s="59">
        <f t="shared" si="5"/>
        <v>0</v>
      </c>
      <c r="J16" s="69">
        <v>2000</v>
      </c>
      <c r="K16" s="59">
        <v>2000</v>
      </c>
      <c r="L16" s="59">
        <v>0</v>
      </c>
      <c r="M16" s="60">
        <f t="shared" si="2"/>
        <v>0</v>
      </c>
      <c r="N16" s="59">
        <v>0</v>
      </c>
      <c r="O16" s="59">
        <v>0</v>
      </c>
      <c r="P16" s="59">
        <v>0</v>
      </c>
      <c r="Q16" s="59">
        <v>0</v>
      </c>
      <c r="R16" s="60">
        <v>0</v>
      </c>
      <c r="S16" s="59">
        <v>0</v>
      </c>
      <c r="T16" s="59"/>
      <c r="U16" s="59"/>
      <c r="V16" s="59"/>
      <c r="W16" s="60">
        <v>0</v>
      </c>
      <c r="X16" s="59"/>
      <c r="Y16" s="56"/>
      <c r="Z16" s="56"/>
      <c r="AA16" s="56"/>
      <c r="AB16" s="56"/>
    </row>
    <row r="17" spans="1:28" s="2" customFormat="1" ht="11.25" x14ac:dyDescent="0.2">
      <c r="A17" s="57" t="s">
        <v>37</v>
      </c>
      <c r="B17" s="65" t="s">
        <v>38</v>
      </c>
      <c r="C17" s="65"/>
      <c r="D17" s="58" t="s">
        <v>16</v>
      </c>
      <c r="E17" s="59">
        <f t="shared" si="5"/>
        <v>0</v>
      </c>
      <c r="F17" s="59">
        <f t="shared" si="5"/>
        <v>0</v>
      </c>
      <c r="G17" s="59">
        <f t="shared" si="5"/>
        <v>0</v>
      </c>
      <c r="H17" s="60">
        <v>0</v>
      </c>
      <c r="I17" s="59">
        <f t="shared" si="5"/>
        <v>0</v>
      </c>
      <c r="J17" s="69">
        <v>0</v>
      </c>
      <c r="K17" s="59">
        <v>0</v>
      </c>
      <c r="L17" s="59">
        <v>0</v>
      </c>
      <c r="M17" s="60">
        <v>0</v>
      </c>
      <c r="N17" s="59">
        <v>0</v>
      </c>
      <c r="O17" s="59">
        <v>0</v>
      </c>
      <c r="P17" s="59">
        <v>0</v>
      </c>
      <c r="Q17" s="59">
        <v>0</v>
      </c>
      <c r="R17" s="60">
        <v>0</v>
      </c>
      <c r="S17" s="59">
        <v>0</v>
      </c>
      <c r="T17" s="59"/>
      <c r="U17" s="59"/>
      <c r="V17" s="59"/>
      <c r="W17" s="60">
        <v>0</v>
      </c>
      <c r="X17" s="59"/>
      <c r="Y17" s="56"/>
      <c r="Z17" s="56"/>
      <c r="AA17" s="56"/>
      <c r="AB17" s="56"/>
    </row>
    <row r="18" spans="1:28" s="2" customFormat="1" ht="11.25" x14ac:dyDescent="0.2">
      <c r="A18" s="57" t="s">
        <v>39</v>
      </c>
      <c r="B18" s="922" t="s">
        <v>40</v>
      </c>
      <c r="C18" s="922"/>
      <c r="D18" s="58" t="s">
        <v>16</v>
      </c>
      <c r="E18" s="59">
        <f t="shared" si="5"/>
        <v>555000</v>
      </c>
      <c r="F18" s="59">
        <f t="shared" si="5"/>
        <v>569553</v>
      </c>
      <c r="G18" s="59">
        <f t="shared" si="5"/>
        <v>283950</v>
      </c>
      <c r="H18" s="60">
        <f t="shared" si="0"/>
        <v>49.854886200230709</v>
      </c>
      <c r="I18" s="59">
        <f t="shared" si="5"/>
        <v>268893</v>
      </c>
      <c r="J18" s="69">
        <v>550000</v>
      </c>
      <c r="K18" s="59">
        <v>564553</v>
      </c>
      <c r="L18" s="59">
        <v>280060</v>
      </c>
      <c r="M18" s="60">
        <f t="shared" si="2"/>
        <v>49.607388500282525</v>
      </c>
      <c r="N18" s="59">
        <v>268893</v>
      </c>
      <c r="O18" s="59">
        <v>5000</v>
      </c>
      <c r="P18" s="59">
        <v>5000</v>
      </c>
      <c r="Q18" s="59">
        <v>3890</v>
      </c>
      <c r="R18" s="60">
        <f t="shared" si="3"/>
        <v>77.8</v>
      </c>
      <c r="S18" s="59">
        <v>0</v>
      </c>
      <c r="T18" s="59"/>
      <c r="U18" s="59"/>
      <c r="V18" s="59"/>
      <c r="W18" s="60">
        <v>0</v>
      </c>
      <c r="X18" s="59"/>
      <c r="Y18" s="56"/>
      <c r="Z18" s="56"/>
      <c r="AA18" s="56"/>
      <c r="AB18" s="56"/>
    </row>
    <row r="19" spans="1:28" s="25" customFormat="1" ht="11.25" x14ac:dyDescent="0.2">
      <c r="A19" s="57" t="s">
        <v>41</v>
      </c>
      <c r="B19" s="922" t="s">
        <v>42</v>
      </c>
      <c r="C19" s="922"/>
      <c r="D19" s="58" t="s">
        <v>16</v>
      </c>
      <c r="E19" s="59">
        <f t="shared" si="5"/>
        <v>10553600</v>
      </c>
      <c r="F19" s="59">
        <f t="shared" si="5"/>
        <v>10553600</v>
      </c>
      <c r="G19" s="59">
        <f t="shared" si="5"/>
        <v>5238739</v>
      </c>
      <c r="H19" s="60">
        <f t="shared" si="0"/>
        <v>49.639355291085508</v>
      </c>
      <c r="I19" s="59">
        <f t="shared" si="5"/>
        <v>4819100</v>
      </c>
      <c r="J19" s="72">
        <v>53000</v>
      </c>
      <c r="K19" s="59">
        <v>53000</v>
      </c>
      <c r="L19" s="59">
        <v>30497</v>
      </c>
      <c r="M19" s="60">
        <f t="shared" si="2"/>
        <v>57.541509433962268</v>
      </c>
      <c r="N19" s="59">
        <v>34441</v>
      </c>
      <c r="O19" s="59">
        <v>10500600</v>
      </c>
      <c r="P19" s="59">
        <v>10500600</v>
      </c>
      <c r="Q19" s="59">
        <v>5208242</v>
      </c>
      <c r="R19" s="60">
        <f t="shared" si="3"/>
        <v>49.599470506447254</v>
      </c>
      <c r="S19" s="59">
        <v>4784659</v>
      </c>
      <c r="T19" s="73"/>
      <c r="U19" s="73"/>
      <c r="V19" s="73"/>
      <c r="W19" s="60">
        <v>0</v>
      </c>
      <c r="X19" s="73"/>
      <c r="Y19" s="74"/>
      <c r="Z19" s="74"/>
      <c r="AA19" s="74"/>
      <c r="AB19" s="74"/>
    </row>
    <row r="20" spans="1:28" s="2" customFormat="1" ht="11.25" x14ac:dyDescent="0.2">
      <c r="A20" s="57" t="s">
        <v>43</v>
      </c>
      <c r="B20" s="922" t="s">
        <v>44</v>
      </c>
      <c r="C20" s="922"/>
      <c r="D20" s="58" t="s">
        <v>16</v>
      </c>
      <c r="E20" s="59">
        <f t="shared" si="5"/>
        <v>3639210</v>
      </c>
      <c r="F20" s="59">
        <f t="shared" si="5"/>
        <v>3639210</v>
      </c>
      <c r="G20" s="59">
        <f t="shared" si="5"/>
        <v>1780596</v>
      </c>
      <c r="H20" s="60">
        <f t="shared" si="0"/>
        <v>48.928091536349925</v>
      </c>
      <c r="I20" s="59">
        <f t="shared" si="5"/>
        <v>1640847</v>
      </c>
      <c r="J20" s="69">
        <v>19000</v>
      </c>
      <c r="K20" s="59">
        <v>19000</v>
      </c>
      <c r="L20" s="59">
        <v>7707</v>
      </c>
      <c r="M20" s="60">
        <f t="shared" si="2"/>
        <v>40.56315789473684</v>
      </c>
      <c r="N20" s="59">
        <v>7900</v>
      </c>
      <c r="O20" s="59">
        <v>3620210</v>
      </c>
      <c r="P20" s="59">
        <v>3620210</v>
      </c>
      <c r="Q20" s="59">
        <v>1772889</v>
      </c>
      <c r="R20" s="60">
        <f t="shared" si="3"/>
        <v>48.971993337403077</v>
      </c>
      <c r="S20" s="59">
        <v>1632947</v>
      </c>
      <c r="T20" s="59"/>
      <c r="U20" s="59"/>
      <c r="V20" s="59"/>
      <c r="W20" s="60">
        <v>0</v>
      </c>
      <c r="X20" s="59"/>
      <c r="Y20" s="56"/>
      <c r="Z20" s="56"/>
      <c r="AA20" s="56"/>
      <c r="AB20" s="56"/>
    </row>
    <row r="21" spans="1:28" s="2" customFormat="1" ht="11.25" x14ac:dyDescent="0.2">
      <c r="A21" s="57" t="s">
        <v>45</v>
      </c>
      <c r="B21" s="922" t="s">
        <v>46</v>
      </c>
      <c r="C21" s="922"/>
      <c r="D21" s="58" t="s">
        <v>16</v>
      </c>
      <c r="E21" s="59">
        <f t="shared" si="5"/>
        <v>225000</v>
      </c>
      <c r="F21" s="59">
        <f t="shared" si="5"/>
        <v>225000</v>
      </c>
      <c r="G21" s="59">
        <f t="shared" si="5"/>
        <v>110673</v>
      </c>
      <c r="H21" s="60">
        <f t="shared" si="0"/>
        <v>49.187999999999995</v>
      </c>
      <c r="I21" s="59">
        <f t="shared" si="5"/>
        <v>75616</v>
      </c>
      <c r="J21" s="69">
        <v>15000</v>
      </c>
      <c r="K21" s="59">
        <v>15000</v>
      </c>
      <c r="L21" s="59">
        <v>6508</v>
      </c>
      <c r="M21" s="60">
        <f t="shared" si="2"/>
        <v>43.38666666666667</v>
      </c>
      <c r="N21" s="59">
        <v>1846</v>
      </c>
      <c r="O21" s="59">
        <v>210000</v>
      </c>
      <c r="P21" s="59">
        <v>210000</v>
      </c>
      <c r="Q21" s="59">
        <v>104165</v>
      </c>
      <c r="R21" s="60">
        <f t="shared" si="3"/>
        <v>49.602380952380955</v>
      </c>
      <c r="S21" s="59">
        <v>73770</v>
      </c>
      <c r="T21" s="59"/>
      <c r="U21" s="59"/>
      <c r="V21" s="59"/>
      <c r="W21" s="60">
        <v>0</v>
      </c>
      <c r="X21" s="59"/>
      <c r="Y21" s="56"/>
      <c r="Z21" s="56"/>
      <c r="AA21" s="56"/>
      <c r="AB21" s="56"/>
    </row>
    <row r="22" spans="1:28" s="2" customFormat="1" ht="11.25" x14ac:dyDescent="0.2">
      <c r="A22" s="57" t="s">
        <v>47</v>
      </c>
      <c r="B22" s="922" t="s">
        <v>48</v>
      </c>
      <c r="C22" s="922"/>
      <c r="D22" s="58" t="s">
        <v>16</v>
      </c>
      <c r="E22" s="59">
        <f t="shared" si="5"/>
        <v>0</v>
      </c>
      <c r="F22" s="59">
        <f t="shared" si="5"/>
        <v>0</v>
      </c>
      <c r="G22" s="59">
        <f t="shared" si="5"/>
        <v>0</v>
      </c>
      <c r="H22" s="60">
        <v>0</v>
      </c>
      <c r="I22" s="59">
        <f t="shared" si="5"/>
        <v>0</v>
      </c>
      <c r="J22" s="69">
        <v>0</v>
      </c>
      <c r="K22" s="59">
        <v>0</v>
      </c>
      <c r="L22" s="59">
        <v>0</v>
      </c>
      <c r="M22" s="60">
        <v>0</v>
      </c>
      <c r="N22" s="59">
        <v>0</v>
      </c>
      <c r="O22" s="59">
        <v>0</v>
      </c>
      <c r="P22" s="59">
        <v>0</v>
      </c>
      <c r="Q22" s="59">
        <v>0</v>
      </c>
      <c r="R22" s="60">
        <v>0</v>
      </c>
      <c r="S22" s="59">
        <v>0</v>
      </c>
      <c r="T22" s="59"/>
      <c r="U22" s="59"/>
      <c r="V22" s="59"/>
      <c r="W22" s="60">
        <v>0</v>
      </c>
      <c r="X22" s="59"/>
      <c r="Y22" s="56"/>
      <c r="Z22" s="56"/>
      <c r="AA22" s="56"/>
      <c r="AB22" s="56"/>
    </row>
    <row r="23" spans="1:28" s="2" customFormat="1" ht="11.25" x14ac:dyDescent="0.2">
      <c r="A23" s="57" t="s">
        <v>49</v>
      </c>
      <c r="B23" s="65" t="s">
        <v>50</v>
      </c>
      <c r="C23" s="65"/>
      <c r="D23" s="58" t="s">
        <v>16</v>
      </c>
      <c r="E23" s="59">
        <f t="shared" si="5"/>
        <v>0</v>
      </c>
      <c r="F23" s="59">
        <f t="shared" si="5"/>
        <v>0</v>
      </c>
      <c r="G23" s="59">
        <f t="shared" si="5"/>
        <v>0</v>
      </c>
      <c r="H23" s="60">
        <v>0</v>
      </c>
      <c r="I23" s="59">
        <f t="shared" si="5"/>
        <v>0</v>
      </c>
      <c r="J23" s="69">
        <v>0</v>
      </c>
      <c r="K23" s="59">
        <v>0</v>
      </c>
      <c r="L23" s="59">
        <v>0</v>
      </c>
      <c r="M23" s="60">
        <v>0</v>
      </c>
      <c r="N23" s="59">
        <v>0</v>
      </c>
      <c r="O23" s="59">
        <v>0</v>
      </c>
      <c r="P23" s="59">
        <v>0</v>
      </c>
      <c r="Q23" s="59">
        <v>0</v>
      </c>
      <c r="R23" s="60">
        <v>0</v>
      </c>
      <c r="S23" s="59">
        <v>0</v>
      </c>
      <c r="T23" s="59"/>
      <c r="U23" s="59"/>
      <c r="V23" s="59"/>
      <c r="W23" s="60">
        <v>0</v>
      </c>
      <c r="X23" s="59"/>
      <c r="Y23" s="56"/>
      <c r="Z23" s="56"/>
      <c r="AA23" s="56"/>
      <c r="AB23" s="56"/>
    </row>
    <row r="24" spans="1:28" s="2" customFormat="1" ht="11.25" x14ac:dyDescent="0.2">
      <c r="A24" s="57" t="s">
        <v>51</v>
      </c>
      <c r="B24" s="65" t="s">
        <v>52</v>
      </c>
      <c r="C24" s="65"/>
      <c r="D24" s="58" t="s">
        <v>16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60">
        <v>0</v>
      </c>
      <c r="I24" s="59">
        <f t="shared" si="5"/>
        <v>0</v>
      </c>
      <c r="J24" s="69">
        <v>0</v>
      </c>
      <c r="K24" s="59">
        <v>0</v>
      </c>
      <c r="L24" s="59">
        <v>0</v>
      </c>
      <c r="M24" s="60">
        <v>0</v>
      </c>
      <c r="N24" s="59">
        <v>0</v>
      </c>
      <c r="O24" s="59">
        <v>0</v>
      </c>
      <c r="P24" s="59">
        <v>0</v>
      </c>
      <c r="Q24" s="59">
        <v>0</v>
      </c>
      <c r="R24" s="60">
        <v>0</v>
      </c>
      <c r="S24" s="59">
        <v>0</v>
      </c>
      <c r="T24" s="59"/>
      <c r="U24" s="59"/>
      <c r="V24" s="59"/>
      <c r="W24" s="60">
        <v>0</v>
      </c>
      <c r="X24" s="59"/>
      <c r="Y24" s="56"/>
      <c r="Z24" s="56"/>
      <c r="AA24" s="56"/>
      <c r="AB24" s="56"/>
    </row>
    <row r="25" spans="1:28" s="2" customFormat="1" ht="11.25" x14ac:dyDescent="0.2">
      <c r="A25" s="57" t="s">
        <v>53</v>
      </c>
      <c r="B25" s="65" t="s">
        <v>54</v>
      </c>
      <c r="C25" s="65"/>
      <c r="D25" s="58" t="s">
        <v>16</v>
      </c>
      <c r="E25" s="59">
        <f t="shared" si="5"/>
        <v>0</v>
      </c>
      <c r="F25" s="59">
        <f t="shared" si="5"/>
        <v>0</v>
      </c>
      <c r="G25" s="59">
        <f t="shared" si="5"/>
        <v>0</v>
      </c>
      <c r="H25" s="60">
        <v>0</v>
      </c>
      <c r="I25" s="59">
        <f t="shared" si="5"/>
        <v>0</v>
      </c>
      <c r="J25" s="69">
        <v>0</v>
      </c>
      <c r="K25" s="70">
        <v>0</v>
      </c>
      <c r="L25" s="70">
        <v>0</v>
      </c>
      <c r="M25" s="60">
        <v>0</v>
      </c>
      <c r="N25" s="71">
        <v>0</v>
      </c>
      <c r="O25" s="70">
        <v>0</v>
      </c>
      <c r="P25" s="70">
        <v>0</v>
      </c>
      <c r="Q25" s="70">
        <v>0</v>
      </c>
      <c r="R25" s="60">
        <v>0</v>
      </c>
      <c r="S25" s="70">
        <v>0</v>
      </c>
      <c r="T25" s="70"/>
      <c r="U25" s="70"/>
      <c r="V25" s="70"/>
      <c r="W25" s="60">
        <v>0</v>
      </c>
      <c r="X25" s="70"/>
      <c r="Y25" s="56"/>
      <c r="Z25" s="56"/>
      <c r="AA25" s="56"/>
      <c r="AB25" s="56"/>
    </row>
    <row r="26" spans="1:28" s="27" customFormat="1" ht="11.25" x14ac:dyDescent="0.2">
      <c r="A26" s="57" t="s">
        <v>55</v>
      </c>
      <c r="B26" s="922" t="s">
        <v>56</v>
      </c>
      <c r="C26" s="922"/>
      <c r="D26" s="58" t="s">
        <v>16</v>
      </c>
      <c r="E26" s="59">
        <f t="shared" si="5"/>
        <v>601500</v>
      </c>
      <c r="F26" s="59">
        <f t="shared" si="5"/>
        <v>608640</v>
      </c>
      <c r="G26" s="59">
        <f t="shared" si="5"/>
        <v>304219</v>
      </c>
      <c r="H26" s="75">
        <f>G26/F26*100</f>
        <v>49.983405625657198</v>
      </c>
      <c r="I26" s="59">
        <f>SUM(N26,S26)</f>
        <v>295456</v>
      </c>
      <c r="J26" s="69">
        <v>601500</v>
      </c>
      <c r="K26" s="71">
        <v>608640</v>
      </c>
      <c r="L26" s="71">
        <v>304219</v>
      </c>
      <c r="M26" s="60">
        <f>L26/K26*100</f>
        <v>49.983405625657198</v>
      </c>
      <c r="N26" s="71">
        <v>295456</v>
      </c>
      <c r="O26" s="71">
        <v>0</v>
      </c>
      <c r="P26" s="71">
        <v>0</v>
      </c>
      <c r="Q26" s="71">
        <v>0</v>
      </c>
      <c r="R26" s="60">
        <v>0</v>
      </c>
      <c r="S26" s="71">
        <v>0</v>
      </c>
      <c r="T26" s="76"/>
      <c r="U26" s="76"/>
      <c r="V26" s="76"/>
      <c r="W26" s="60">
        <v>0</v>
      </c>
      <c r="X26" s="76"/>
      <c r="Y26" s="77"/>
      <c r="Z26" s="77"/>
      <c r="AA26" s="77"/>
      <c r="AB26" s="77"/>
    </row>
    <row r="27" spans="1:28" s="27" customFormat="1" ht="11.25" x14ac:dyDescent="0.2">
      <c r="A27" s="57" t="s">
        <v>57</v>
      </c>
      <c r="B27" s="65" t="s">
        <v>58</v>
      </c>
      <c r="C27" s="65"/>
      <c r="D27" s="58" t="s">
        <v>16</v>
      </c>
      <c r="E27" s="59">
        <f t="shared" si="5"/>
        <v>0</v>
      </c>
      <c r="F27" s="59">
        <f t="shared" si="5"/>
        <v>0</v>
      </c>
      <c r="G27" s="59">
        <f t="shared" si="5"/>
        <v>0</v>
      </c>
      <c r="H27" s="75">
        <v>0</v>
      </c>
      <c r="I27" s="59">
        <f t="shared" si="5"/>
        <v>0</v>
      </c>
      <c r="J27" s="69">
        <v>0</v>
      </c>
      <c r="K27" s="71">
        <v>0</v>
      </c>
      <c r="L27" s="71">
        <v>0</v>
      </c>
      <c r="M27" s="60">
        <v>0</v>
      </c>
      <c r="N27" s="59">
        <v>0</v>
      </c>
      <c r="O27" s="71">
        <v>0</v>
      </c>
      <c r="P27" s="71">
        <v>0</v>
      </c>
      <c r="Q27" s="71">
        <v>0</v>
      </c>
      <c r="R27" s="60">
        <v>0</v>
      </c>
      <c r="S27" s="71">
        <v>0</v>
      </c>
      <c r="T27" s="76"/>
      <c r="U27" s="76"/>
      <c r="V27" s="76"/>
      <c r="W27" s="60">
        <v>0</v>
      </c>
      <c r="X27" s="76"/>
      <c r="Y27" s="77"/>
      <c r="Z27" s="77"/>
      <c r="AA27" s="77"/>
      <c r="AB27" s="77"/>
    </row>
    <row r="28" spans="1:28" s="27" customFormat="1" ht="11.25" x14ac:dyDescent="0.2">
      <c r="A28" s="57" t="s">
        <v>59</v>
      </c>
      <c r="B28" s="65" t="s">
        <v>60</v>
      </c>
      <c r="C28" s="65"/>
      <c r="D28" s="58" t="s">
        <v>16</v>
      </c>
      <c r="E28" s="59">
        <f>SUM(J28,O28)</f>
        <v>330000</v>
      </c>
      <c r="F28" s="59">
        <f>SUM(K28,P28)</f>
        <v>335000</v>
      </c>
      <c r="G28" s="59">
        <f>SUM(L28,Q28)</f>
        <v>260073</v>
      </c>
      <c r="H28" s="75">
        <f>G28/F28*100</f>
        <v>77.633731343283586</v>
      </c>
      <c r="I28" s="59">
        <f>SUM(N28,S28)</f>
        <v>308622</v>
      </c>
      <c r="J28" s="69">
        <v>330000</v>
      </c>
      <c r="K28" s="71">
        <v>335000</v>
      </c>
      <c r="L28" s="71">
        <v>260073</v>
      </c>
      <c r="M28" s="60">
        <f>L28/K28*100</f>
        <v>77.633731343283586</v>
      </c>
      <c r="N28" s="59">
        <v>308622</v>
      </c>
      <c r="O28" s="71">
        <v>0</v>
      </c>
      <c r="P28" s="71">
        <v>0</v>
      </c>
      <c r="Q28" s="71">
        <v>0</v>
      </c>
      <c r="R28" s="60">
        <v>0</v>
      </c>
      <c r="S28" s="71">
        <v>0</v>
      </c>
      <c r="T28" s="76"/>
      <c r="U28" s="76"/>
      <c r="V28" s="76"/>
      <c r="W28" s="60">
        <v>0</v>
      </c>
      <c r="X28" s="76"/>
      <c r="Y28" s="77"/>
      <c r="Z28" s="77"/>
      <c r="AA28" s="77"/>
      <c r="AB28" s="77"/>
    </row>
    <row r="29" spans="1:28" s="28" customFormat="1" ht="11.25" x14ac:dyDescent="0.2">
      <c r="A29" s="57" t="s">
        <v>61</v>
      </c>
      <c r="B29" s="65" t="s">
        <v>62</v>
      </c>
      <c r="C29" s="65"/>
      <c r="D29" s="58" t="s">
        <v>16</v>
      </c>
      <c r="E29" s="59">
        <f t="shared" si="5"/>
        <v>11862</v>
      </c>
      <c r="F29" s="59">
        <f t="shared" si="5"/>
        <v>4722</v>
      </c>
      <c r="G29" s="59">
        <f t="shared" si="5"/>
        <v>391</v>
      </c>
      <c r="H29" s="75">
        <f t="shared" si="0"/>
        <v>8.2803896653960187</v>
      </c>
      <c r="I29" s="59">
        <f t="shared" si="5"/>
        <v>391</v>
      </c>
      <c r="J29" s="69">
        <v>11862</v>
      </c>
      <c r="K29" s="71">
        <v>4722</v>
      </c>
      <c r="L29" s="71">
        <v>391</v>
      </c>
      <c r="M29" s="60">
        <f t="shared" si="2"/>
        <v>8.2803896653960187</v>
      </c>
      <c r="N29" s="71">
        <v>391</v>
      </c>
      <c r="O29" s="71">
        <v>0</v>
      </c>
      <c r="P29" s="71">
        <v>0</v>
      </c>
      <c r="Q29" s="71">
        <v>0</v>
      </c>
      <c r="R29" s="60">
        <v>0</v>
      </c>
      <c r="S29" s="71">
        <v>0</v>
      </c>
      <c r="T29" s="76"/>
      <c r="U29" s="76"/>
      <c r="V29" s="76"/>
      <c r="W29" s="60">
        <v>0</v>
      </c>
      <c r="X29" s="76"/>
      <c r="Y29" s="78"/>
      <c r="Z29" s="78"/>
      <c r="AA29" s="78"/>
      <c r="AB29" s="78"/>
    </row>
    <row r="30" spans="1:28" s="2" customFormat="1" ht="11.25" x14ac:dyDescent="0.2">
      <c r="A30" s="57" t="s">
        <v>63</v>
      </c>
      <c r="B30" s="65" t="s">
        <v>64</v>
      </c>
      <c r="C30" s="65"/>
      <c r="D30" s="58" t="s">
        <v>16</v>
      </c>
      <c r="E30" s="59">
        <f t="shared" ref="E30:G31" si="6">SUM(J30,O30)</f>
        <v>0</v>
      </c>
      <c r="F30" s="59">
        <f t="shared" si="6"/>
        <v>0</v>
      </c>
      <c r="G30" s="59">
        <f t="shared" si="6"/>
        <v>0</v>
      </c>
      <c r="H30" s="75">
        <v>0</v>
      </c>
      <c r="I30" s="59">
        <f>SUM(N30,S30)</f>
        <v>0</v>
      </c>
      <c r="J30" s="69">
        <v>0</v>
      </c>
      <c r="K30" s="71">
        <v>0</v>
      </c>
      <c r="L30" s="71">
        <v>0</v>
      </c>
      <c r="M30" s="60">
        <v>0</v>
      </c>
      <c r="N30" s="71">
        <v>0</v>
      </c>
      <c r="O30" s="71">
        <v>0</v>
      </c>
      <c r="P30" s="71">
        <v>0</v>
      </c>
      <c r="Q30" s="71">
        <v>0</v>
      </c>
      <c r="R30" s="60">
        <v>0</v>
      </c>
      <c r="S30" s="71">
        <v>0</v>
      </c>
      <c r="T30" s="76"/>
      <c r="U30" s="76"/>
      <c r="V30" s="76"/>
      <c r="W30" s="60">
        <v>0</v>
      </c>
      <c r="X30" s="76"/>
      <c r="Y30" s="56"/>
      <c r="Z30" s="56"/>
      <c r="AA30" s="56"/>
      <c r="AB30" s="56"/>
    </row>
    <row r="31" spans="1:28" s="31" customFormat="1" ht="11.25" x14ac:dyDescent="0.2">
      <c r="A31" s="57" t="s">
        <v>65</v>
      </c>
      <c r="B31" s="65" t="s">
        <v>66</v>
      </c>
      <c r="C31" s="65"/>
      <c r="D31" s="58" t="s">
        <v>16</v>
      </c>
      <c r="E31" s="59">
        <f t="shared" si="6"/>
        <v>0</v>
      </c>
      <c r="F31" s="59">
        <f t="shared" si="6"/>
        <v>0</v>
      </c>
      <c r="G31" s="59">
        <f t="shared" si="6"/>
        <v>0</v>
      </c>
      <c r="H31" s="75">
        <v>0</v>
      </c>
      <c r="I31" s="59">
        <f>SUM(N31,S31)</f>
        <v>0</v>
      </c>
      <c r="J31" s="69">
        <v>0</v>
      </c>
      <c r="K31" s="79">
        <v>0</v>
      </c>
      <c r="L31" s="79">
        <v>0</v>
      </c>
      <c r="M31" s="60">
        <v>0</v>
      </c>
      <c r="N31" s="79">
        <v>0</v>
      </c>
      <c r="O31" s="79">
        <v>0</v>
      </c>
      <c r="P31" s="79">
        <v>0</v>
      </c>
      <c r="Q31" s="79">
        <v>0</v>
      </c>
      <c r="R31" s="60">
        <v>0</v>
      </c>
      <c r="S31" s="79">
        <v>0</v>
      </c>
      <c r="T31" s="80"/>
      <c r="U31" s="80"/>
      <c r="V31" s="80"/>
      <c r="W31" s="60">
        <v>0</v>
      </c>
      <c r="X31" s="80"/>
      <c r="Y31" s="81"/>
      <c r="Z31" s="81"/>
      <c r="AA31" s="81"/>
      <c r="AB31" s="81"/>
    </row>
    <row r="32" spans="1:28" s="31" customFormat="1" ht="11.25" x14ac:dyDescent="0.2">
      <c r="A32" s="57" t="s">
        <v>67</v>
      </c>
      <c r="B32" s="65" t="s">
        <v>68</v>
      </c>
      <c r="C32" s="65"/>
      <c r="D32" s="58" t="s">
        <v>16</v>
      </c>
      <c r="E32" s="59">
        <f>SUM(J32,O32)</f>
        <v>0</v>
      </c>
      <c r="F32" s="59">
        <f>SUM(K32,P32)</f>
        <v>0</v>
      </c>
      <c r="G32" s="59">
        <f>SUM(L32,Q32)</f>
        <v>0</v>
      </c>
      <c r="H32" s="75">
        <v>0</v>
      </c>
      <c r="I32" s="59">
        <f>SUM(N32,S32)</f>
        <v>0</v>
      </c>
      <c r="J32" s="82">
        <v>0</v>
      </c>
      <c r="K32" s="80">
        <v>0</v>
      </c>
      <c r="L32" s="80">
        <v>0</v>
      </c>
      <c r="M32" s="60">
        <v>0</v>
      </c>
      <c r="N32" s="80">
        <v>0</v>
      </c>
      <c r="O32" s="80">
        <v>0</v>
      </c>
      <c r="P32" s="80">
        <v>0</v>
      </c>
      <c r="Q32" s="80">
        <v>0</v>
      </c>
      <c r="R32" s="60">
        <v>0</v>
      </c>
      <c r="S32" s="80">
        <v>0</v>
      </c>
      <c r="T32" s="80"/>
      <c r="U32" s="80"/>
      <c r="V32" s="80"/>
      <c r="W32" s="60">
        <v>0</v>
      </c>
      <c r="X32" s="80"/>
      <c r="Y32" s="81"/>
      <c r="Z32" s="81"/>
      <c r="AA32" s="81"/>
      <c r="AB32" s="81"/>
    </row>
    <row r="33" spans="1:28" s="31" customFormat="1" ht="11.25" x14ac:dyDescent="0.2">
      <c r="A33" s="52" t="s">
        <v>69</v>
      </c>
      <c r="B33" s="83" t="s">
        <v>70</v>
      </c>
      <c r="C33" s="83"/>
      <c r="D33" s="53" t="s">
        <v>16</v>
      </c>
      <c r="E33" s="54">
        <f>E6-E11</f>
        <v>0</v>
      </c>
      <c r="F33" s="54">
        <f>F6-F11</f>
        <v>0</v>
      </c>
      <c r="G33" s="54">
        <f>G6-G11</f>
        <v>563312</v>
      </c>
      <c r="H33" s="84">
        <v>0</v>
      </c>
      <c r="I33" s="54">
        <f>I6-I11</f>
        <v>2435174</v>
      </c>
      <c r="J33" s="54">
        <f>J6-J11</f>
        <v>0</v>
      </c>
      <c r="K33" s="54">
        <f>K6-K11</f>
        <v>0</v>
      </c>
      <c r="L33" s="54">
        <f>L6-L11</f>
        <v>441518</v>
      </c>
      <c r="M33" s="55">
        <v>0</v>
      </c>
      <c r="N33" s="54">
        <f>N6-N11</f>
        <v>127050</v>
      </c>
      <c r="O33" s="54">
        <f>O6-O11</f>
        <v>0</v>
      </c>
      <c r="P33" s="54">
        <f>P6-P11</f>
        <v>0</v>
      </c>
      <c r="Q33" s="54">
        <f>Q6-Q11</f>
        <v>121794</v>
      </c>
      <c r="R33" s="55">
        <v>0</v>
      </c>
      <c r="S33" s="54">
        <f>S6-S11</f>
        <v>2308124</v>
      </c>
      <c r="T33" s="54">
        <f>T6-T11</f>
        <v>0</v>
      </c>
      <c r="U33" s="54">
        <f>U6-U11</f>
        <v>0</v>
      </c>
      <c r="V33" s="54">
        <f>V6-V11</f>
        <v>0</v>
      </c>
      <c r="W33" s="55">
        <v>0</v>
      </c>
      <c r="X33" s="54">
        <f>X6-X11</f>
        <v>0</v>
      </c>
      <c r="Y33" s="81"/>
      <c r="Z33" s="81"/>
      <c r="AA33" s="81"/>
      <c r="AB33" s="81"/>
    </row>
    <row r="34" spans="1:28" s="39" customFormat="1" ht="9.75" x14ac:dyDescent="0.2">
      <c r="A34" s="35" t="s">
        <v>71</v>
      </c>
      <c r="B34" s="846" t="s">
        <v>72</v>
      </c>
      <c r="C34" s="846"/>
      <c r="D34" s="36" t="s">
        <v>16</v>
      </c>
      <c r="E34" s="37">
        <v>20453</v>
      </c>
      <c r="F34" s="37">
        <v>20453</v>
      </c>
      <c r="G34" s="37">
        <v>20305.188999999998</v>
      </c>
      <c r="H34" s="26">
        <f t="shared" si="0"/>
        <v>99.277313841490241</v>
      </c>
      <c r="I34" s="37">
        <v>19073</v>
      </c>
      <c r="J34" s="38">
        <v>2208</v>
      </c>
      <c r="K34" s="38">
        <v>2208</v>
      </c>
      <c r="L34" s="38">
        <v>1270</v>
      </c>
      <c r="M34" s="9">
        <f t="shared" si="2"/>
        <v>57.518115942028977</v>
      </c>
      <c r="N34" s="38"/>
      <c r="O34" s="38">
        <v>20350</v>
      </c>
      <c r="P34" s="38">
        <v>20350</v>
      </c>
      <c r="Q34" s="38">
        <v>20186</v>
      </c>
      <c r="R34" s="9">
        <f t="shared" si="3"/>
        <v>99.194103194103192</v>
      </c>
      <c r="S34" s="38"/>
      <c r="T34" s="38"/>
      <c r="U34" s="38"/>
      <c r="V34" s="38"/>
      <c r="W34" s="9">
        <v>0</v>
      </c>
      <c r="X34" s="38"/>
    </row>
    <row r="35" spans="1:28" s="39" customFormat="1" ht="9.75" x14ac:dyDescent="0.2">
      <c r="A35" s="40" t="s">
        <v>73</v>
      </c>
      <c r="B35" s="847" t="s">
        <v>74</v>
      </c>
      <c r="C35" s="847"/>
      <c r="D35" s="40" t="s">
        <v>75</v>
      </c>
      <c r="E35" s="37">
        <v>43</v>
      </c>
      <c r="F35" s="37">
        <v>43</v>
      </c>
      <c r="G35" s="37">
        <v>43</v>
      </c>
      <c r="H35" s="26">
        <f t="shared" si="0"/>
        <v>100</v>
      </c>
      <c r="I35" s="37">
        <v>42</v>
      </c>
      <c r="J35" s="38">
        <v>0.41599999999999998</v>
      </c>
      <c r="K35" s="49"/>
      <c r="L35" s="38"/>
      <c r="M35" s="9">
        <v>0</v>
      </c>
      <c r="N35" s="38"/>
      <c r="O35" s="38">
        <v>42.978000000000002</v>
      </c>
      <c r="P35" s="38">
        <v>42.78</v>
      </c>
      <c r="Q35" s="38">
        <v>42.7</v>
      </c>
      <c r="R35" s="9">
        <f t="shared" si="3"/>
        <v>99.812996727442737</v>
      </c>
      <c r="S35" s="38"/>
      <c r="T35" s="38"/>
      <c r="U35" s="38"/>
      <c r="V35" s="38"/>
      <c r="W35" s="9">
        <v>0</v>
      </c>
      <c r="X35" s="38"/>
    </row>
    <row r="36" spans="1:28" s="39" customFormat="1" ht="9.75" x14ac:dyDescent="0.2">
      <c r="A36" s="35" t="s">
        <v>76</v>
      </c>
      <c r="B36" s="846" t="s">
        <v>77</v>
      </c>
      <c r="C36" s="846"/>
      <c r="D36" s="36" t="s">
        <v>75</v>
      </c>
      <c r="E36" s="37">
        <v>48</v>
      </c>
      <c r="F36" s="37">
        <v>48</v>
      </c>
      <c r="G36" s="37">
        <v>48</v>
      </c>
      <c r="H36" s="26">
        <f t="shared" si="0"/>
        <v>100</v>
      </c>
      <c r="I36" s="37">
        <v>48</v>
      </c>
      <c r="J36" s="38">
        <v>2</v>
      </c>
      <c r="K36" s="38">
        <v>2</v>
      </c>
      <c r="L36" s="38">
        <v>2</v>
      </c>
      <c r="M36" s="9">
        <v>2</v>
      </c>
      <c r="N36" s="38"/>
      <c r="O36" s="38">
        <v>47</v>
      </c>
      <c r="P36" s="38">
        <v>47</v>
      </c>
      <c r="Q36" s="38">
        <v>47</v>
      </c>
      <c r="R36" s="9">
        <f t="shared" si="3"/>
        <v>100</v>
      </c>
      <c r="S36" s="38"/>
      <c r="T36" s="38"/>
      <c r="U36" s="38"/>
      <c r="V36" s="38"/>
      <c r="W36" s="9">
        <v>0</v>
      </c>
      <c r="X36" s="38"/>
    </row>
  </sheetData>
  <mergeCells count="38">
    <mergeCell ref="A1:X1"/>
    <mergeCell ref="A3:A5"/>
    <mergeCell ref="B3:C5"/>
    <mergeCell ref="D3:D5"/>
    <mergeCell ref="E3:I3"/>
    <mergeCell ref="J3:N3"/>
    <mergeCell ref="O3:S3"/>
    <mergeCell ref="T3:X3"/>
    <mergeCell ref="E4:E5"/>
    <mergeCell ref="F4:H4"/>
    <mergeCell ref="B15:C15"/>
    <mergeCell ref="S4:S5"/>
    <mergeCell ref="T4:T5"/>
    <mergeCell ref="U4:W4"/>
    <mergeCell ref="X4:X5"/>
    <mergeCell ref="B6:C6"/>
    <mergeCell ref="B7:C7"/>
    <mergeCell ref="I4:I5"/>
    <mergeCell ref="J4:J5"/>
    <mergeCell ref="K4:M4"/>
    <mergeCell ref="N4:N5"/>
    <mergeCell ref="O4:O5"/>
    <mergeCell ref="P4:R4"/>
    <mergeCell ref="B8:C8"/>
    <mergeCell ref="B10:C10"/>
    <mergeCell ref="B11:C11"/>
    <mergeCell ref="B12:C12"/>
    <mergeCell ref="B13:C13"/>
    <mergeCell ref="B26:C26"/>
    <mergeCell ref="B34:C34"/>
    <mergeCell ref="B35:C35"/>
    <mergeCell ref="B36:C36"/>
    <mergeCell ref="B16:C16"/>
    <mergeCell ref="B18:C18"/>
    <mergeCell ref="B19:C19"/>
    <mergeCell ref="B20:C20"/>
    <mergeCell ref="B21:C21"/>
    <mergeCell ref="B22:C22"/>
  </mergeCells>
  <pageMargins left="0.70866141732283472" right="0.70866141732283472" top="0.78740157480314965" bottom="0.78740157480314965" header="0.31496062992125984" footer="0.31496062992125984"/>
  <pageSetup paperSize="9" scale="72" firstPageNumber="6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38</vt:i4>
      </vt:variant>
    </vt:vector>
  </HeadingPairs>
  <TitlesOfParts>
    <vt:vector size="38" baseType="lpstr">
      <vt:lpstr>MŠ Smet1</vt:lpstr>
      <vt:lpstr>MŠ Smet</vt:lpstr>
      <vt:lpstr>MŠ Šárka1</vt:lpstr>
      <vt:lpstr>MŠ Šárka</vt:lpstr>
      <vt:lpstr>MŠ Rum1</vt:lpstr>
      <vt:lpstr>MŠ Rum</vt:lpstr>
      <vt:lpstr>MŠ Mor1</vt:lpstr>
      <vt:lpstr>MŠ Mor</vt:lpstr>
      <vt:lpstr>MŠ Part1</vt:lpstr>
      <vt:lpstr>MŠ Part</vt:lpstr>
      <vt:lpstr>ZŠ Mel1</vt:lpstr>
      <vt:lpstr>ZŠ Mel</vt:lpstr>
      <vt:lpstr>ZŠ Val1</vt:lpstr>
      <vt:lpstr>ZŠ Val</vt:lpstr>
      <vt:lpstr>ZŠ Pal1</vt:lpstr>
      <vt:lpstr>ZŠ Pal</vt:lpstr>
      <vt:lpstr>ZŠ Kol1</vt:lpstr>
      <vt:lpstr>ZŠ Kol</vt:lpstr>
      <vt:lpstr>ZŠ JŽ1</vt:lpstr>
      <vt:lpstr>ZŠ JŽ</vt:lpstr>
      <vt:lpstr>ZŠ Maj1</vt:lpstr>
      <vt:lpstr>ZŠ Maj</vt:lpstr>
      <vt:lpstr>ZŠ Hor1</vt:lpstr>
      <vt:lpstr>ZŠ Hor</vt:lpstr>
      <vt:lpstr>RG1</vt:lpstr>
      <vt:lpstr>RG</vt:lpstr>
      <vt:lpstr>ZUŠ1</vt:lpstr>
      <vt:lpstr>ZUŠ</vt:lpstr>
      <vt:lpstr>DDM1</vt:lpstr>
      <vt:lpstr>DDM</vt:lpstr>
      <vt:lpstr>knihovna1</vt:lpstr>
      <vt:lpstr>knihovna</vt:lpstr>
      <vt:lpstr>divadlo1</vt:lpstr>
      <vt:lpstr>divadlo</vt:lpstr>
      <vt:lpstr>kino1</vt:lpstr>
      <vt:lpstr>kino</vt:lpstr>
      <vt:lpstr>jesle1</vt:lpstr>
      <vt:lpstr>jesle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Ptáčková Eva</dc:creator>
  <cp:lastModifiedBy>Ptáčková Eva</cp:lastModifiedBy>
  <cp:lastPrinted>2017-08-22T13:07:06Z</cp:lastPrinted>
  <dcterms:created xsi:type="dcterms:W3CDTF">2017-08-21T09:23:30Z</dcterms:created>
  <dcterms:modified xsi:type="dcterms:W3CDTF">2017-08-22T13:10:03Z</dcterms:modified>
</cp:coreProperties>
</file>