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000" windowWidth="15330" windowHeight="2895"/>
  </bookViews>
  <sheets>
    <sheet name="MŠ Smet1" sheetId="63" r:id="rId1"/>
    <sheet name="MŠ Smet" sheetId="81" r:id="rId2"/>
    <sheet name="MŠ Šárka1" sheetId="64" r:id="rId3"/>
    <sheet name="MŠ Šárka" sheetId="82" r:id="rId4"/>
    <sheet name="MŠ Rumun1" sheetId="65" r:id="rId5"/>
    <sheet name="MŠ Rumun" sheetId="83" r:id="rId6"/>
    <sheet name="MŠ Mor1" sheetId="66" r:id="rId7"/>
    <sheet name="MŠ Mor" sheetId="84" r:id="rId8"/>
    <sheet name="MŠ Part1" sheetId="67" r:id="rId9"/>
    <sheet name="MŠ Part" sheetId="85" r:id="rId10"/>
    <sheet name="ZŠ Melan1" sheetId="68" r:id="rId11"/>
    <sheet name="ZŠ Melan" sheetId="89" r:id="rId12"/>
    <sheet name="ZŠ Val1" sheetId="69" r:id="rId13"/>
    <sheet name="ZŠ Val" sheetId="86" r:id="rId14"/>
    <sheet name="ZŠ Pal1" sheetId="70" r:id="rId15"/>
    <sheet name="ZŠ Pal" sheetId="87" r:id="rId16"/>
    <sheet name="ZŠ Koll1" sheetId="71" r:id="rId17"/>
    <sheet name="ZŠ Koll" sheetId="90" r:id="rId18"/>
    <sheet name="ZŠ JŽ1" sheetId="72" r:id="rId19"/>
    <sheet name="ZŠ JŽ" sheetId="91" r:id="rId20"/>
    <sheet name="ZŠ Maj1" sheetId="73" r:id="rId21"/>
    <sheet name="ZŠ Maj" sheetId="92" r:id="rId22"/>
    <sheet name="ZŠ Dr.Hor1" sheetId="74" r:id="rId23"/>
    <sheet name="ZŠ Dr.Hor" sheetId="93" r:id="rId24"/>
    <sheet name="RG a ZŠ1" sheetId="75" r:id="rId25"/>
    <sheet name="RG a ZŠ" sheetId="94" r:id="rId26"/>
    <sheet name="ZUŠ1" sheetId="76" r:id="rId27"/>
    <sheet name="ZUŠ" sheetId="96" r:id="rId28"/>
    <sheet name="Sportcentrum1" sheetId="77" r:id="rId29"/>
    <sheet name="Sportcentrum" sheetId="97" r:id="rId30"/>
    <sheet name="Knihovna1" sheetId="78" r:id="rId31"/>
    <sheet name="Knihovna" sheetId="98" r:id="rId32"/>
    <sheet name="Divadlo1" sheetId="103" r:id="rId33"/>
    <sheet name="Divadlo" sheetId="99" r:id="rId34"/>
    <sheet name="Jesle1" sheetId="79" r:id="rId35"/>
    <sheet name="Jesle" sheetId="100" r:id="rId36"/>
    <sheet name="Kino1" sheetId="101" r:id="rId37"/>
    <sheet name="Kino" sheetId="102" r:id="rId38"/>
  </sheets>
  <calcPr calcId="145621" calcMode="manual"/>
</workbook>
</file>

<file path=xl/calcChain.xml><?xml version="1.0" encoding="utf-8"?>
<calcChain xmlns="http://schemas.openxmlformats.org/spreadsheetml/2006/main">
  <c r="B45" i="102" l="1"/>
  <c r="B45" i="96"/>
  <c r="E77" i="89"/>
  <c r="D77" i="89"/>
  <c r="D66" i="89"/>
  <c r="E62" i="89"/>
  <c r="E59" i="89"/>
  <c r="E57" i="89"/>
  <c r="E66" i="89" s="1"/>
  <c r="B45" i="89" l="1"/>
  <c r="B45" i="81"/>
  <c r="A45" i="81"/>
  <c r="B39" i="81"/>
  <c r="B33" i="81"/>
  <c r="D27" i="81"/>
  <c r="C27" i="81"/>
  <c r="B27" i="81"/>
  <c r="E26" i="81"/>
  <c r="E25" i="81"/>
  <c r="E24" i="81"/>
  <c r="E23" i="81"/>
  <c r="C18" i="81"/>
  <c r="C6" i="81"/>
  <c r="E27" i="81" l="1"/>
  <c r="A44" i="98"/>
  <c r="B44" i="98"/>
  <c r="B39" i="102"/>
  <c r="B33" i="102"/>
  <c r="D27" i="102"/>
  <c r="C27" i="102"/>
  <c r="B27" i="102"/>
  <c r="E26" i="102"/>
  <c r="E25" i="102"/>
  <c r="E24" i="102"/>
  <c r="E23" i="102"/>
  <c r="C18" i="102"/>
  <c r="C6" i="102"/>
  <c r="E27" i="102" l="1"/>
  <c r="G85" i="100"/>
  <c r="F85" i="100"/>
  <c r="B55" i="100"/>
  <c r="A55" i="100"/>
  <c r="B47" i="100"/>
  <c r="B37" i="100"/>
  <c r="D27" i="100"/>
  <c r="C27" i="100"/>
  <c r="B27" i="100"/>
  <c r="E26" i="100"/>
  <c r="E27" i="100" s="1"/>
  <c r="E25" i="100"/>
  <c r="E24" i="100"/>
  <c r="E23" i="100"/>
  <c r="C18" i="100"/>
  <c r="B45" i="99" l="1"/>
  <c r="B39" i="99"/>
  <c r="B33" i="99"/>
  <c r="D27" i="99"/>
  <c r="C27" i="99"/>
  <c r="B27" i="99"/>
  <c r="E26" i="99"/>
  <c r="E25" i="99"/>
  <c r="E24" i="99"/>
  <c r="E23" i="99"/>
  <c r="E27" i="99" s="1"/>
  <c r="C18" i="99"/>
  <c r="C6" i="99"/>
  <c r="D255" i="97" l="1"/>
  <c r="E218" i="97"/>
  <c r="E255" i="97" s="1"/>
  <c r="D197" i="97"/>
  <c r="E179" i="97"/>
  <c r="E173" i="97"/>
  <c r="E197" i="97" s="1"/>
  <c r="B47" i="97"/>
  <c r="A47" i="97"/>
  <c r="B41" i="97"/>
  <c r="B35" i="97"/>
  <c r="B27" i="97"/>
  <c r="E26" i="97"/>
  <c r="E25" i="97"/>
  <c r="D24" i="97"/>
  <c r="E24" i="97" s="1"/>
  <c r="C24" i="97"/>
  <c r="D23" i="97"/>
  <c r="D27" i="97" s="1"/>
  <c r="C23" i="97"/>
  <c r="C27" i="97" s="1"/>
  <c r="B23" i="97"/>
  <c r="E23" i="97" s="1"/>
  <c r="E27" i="97" s="1"/>
  <c r="C15" i="97"/>
  <c r="C18" i="97" s="1"/>
  <c r="C6" i="97"/>
  <c r="E90" i="96" l="1"/>
  <c r="D90" i="96"/>
  <c r="B39" i="96"/>
  <c r="B33" i="96"/>
  <c r="D27" i="96"/>
  <c r="C27" i="96"/>
  <c r="B27" i="96"/>
  <c r="E26" i="96"/>
  <c r="E25" i="96"/>
  <c r="E24" i="96"/>
  <c r="E23" i="96"/>
  <c r="C18" i="96"/>
  <c r="C6" i="96"/>
  <c r="E27" i="96" l="1"/>
  <c r="B45" i="94"/>
  <c r="A45" i="94"/>
  <c r="B27" i="94"/>
  <c r="E26" i="94"/>
  <c r="E25" i="94"/>
  <c r="E24" i="94"/>
  <c r="D23" i="94"/>
  <c r="D27" i="94" s="1"/>
  <c r="C23" i="94"/>
  <c r="C27" i="94" s="1"/>
  <c r="C18" i="94"/>
  <c r="C6" i="94"/>
  <c r="E23" i="94" l="1"/>
  <c r="E27" i="94" s="1"/>
  <c r="B54" i="93" l="1"/>
  <c r="A54" i="93"/>
  <c r="B43" i="93"/>
  <c r="B37" i="93"/>
  <c r="D27" i="93"/>
  <c r="C27" i="93"/>
  <c r="E26" i="93"/>
  <c r="E25" i="93"/>
  <c r="E24" i="93"/>
  <c r="D23" i="93"/>
  <c r="C23" i="93"/>
  <c r="B23" i="93"/>
  <c r="B27" i="93" s="1"/>
  <c r="C18" i="93"/>
  <c r="C6" i="93"/>
  <c r="E23" i="93" l="1"/>
  <c r="E27" i="93" s="1"/>
  <c r="B47" i="92" l="1"/>
  <c r="A47" i="92"/>
  <c r="B39" i="92"/>
  <c r="B33" i="92"/>
  <c r="D27" i="92"/>
  <c r="C27" i="92"/>
  <c r="B27" i="92"/>
  <c r="E26" i="92"/>
  <c r="E25" i="92"/>
  <c r="E24" i="92"/>
  <c r="E27" i="92" s="1"/>
  <c r="E23" i="92"/>
  <c r="C18" i="92"/>
  <c r="B38" i="98" l="1"/>
  <c r="B32" i="98"/>
  <c r="D26" i="98"/>
  <c r="C26" i="98"/>
  <c r="B26" i="98"/>
  <c r="C17" i="98"/>
  <c r="C6" i="98"/>
  <c r="E136" i="91"/>
  <c r="D136" i="91"/>
  <c r="E26" i="98" l="1"/>
  <c r="B53" i="91"/>
  <c r="A53" i="91"/>
  <c r="E28" i="91"/>
  <c r="B42" i="91"/>
  <c r="B35" i="91"/>
  <c r="D28" i="91"/>
  <c r="C28" i="91"/>
  <c r="B28" i="91"/>
  <c r="C18" i="91"/>
  <c r="C6" i="91"/>
  <c r="B47" i="90" l="1"/>
  <c r="A47" i="90"/>
  <c r="B39" i="90"/>
  <c r="B33" i="90"/>
  <c r="D27" i="90"/>
  <c r="C27" i="90"/>
  <c r="B27" i="90"/>
  <c r="E26" i="90"/>
  <c r="E25" i="90"/>
  <c r="E24" i="90"/>
  <c r="E23" i="90"/>
  <c r="C18" i="90"/>
  <c r="C6" i="90"/>
  <c r="E27" i="90" l="1"/>
  <c r="D91" i="87"/>
  <c r="D88" i="87"/>
  <c r="D87" i="87"/>
  <c r="D83" i="87"/>
  <c r="E80" i="87"/>
  <c r="E79" i="87"/>
  <c r="D76" i="87"/>
  <c r="D74" i="87"/>
  <c r="E73" i="87"/>
  <c r="D68" i="87"/>
  <c r="D63" i="87"/>
  <c r="E62" i="87"/>
  <c r="D59" i="87"/>
  <c r="E58" i="87"/>
  <c r="D56" i="87" s="1"/>
  <c r="D101" i="87" s="1"/>
  <c r="E55" i="87"/>
  <c r="D54" i="87"/>
  <c r="B47" i="87"/>
  <c r="A47" i="87"/>
  <c r="B39" i="87"/>
  <c r="B33" i="87"/>
  <c r="D27" i="87"/>
  <c r="C27" i="87"/>
  <c r="B27" i="87"/>
  <c r="E26" i="87"/>
  <c r="E25" i="87"/>
  <c r="E24" i="87"/>
  <c r="E23" i="87"/>
  <c r="C6" i="87"/>
  <c r="C15" i="87" s="1"/>
  <c r="C18" i="87" s="1"/>
  <c r="E27" i="87" l="1"/>
  <c r="E89" i="87"/>
  <c r="E101" i="87"/>
  <c r="E135" i="86"/>
  <c r="D135" i="86"/>
  <c r="E110" i="86"/>
  <c r="D110" i="86"/>
  <c r="B49" i="86"/>
  <c r="A49" i="86"/>
  <c r="B41" i="86"/>
  <c r="B34" i="86"/>
  <c r="D27" i="86"/>
  <c r="C27" i="86"/>
  <c r="B27" i="86"/>
  <c r="E26" i="86"/>
  <c r="E25" i="86"/>
  <c r="E24" i="86"/>
  <c r="E23" i="86"/>
  <c r="C18" i="86"/>
  <c r="C6" i="86"/>
  <c r="E27" i="86" l="1"/>
  <c r="B39" i="89"/>
  <c r="B33" i="89"/>
  <c r="E26" i="89"/>
  <c r="E25" i="89"/>
  <c r="E24" i="89"/>
  <c r="D23" i="89"/>
  <c r="D27" i="89" s="1"/>
  <c r="C23" i="89"/>
  <c r="C27" i="89" s="1"/>
  <c r="B23" i="89"/>
  <c r="B27" i="89" s="1"/>
  <c r="C16" i="89"/>
  <c r="C15" i="89"/>
  <c r="C6" i="89"/>
  <c r="C18" i="89" l="1"/>
  <c r="E23" i="89"/>
  <c r="E27" i="89" s="1"/>
  <c r="B45" i="85"/>
  <c r="A45" i="85"/>
  <c r="B39" i="85"/>
  <c r="B33" i="85"/>
  <c r="D27" i="85"/>
  <c r="C27" i="85"/>
  <c r="B27" i="85"/>
  <c r="E26" i="85"/>
  <c r="E25" i="85"/>
  <c r="E24" i="85"/>
  <c r="E23" i="85"/>
  <c r="C18" i="85"/>
  <c r="C6" i="85"/>
  <c r="E27" i="85" l="1"/>
  <c r="E111" i="84"/>
  <c r="D111" i="84"/>
  <c r="B39" i="84"/>
  <c r="B33" i="84"/>
  <c r="D27" i="84"/>
  <c r="C27" i="84"/>
  <c r="B27" i="84"/>
  <c r="E26" i="84"/>
  <c r="E25" i="84"/>
  <c r="E24" i="84"/>
  <c r="E23" i="84"/>
  <c r="C18" i="84"/>
  <c r="E27" i="84" l="1"/>
  <c r="E71" i="83"/>
  <c r="D71" i="83"/>
  <c r="B46" i="83"/>
  <c r="A46" i="83"/>
  <c r="B39" i="83"/>
  <c r="B33" i="83"/>
  <c r="D27" i="83"/>
  <c r="C27" i="83"/>
  <c r="B27" i="83"/>
  <c r="E26" i="83"/>
  <c r="E25" i="83"/>
  <c r="E24" i="83"/>
  <c r="E23" i="83"/>
  <c r="C18" i="83"/>
  <c r="C6" i="83"/>
  <c r="E27" i="83" l="1"/>
  <c r="B45" i="82"/>
  <c r="A45" i="82"/>
  <c r="B39" i="82"/>
  <c r="B33" i="82"/>
  <c r="D27" i="82"/>
  <c r="C27" i="82"/>
  <c r="B27" i="82"/>
  <c r="E26" i="82"/>
  <c r="E25" i="82"/>
  <c r="E24" i="82"/>
  <c r="E23" i="82"/>
  <c r="C18" i="82"/>
  <c r="E27" i="82" l="1"/>
  <c r="K34" i="101"/>
  <c r="F34" i="101"/>
  <c r="I32" i="101"/>
  <c r="G32" i="101"/>
  <c r="F32" i="101"/>
  <c r="E32" i="101"/>
  <c r="I31" i="101"/>
  <c r="G31" i="101"/>
  <c r="F31" i="101"/>
  <c r="E31" i="101"/>
  <c r="I30" i="101"/>
  <c r="G30" i="101"/>
  <c r="F30" i="101"/>
  <c r="E30" i="101"/>
  <c r="M29" i="101"/>
  <c r="I29" i="101"/>
  <c r="G29" i="101"/>
  <c r="H29" i="101" s="1"/>
  <c r="F29" i="101"/>
  <c r="E29" i="101"/>
  <c r="M28" i="101"/>
  <c r="G28" i="101"/>
  <c r="H28" i="101" s="1"/>
  <c r="F28" i="101"/>
  <c r="I27" i="101"/>
  <c r="G27" i="101"/>
  <c r="F27" i="101"/>
  <c r="E27" i="101"/>
  <c r="M26" i="101"/>
  <c r="I26" i="101"/>
  <c r="H26" i="101"/>
  <c r="G26" i="101"/>
  <c r="F26" i="101"/>
  <c r="E26" i="101"/>
  <c r="I25" i="101"/>
  <c r="G25" i="101"/>
  <c r="F25" i="101"/>
  <c r="E25" i="101"/>
  <c r="I24" i="101"/>
  <c r="G24" i="101"/>
  <c r="F24" i="101"/>
  <c r="E24" i="101"/>
  <c r="I23" i="101"/>
  <c r="G23" i="101"/>
  <c r="F23" i="101"/>
  <c r="E23" i="101"/>
  <c r="I22" i="101"/>
  <c r="G22" i="101"/>
  <c r="F22" i="101"/>
  <c r="E22" i="101"/>
  <c r="M21" i="101"/>
  <c r="I21" i="101"/>
  <c r="G21" i="101"/>
  <c r="H21" i="101" s="1"/>
  <c r="F21" i="101"/>
  <c r="E21" i="101"/>
  <c r="W20" i="101"/>
  <c r="M20" i="101"/>
  <c r="I20" i="101"/>
  <c r="G20" i="101"/>
  <c r="H20" i="101" s="1"/>
  <c r="F20" i="101"/>
  <c r="E20" i="101"/>
  <c r="W19" i="101"/>
  <c r="M19" i="101"/>
  <c r="I19" i="101"/>
  <c r="H19" i="101"/>
  <c r="G19" i="101"/>
  <c r="F19" i="101"/>
  <c r="E19" i="101"/>
  <c r="W18" i="101"/>
  <c r="M18" i="101"/>
  <c r="I18" i="101"/>
  <c r="G18" i="101"/>
  <c r="H18" i="101" s="1"/>
  <c r="F18" i="101"/>
  <c r="E18" i="101"/>
  <c r="M17" i="101"/>
  <c r="I17" i="101"/>
  <c r="G17" i="101"/>
  <c r="H17" i="101" s="1"/>
  <c r="F17" i="101"/>
  <c r="E17" i="101"/>
  <c r="M16" i="101"/>
  <c r="I16" i="101"/>
  <c r="G16" i="101"/>
  <c r="H16" i="101" s="1"/>
  <c r="F16" i="101"/>
  <c r="E16" i="101"/>
  <c r="M15" i="101"/>
  <c r="I15" i="101"/>
  <c r="G15" i="101"/>
  <c r="H15" i="101" s="1"/>
  <c r="F15" i="101"/>
  <c r="E15" i="101"/>
  <c r="I14" i="101"/>
  <c r="G14" i="101"/>
  <c r="F14" i="101"/>
  <c r="E14" i="101"/>
  <c r="W13" i="101"/>
  <c r="M13" i="101"/>
  <c r="I13" i="101"/>
  <c r="I11" i="101" s="1"/>
  <c r="H13" i="101"/>
  <c r="G13" i="101"/>
  <c r="F13" i="101"/>
  <c r="E13" i="101"/>
  <c r="E11" i="101" s="1"/>
  <c r="W12" i="101"/>
  <c r="M12" i="101"/>
  <c r="I12" i="101"/>
  <c r="G12" i="101"/>
  <c r="G11" i="101" s="1"/>
  <c r="H11" i="101" s="1"/>
  <c r="F12" i="101"/>
  <c r="E12" i="101"/>
  <c r="X11" i="101"/>
  <c r="W11" i="101"/>
  <c r="V11" i="101"/>
  <c r="U11" i="101"/>
  <c r="T11" i="101"/>
  <c r="S11" i="101"/>
  <c r="Q11" i="101"/>
  <c r="P11" i="101"/>
  <c r="O11" i="101"/>
  <c r="N11" i="101"/>
  <c r="L11" i="101"/>
  <c r="M11" i="101" s="1"/>
  <c r="K11" i="101"/>
  <c r="J11" i="101"/>
  <c r="F11" i="101"/>
  <c r="I10" i="101"/>
  <c r="G10" i="101"/>
  <c r="F10" i="101"/>
  <c r="E10" i="101"/>
  <c r="M9" i="101"/>
  <c r="I9" i="101"/>
  <c r="H9" i="101"/>
  <c r="G9" i="101"/>
  <c r="F9" i="101"/>
  <c r="E9" i="101"/>
  <c r="M8" i="101"/>
  <c r="I8" i="101"/>
  <c r="G8" i="101"/>
  <c r="H8" i="101" s="1"/>
  <c r="F8" i="101"/>
  <c r="E8" i="101"/>
  <c r="W7" i="101"/>
  <c r="M7" i="101"/>
  <c r="I7" i="101"/>
  <c r="I6" i="101" s="1"/>
  <c r="G7" i="101"/>
  <c r="F7" i="101"/>
  <c r="F6" i="101" s="1"/>
  <c r="F33" i="101" s="1"/>
  <c r="E7" i="101"/>
  <c r="E6" i="101" s="1"/>
  <c r="X6" i="101"/>
  <c r="X33" i="101" s="1"/>
  <c r="V6" i="101"/>
  <c r="W6" i="101" s="1"/>
  <c r="U6" i="101"/>
  <c r="U33" i="101" s="1"/>
  <c r="T6" i="101"/>
  <c r="T33" i="101" s="1"/>
  <c r="S6" i="101"/>
  <c r="S33" i="101" s="1"/>
  <c r="Q6" i="101"/>
  <c r="Q33" i="101" s="1"/>
  <c r="P6" i="101"/>
  <c r="P33" i="101" s="1"/>
  <c r="O6" i="101"/>
  <c r="O33" i="101" s="1"/>
  <c r="N6" i="101"/>
  <c r="N33" i="101" s="1"/>
  <c r="L6" i="101"/>
  <c r="M6" i="101" s="1"/>
  <c r="K6" i="101"/>
  <c r="K33" i="101" s="1"/>
  <c r="J6" i="101"/>
  <c r="J33" i="101" s="1"/>
  <c r="I33" i="101" l="1"/>
  <c r="E33" i="101"/>
  <c r="H12" i="101"/>
  <c r="G6" i="101"/>
  <c r="H7" i="101"/>
  <c r="L33" i="101"/>
  <c r="V33" i="101"/>
  <c r="H6" i="101" l="1"/>
  <c r="G33" i="101"/>
  <c r="M36" i="79" l="1"/>
  <c r="H36" i="79"/>
  <c r="M35" i="79"/>
  <c r="H35" i="79"/>
  <c r="M34" i="79"/>
  <c r="H34" i="79"/>
  <c r="M29" i="79"/>
  <c r="I29" i="79"/>
  <c r="G29" i="79"/>
  <c r="H29" i="79" s="1"/>
  <c r="F29" i="79"/>
  <c r="E29" i="79"/>
  <c r="M28" i="79"/>
  <c r="M21" i="79"/>
  <c r="I21" i="79"/>
  <c r="G21" i="79"/>
  <c r="H21" i="79" s="1"/>
  <c r="F21" i="79"/>
  <c r="E21" i="79"/>
  <c r="M20" i="79"/>
  <c r="I20" i="79"/>
  <c r="G20" i="79"/>
  <c r="H20" i="79" s="1"/>
  <c r="F20" i="79"/>
  <c r="E20" i="79"/>
  <c r="M19" i="79"/>
  <c r="I19" i="79"/>
  <c r="G19" i="79"/>
  <c r="F19" i="79"/>
  <c r="H19" i="79" s="1"/>
  <c r="E19" i="79"/>
  <c r="M18" i="79"/>
  <c r="I18" i="79"/>
  <c r="G18" i="79"/>
  <c r="H18" i="79" s="1"/>
  <c r="F18" i="79"/>
  <c r="E18" i="79"/>
  <c r="M17" i="79"/>
  <c r="I17" i="79"/>
  <c r="G17" i="79"/>
  <c r="H17" i="79" s="1"/>
  <c r="F17" i="79"/>
  <c r="E17" i="79"/>
  <c r="M16" i="79"/>
  <c r="I16" i="79"/>
  <c r="G16" i="79"/>
  <c r="H16" i="79" s="1"/>
  <c r="F16" i="79"/>
  <c r="E16" i="79"/>
  <c r="M15" i="79"/>
  <c r="I15" i="79"/>
  <c r="G15" i="79"/>
  <c r="F15" i="79"/>
  <c r="H15" i="79" s="1"/>
  <c r="E15" i="79"/>
  <c r="M13" i="79"/>
  <c r="I13" i="79"/>
  <c r="G13" i="79"/>
  <c r="H13" i="79" s="1"/>
  <c r="F13" i="79"/>
  <c r="E13" i="79"/>
  <c r="M12" i="79"/>
  <c r="I12" i="79"/>
  <c r="I11" i="79" s="1"/>
  <c r="G12" i="79"/>
  <c r="F12" i="79"/>
  <c r="H12" i="79" s="1"/>
  <c r="E12" i="79"/>
  <c r="E11" i="79" s="1"/>
  <c r="N11" i="79"/>
  <c r="L11" i="79"/>
  <c r="M11" i="79" s="1"/>
  <c r="K11" i="79"/>
  <c r="J11" i="79"/>
  <c r="G11" i="79"/>
  <c r="M9" i="79"/>
  <c r="I9" i="79"/>
  <c r="I6" i="79" s="1"/>
  <c r="G9" i="79"/>
  <c r="F9" i="79"/>
  <c r="H9" i="79" s="1"/>
  <c r="E9" i="79"/>
  <c r="E6" i="79" s="1"/>
  <c r="E33" i="79" s="1"/>
  <c r="M7" i="79"/>
  <c r="G7" i="79"/>
  <c r="H7" i="79" s="1"/>
  <c r="F7" i="79"/>
  <c r="F6" i="79" s="1"/>
  <c r="E7" i="79"/>
  <c r="N6" i="79"/>
  <c r="N33" i="79" s="1"/>
  <c r="L6" i="79"/>
  <c r="L33" i="79" s="1"/>
  <c r="K6" i="79"/>
  <c r="K33" i="79" s="1"/>
  <c r="J6" i="79"/>
  <c r="J33" i="79" s="1"/>
  <c r="I33" i="79" l="1"/>
  <c r="M6" i="79"/>
  <c r="G6" i="79"/>
  <c r="F11" i="79"/>
  <c r="F33" i="79" s="1"/>
  <c r="H11" i="79" l="1"/>
  <c r="H6" i="79"/>
  <c r="G33" i="79"/>
  <c r="W36" i="103" l="1"/>
  <c r="R36" i="103"/>
  <c r="M36" i="103"/>
  <c r="H36" i="103"/>
  <c r="W35" i="103"/>
  <c r="R35" i="103"/>
  <c r="M35" i="103"/>
  <c r="H35" i="103"/>
  <c r="W34" i="103"/>
  <c r="R34" i="103"/>
  <c r="M34" i="103"/>
  <c r="H34" i="103"/>
  <c r="W32" i="103"/>
  <c r="R32" i="103"/>
  <c r="N32" i="103"/>
  <c r="I32" i="103" s="1"/>
  <c r="L32" i="103"/>
  <c r="G32" i="103" s="1"/>
  <c r="H32" i="103" s="1"/>
  <c r="K32" i="103"/>
  <c r="J32" i="103"/>
  <c r="E32" i="103" s="1"/>
  <c r="F32" i="103"/>
  <c r="W31" i="103"/>
  <c r="R31" i="103"/>
  <c r="N31" i="103"/>
  <c r="I31" i="103" s="1"/>
  <c r="L31" i="103"/>
  <c r="G31" i="103" s="1"/>
  <c r="H31" i="103" s="1"/>
  <c r="K31" i="103"/>
  <c r="J31" i="103"/>
  <c r="E31" i="103" s="1"/>
  <c r="F31" i="103"/>
  <c r="W30" i="103"/>
  <c r="R30" i="103"/>
  <c r="N30" i="103"/>
  <c r="I30" i="103" s="1"/>
  <c r="L30" i="103"/>
  <c r="G30" i="103" s="1"/>
  <c r="H30" i="103" s="1"/>
  <c r="K30" i="103"/>
  <c r="J30" i="103"/>
  <c r="E30" i="103" s="1"/>
  <c r="F30" i="103"/>
  <c r="W29" i="103"/>
  <c r="R29" i="103"/>
  <c r="M29" i="103"/>
  <c r="H29" i="103"/>
  <c r="W28" i="103"/>
  <c r="R28" i="103"/>
  <c r="M28" i="103"/>
  <c r="H28" i="103"/>
  <c r="W27" i="103"/>
  <c r="R27" i="103"/>
  <c r="N27" i="103"/>
  <c r="I27" i="103" s="1"/>
  <c r="I11" i="103" s="1"/>
  <c r="L27" i="103"/>
  <c r="M27" i="103" s="1"/>
  <c r="K27" i="103"/>
  <c r="J27" i="103"/>
  <c r="E27" i="103" s="1"/>
  <c r="G27" i="103"/>
  <c r="H27" i="103" s="1"/>
  <c r="F27" i="103"/>
  <c r="W26" i="103"/>
  <c r="R26" i="103"/>
  <c r="M26" i="103"/>
  <c r="H26" i="103"/>
  <c r="W25" i="103"/>
  <c r="R25" i="103"/>
  <c r="N25" i="103"/>
  <c r="L25" i="103"/>
  <c r="M25" i="103" s="1"/>
  <c r="K25" i="103"/>
  <c r="I25" i="103"/>
  <c r="G25" i="103"/>
  <c r="H25" i="103" s="1"/>
  <c r="F25" i="103"/>
  <c r="W24" i="103"/>
  <c r="R24" i="103"/>
  <c r="N24" i="103"/>
  <c r="L24" i="103"/>
  <c r="M24" i="103" s="1"/>
  <c r="K24" i="103"/>
  <c r="J24" i="103"/>
  <c r="I24" i="103"/>
  <c r="F24" i="103"/>
  <c r="E24" i="103"/>
  <c r="W23" i="103"/>
  <c r="R23" i="103"/>
  <c r="N23" i="103"/>
  <c r="M23" i="103"/>
  <c r="J23" i="103"/>
  <c r="J11" i="103" s="1"/>
  <c r="I23" i="103"/>
  <c r="H23" i="103"/>
  <c r="W22" i="103"/>
  <c r="R22" i="103"/>
  <c r="M22" i="103"/>
  <c r="H22" i="103"/>
  <c r="W21" i="103"/>
  <c r="R21" i="103"/>
  <c r="M21" i="103"/>
  <c r="H21" i="103"/>
  <c r="W20" i="103"/>
  <c r="R20" i="103"/>
  <c r="M20" i="103"/>
  <c r="H20" i="103"/>
  <c r="W19" i="103"/>
  <c r="R19" i="103"/>
  <c r="M19" i="103"/>
  <c r="H19" i="103"/>
  <c r="W18" i="103"/>
  <c r="R18" i="103"/>
  <c r="M18" i="103"/>
  <c r="H18" i="103"/>
  <c r="W17" i="103"/>
  <c r="R17" i="103"/>
  <c r="M17" i="103"/>
  <c r="H17" i="103"/>
  <c r="W16" i="103"/>
  <c r="R16" i="103"/>
  <c r="M16" i="103"/>
  <c r="H16" i="103"/>
  <c r="W15" i="103"/>
  <c r="R15" i="103"/>
  <c r="M15" i="103"/>
  <c r="H15" i="103"/>
  <c r="W14" i="103"/>
  <c r="R14" i="103"/>
  <c r="N14" i="103"/>
  <c r="L14" i="103"/>
  <c r="M14" i="103" s="1"/>
  <c r="K14" i="103"/>
  <c r="J14" i="103"/>
  <c r="I14" i="103"/>
  <c r="F14" i="103"/>
  <c r="E14" i="103"/>
  <c r="W13" i="103"/>
  <c r="R13" i="103"/>
  <c r="M13" i="103"/>
  <c r="H13" i="103"/>
  <c r="W12" i="103"/>
  <c r="R12" i="103"/>
  <c r="M12" i="103"/>
  <c r="H12" i="103"/>
  <c r="X11" i="103"/>
  <c r="V11" i="103"/>
  <c r="W11" i="103" s="1"/>
  <c r="U11" i="103"/>
  <c r="T11" i="103"/>
  <c r="S11" i="103"/>
  <c r="Q11" i="103"/>
  <c r="R11" i="103" s="1"/>
  <c r="P11" i="103"/>
  <c r="O11" i="103"/>
  <c r="N11" i="103"/>
  <c r="L11" i="103"/>
  <c r="M11" i="103" s="1"/>
  <c r="K11" i="103"/>
  <c r="F11" i="103"/>
  <c r="W10" i="103"/>
  <c r="R10" i="103"/>
  <c r="M10" i="103"/>
  <c r="I10" i="103"/>
  <c r="H10" i="103"/>
  <c r="G10" i="103"/>
  <c r="F10" i="103"/>
  <c r="E10" i="103"/>
  <c r="W9" i="103"/>
  <c r="R9" i="103"/>
  <c r="M9" i="103"/>
  <c r="H9" i="103"/>
  <c r="W8" i="103"/>
  <c r="R8" i="103"/>
  <c r="M8" i="103"/>
  <c r="H8" i="103"/>
  <c r="W7" i="103"/>
  <c r="R7" i="103"/>
  <c r="M7" i="103"/>
  <c r="H7" i="103"/>
  <c r="X6" i="103"/>
  <c r="X33" i="103" s="1"/>
  <c r="V6" i="103"/>
  <c r="V33" i="103" s="1"/>
  <c r="U6" i="103"/>
  <c r="U33" i="103" s="1"/>
  <c r="T6" i="103"/>
  <c r="T33" i="103" s="1"/>
  <c r="S6" i="103"/>
  <c r="S33" i="103" s="1"/>
  <c r="Q6" i="103"/>
  <c r="R6" i="103" s="1"/>
  <c r="P6" i="103"/>
  <c r="P33" i="103" s="1"/>
  <c r="O6" i="103"/>
  <c r="O33" i="103" s="1"/>
  <c r="N6" i="103"/>
  <c r="N33" i="103" s="1"/>
  <c r="L6" i="103"/>
  <c r="L33" i="103" s="1"/>
  <c r="K6" i="103"/>
  <c r="K33" i="103" s="1"/>
  <c r="J6" i="103"/>
  <c r="J33" i="103" s="1"/>
  <c r="I6" i="103"/>
  <c r="H6" i="103"/>
  <c r="G6" i="103"/>
  <c r="F6" i="103"/>
  <c r="F33" i="103" s="1"/>
  <c r="E6" i="103"/>
  <c r="M33" i="103" l="1"/>
  <c r="W33" i="103"/>
  <c r="E33" i="103"/>
  <c r="I33" i="103"/>
  <c r="W6" i="103"/>
  <c r="G14" i="103"/>
  <c r="G24" i="103"/>
  <c r="H24" i="103" s="1"/>
  <c r="M30" i="103"/>
  <c r="M31" i="103"/>
  <c r="M32" i="103"/>
  <c r="Q33" i="103"/>
  <c r="R33" i="103" s="1"/>
  <c r="M6" i="103"/>
  <c r="E23" i="103"/>
  <c r="E11" i="103" s="1"/>
  <c r="H14" i="103" l="1"/>
  <c r="G11" i="103"/>
  <c r="H11" i="103" l="1"/>
  <c r="G33" i="103"/>
  <c r="H33" i="103" s="1"/>
  <c r="W36" i="78" l="1"/>
  <c r="R36" i="78"/>
  <c r="M36" i="78"/>
  <c r="W35" i="78"/>
  <c r="R35" i="78"/>
  <c r="M35" i="78"/>
  <c r="W34" i="78"/>
  <c r="R34" i="78"/>
  <c r="M34" i="78"/>
  <c r="H34" i="78"/>
  <c r="W32" i="78"/>
  <c r="R32" i="78"/>
  <c r="M32" i="78"/>
  <c r="I32" i="78"/>
  <c r="H32" i="78"/>
  <c r="G32" i="78"/>
  <c r="F32" i="78"/>
  <c r="E32" i="78"/>
  <c r="W31" i="78"/>
  <c r="R31" i="78"/>
  <c r="M31" i="78"/>
  <c r="I31" i="78"/>
  <c r="H31" i="78"/>
  <c r="G31" i="78"/>
  <c r="F31" i="78"/>
  <c r="E31" i="78"/>
  <c r="W30" i="78"/>
  <c r="R30" i="78"/>
  <c r="M30" i="78"/>
  <c r="I30" i="78"/>
  <c r="H30" i="78"/>
  <c r="G30" i="78"/>
  <c r="F30" i="78"/>
  <c r="E30" i="78"/>
  <c r="W29" i="78"/>
  <c r="R29" i="78"/>
  <c r="M29" i="78"/>
  <c r="I29" i="78"/>
  <c r="H29" i="78"/>
  <c r="G29" i="78"/>
  <c r="F29" i="78"/>
  <c r="E29" i="78"/>
  <c r="W28" i="78"/>
  <c r="R28" i="78"/>
  <c r="M28" i="78"/>
  <c r="I28" i="78"/>
  <c r="H28" i="78"/>
  <c r="G28" i="78"/>
  <c r="F28" i="78"/>
  <c r="E28" i="78"/>
  <c r="W27" i="78"/>
  <c r="R27" i="78"/>
  <c r="M27" i="78"/>
  <c r="I27" i="78"/>
  <c r="H27" i="78"/>
  <c r="G27" i="78"/>
  <c r="F27" i="78"/>
  <c r="E27" i="78"/>
  <c r="W26" i="78"/>
  <c r="R26" i="78"/>
  <c r="M26" i="78"/>
  <c r="I26" i="78"/>
  <c r="H26" i="78"/>
  <c r="G26" i="78"/>
  <c r="F26" i="78"/>
  <c r="E26" i="78"/>
  <c r="W25" i="78"/>
  <c r="R25" i="78"/>
  <c r="M25" i="78"/>
  <c r="I25" i="78"/>
  <c r="H25" i="78"/>
  <c r="G25" i="78"/>
  <c r="F25" i="78"/>
  <c r="E25" i="78"/>
  <c r="W24" i="78"/>
  <c r="R24" i="78"/>
  <c r="M24" i="78"/>
  <c r="I24" i="78"/>
  <c r="H24" i="78"/>
  <c r="G24" i="78"/>
  <c r="F24" i="78"/>
  <c r="E24" i="78"/>
  <c r="W23" i="78"/>
  <c r="R23" i="78"/>
  <c r="M23" i="78"/>
  <c r="I23" i="78"/>
  <c r="H23" i="78"/>
  <c r="G23" i="78"/>
  <c r="F23" i="78"/>
  <c r="E23" i="78"/>
  <c r="W22" i="78"/>
  <c r="R22" i="78"/>
  <c r="M22" i="78"/>
  <c r="I22" i="78"/>
  <c r="H22" i="78"/>
  <c r="G22" i="78"/>
  <c r="F22" i="78"/>
  <c r="E22" i="78"/>
  <c r="W21" i="78"/>
  <c r="R21" i="78"/>
  <c r="M21" i="78"/>
  <c r="I21" i="78"/>
  <c r="H21" i="78"/>
  <c r="G21" i="78"/>
  <c r="F21" i="78"/>
  <c r="E21" i="78"/>
  <c r="W20" i="78"/>
  <c r="R20" i="78"/>
  <c r="M20" i="78"/>
  <c r="I20" i="78"/>
  <c r="H20" i="78"/>
  <c r="G20" i="78"/>
  <c r="F20" i="78"/>
  <c r="E20" i="78"/>
  <c r="W19" i="78"/>
  <c r="R19" i="78"/>
  <c r="M19" i="78"/>
  <c r="I19" i="78"/>
  <c r="H19" i="78"/>
  <c r="G19" i="78"/>
  <c r="F19" i="78"/>
  <c r="E19" i="78"/>
  <c r="W18" i="78"/>
  <c r="R18" i="78"/>
  <c r="M18" i="78"/>
  <c r="I18" i="78"/>
  <c r="H18" i="78"/>
  <c r="G18" i="78"/>
  <c r="F18" i="78"/>
  <c r="E18" i="78"/>
  <c r="W17" i="78"/>
  <c r="R17" i="78"/>
  <c r="M17" i="78"/>
  <c r="I17" i="78"/>
  <c r="H17" i="78"/>
  <c r="G17" i="78"/>
  <c r="F17" i="78"/>
  <c r="E17" i="78"/>
  <c r="W16" i="78"/>
  <c r="R16" i="78"/>
  <c r="M16" i="78"/>
  <c r="I16" i="78"/>
  <c r="H16" i="78"/>
  <c r="G16" i="78"/>
  <c r="F16" i="78"/>
  <c r="E16" i="78"/>
  <c r="W15" i="78"/>
  <c r="R15" i="78"/>
  <c r="M15" i="78"/>
  <c r="I15" i="78"/>
  <c r="H15" i="78"/>
  <c r="G15" i="78"/>
  <c r="F15" i="78"/>
  <c r="E15" i="78"/>
  <c r="W14" i="78"/>
  <c r="R14" i="78"/>
  <c r="M14" i="78"/>
  <c r="I14" i="78"/>
  <c r="H14" i="78"/>
  <c r="G14" i="78"/>
  <c r="F14" i="78"/>
  <c r="E14" i="78"/>
  <c r="W13" i="78"/>
  <c r="R13" i="78"/>
  <c r="M13" i="78"/>
  <c r="I13" i="78"/>
  <c r="H13" i="78"/>
  <c r="G13" i="78"/>
  <c r="F13" i="78"/>
  <c r="E13" i="78"/>
  <c r="W12" i="78"/>
  <c r="R12" i="78"/>
  <c r="M12" i="78"/>
  <c r="I12" i="78"/>
  <c r="H12" i="78"/>
  <c r="G12" i="78"/>
  <c r="F12" i="78"/>
  <c r="E12" i="78"/>
  <c r="X11" i="78"/>
  <c r="V11" i="78"/>
  <c r="U11" i="78"/>
  <c r="W11" i="78" s="1"/>
  <c r="T11" i="78"/>
  <c r="S11" i="78"/>
  <c r="Q11" i="78"/>
  <c r="R11" i="78" s="1"/>
  <c r="P11" i="78"/>
  <c r="O11" i="78"/>
  <c r="N11" i="78"/>
  <c r="L11" i="78"/>
  <c r="M11" i="78" s="1"/>
  <c r="K11" i="78"/>
  <c r="J11" i="78"/>
  <c r="I11" i="78"/>
  <c r="H11" i="78"/>
  <c r="G11" i="78"/>
  <c r="F11" i="78"/>
  <c r="E11" i="78"/>
  <c r="W10" i="78"/>
  <c r="R10" i="78"/>
  <c r="M10" i="78"/>
  <c r="I10" i="78"/>
  <c r="H10" i="78"/>
  <c r="G10" i="78"/>
  <c r="F10" i="78"/>
  <c r="E10" i="78"/>
  <c r="W9" i="78"/>
  <c r="R9" i="78"/>
  <c r="M9" i="78"/>
  <c r="I9" i="78"/>
  <c r="H9" i="78"/>
  <c r="G9" i="78"/>
  <c r="F9" i="78"/>
  <c r="E9" i="78"/>
  <c r="W8" i="78"/>
  <c r="R8" i="78"/>
  <c r="M8" i="78"/>
  <c r="I8" i="78"/>
  <c r="H8" i="78"/>
  <c r="G8" i="78"/>
  <c r="F8" i="78"/>
  <c r="E8" i="78"/>
  <c r="W7" i="78"/>
  <c r="R7" i="78"/>
  <c r="M7" i="78"/>
  <c r="I7" i="78"/>
  <c r="H7" i="78"/>
  <c r="G7" i="78"/>
  <c r="F7" i="78"/>
  <c r="E7" i="78"/>
  <c r="X6" i="78"/>
  <c r="X33" i="78" s="1"/>
  <c r="V6" i="78"/>
  <c r="V33" i="78" s="1"/>
  <c r="U6" i="78"/>
  <c r="U33" i="78" s="1"/>
  <c r="T6" i="78"/>
  <c r="T33" i="78" s="1"/>
  <c r="S6" i="78"/>
  <c r="S33" i="78" s="1"/>
  <c r="Q6" i="78"/>
  <c r="R6" i="78" s="1"/>
  <c r="P6" i="78"/>
  <c r="P33" i="78" s="1"/>
  <c r="O6" i="78"/>
  <c r="O33" i="78" s="1"/>
  <c r="N6" i="78"/>
  <c r="N33" i="78" s="1"/>
  <c r="L6" i="78"/>
  <c r="L33" i="78" s="1"/>
  <c r="K6" i="78"/>
  <c r="K33" i="78" s="1"/>
  <c r="J6" i="78"/>
  <c r="J33" i="78" s="1"/>
  <c r="I6" i="78"/>
  <c r="I33" i="78" s="1"/>
  <c r="H6" i="78"/>
  <c r="G6" i="78"/>
  <c r="G33" i="78" s="1"/>
  <c r="F6" i="78"/>
  <c r="F33" i="78" s="1"/>
  <c r="E6" i="78"/>
  <c r="E33" i="78" s="1"/>
  <c r="M33" i="78" l="1"/>
  <c r="W33" i="78"/>
  <c r="H33" i="78"/>
  <c r="M6" i="78"/>
  <c r="W6" i="78"/>
  <c r="Q33" i="78"/>
  <c r="R33" i="78" s="1"/>
  <c r="H36" i="77" l="1"/>
  <c r="H35" i="77"/>
  <c r="H34" i="77"/>
  <c r="K32" i="77"/>
  <c r="F32" i="77" s="1"/>
  <c r="I32" i="77"/>
  <c r="G32" i="77"/>
  <c r="E32" i="77"/>
  <c r="K31" i="77"/>
  <c r="F31" i="77" s="1"/>
  <c r="I31" i="77"/>
  <c r="G31" i="77"/>
  <c r="E31" i="77"/>
  <c r="K30" i="77"/>
  <c r="I30" i="77"/>
  <c r="G30" i="77"/>
  <c r="F30" i="77"/>
  <c r="E30" i="77"/>
  <c r="W29" i="77"/>
  <c r="K29" i="77"/>
  <c r="M29" i="77" s="1"/>
  <c r="I29" i="77"/>
  <c r="G29" i="77"/>
  <c r="H29" i="77" s="1"/>
  <c r="F29" i="77"/>
  <c r="E29" i="77"/>
  <c r="W28" i="77"/>
  <c r="Q28" i="77"/>
  <c r="K28" i="77"/>
  <c r="M28" i="77" s="1"/>
  <c r="I28" i="77"/>
  <c r="G28" i="77"/>
  <c r="H28" i="77" s="1"/>
  <c r="F28" i="77"/>
  <c r="E28" i="77"/>
  <c r="W27" i="77"/>
  <c r="K27" i="77"/>
  <c r="M27" i="77" s="1"/>
  <c r="I27" i="77"/>
  <c r="G27" i="77"/>
  <c r="H27" i="77" s="1"/>
  <c r="F27" i="77"/>
  <c r="E27" i="77"/>
  <c r="W26" i="77"/>
  <c r="K26" i="77"/>
  <c r="M26" i="77" s="1"/>
  <c r="I26" i="77"/>
  <c r="G26" i="77"/>
  <c r="H26" i="77" s="1"/>
  <c r="F26" i="77"/>
  <c r="E26" i="77"/>
  <c r="K25" i="77"/>
  <c r="M25" i="77" s="1"/>
  <c r="I25" i="77"/>
  <c r="G25" i="77"/>
  <c r="H25" i="77" s="1"/>
  <c r="F25" i="77"/>
  <c r="E25" i="77"/>
  <c r="K24" i="77"/>
  <c r="I24" i="77"/>
  <c r="G24" i="77"/>
  <c r="F24" i="77"/>
  <c r="E24" i="77"/>
  <c r="K23" i="77"/>
  <c r="I23" i="77"/>
  <c r="G23" i="77"/>
  <c r="F23" i="77"/>
  <c r="E23" i="77"/>
  <c r="W22" i="77"/>
  <c r="M22" i="77"/>
  <c r="K22" i="77"/>
  <c r="I22" i="77"/>
  <c r="G22" i="77"/>
  <c r="H22" i="77" s="1"/>
  <c r="F22" i="77"/>
  <c r="E22" i="77"/>
  <c r="W21" i="77"/>
  <c r="R21" i="77"/>
  <c r="Q21" i="77"/>
  <c r="P21" i="77"/>
  <c r="K21" i="77"/>
  <c r="M21" i="77" s="1"/>
  <c r="I21" i="77"/>
  <c r="G21" i="77"/>
  <c r="H21" i="77" s="1"/>
  <c r="F21" i="77"/>
  <c r="E21" i="77"/>
  <c r="V20" i="77"/>
  <c r="W20" i="77" s="1"/>
  <c r="U20" i="77"/>
  <c r="U11" i="77" s="1"/>
  <c r="T20" i="77"/>
  <c r="Q20" i="77"/>
  <c r="R20" i="77" s="1"/>
  <c r="P20" i="77"/>
  <c r="F20" i="77" s="1"/>
  <c r="L20" i="77"/>
  <c r="K20" i="77"/>
  <c r="M20" i="77" s="1"/>
  <c r="I20" i="77"/>
  <c r="E20" i="77"/>
  <c r="W19" i="77"/>
  <c r="Q19" i="77"/>
  <c r="R19" i="77" s="1"/>
  <c r="P19" i="77"/>
  <c r="P11" i="77" s="1"/>
  <c r="O19" i="77"/>
  <c r="J19" i="77"/>
  <c r="K19" i="77" s="1"/>
  <c r="I19" i="77"/>
  <c r="G19" i="77"/>
  <c r="W18" i="77"/>
  <c r="Q18" i="77"/>
  <c r="M18" i="77"/>
  <c r="K18" i="77"/>
  <c r="I18" i="77"/>
  <c r="G18" i="77"/>
  <c r="H18" i="77" s="1"/>
  <c r="F18" i="77"/>
  <c r="E18" i="77"/>
  <c r="K17" i="77"/>
  <c r="M17" i="77" s="1"/>
  <c r="I17" i="77"/>
  <c r="G17" i="77"/>
  <c r="H17" i="77" s="1"/>
  <c r="F17" i="77"/>
  <c r="E17" i="77"/>
  <c r="K16" i="77"/>
  <c r="M16" i="77" s="1"/>
  <c r="I16" i="77"/>
  <c r="G16" i="77"/>
  <c r="F16" i="77"/>
  <c r="H16" i="77" s="1"/>
  <c r="E16" i="77"/>
  <c r="W15" i="77"/>
  <c r="K15" i="77"/>
  <c r="M15" i="77" s="1"/>
  <c r="I15" i="77"/>
  <c r="I11" i="77" s="1"/>
  <c r="G15" i="77"/>
  <c r="F15" i="77"/>
  <c r="H15" i="77" s="1"/>
  <c r="E15" i="77"/>
  <c r="K14" i="77"/>
  <c r="I14" i="77"/>
  <c r="G14" i="77"/>
  <c r="F14" i="77"/>
  <c r="E14" i="77"/>
  <c r="W13" i="77"/>
  <c r="K13" i="77"/>
  <c r="M13" i="77" s="1"/>
  <c r="I13" i="77"/>
  <c r="G13" i="77"/>
  <c r="H13" i="77" s="1"/>
  <c r="F13" i="77"/>
  <c r="E13" i="77"/>
  <c r="W12" i="77"/>
  <c r="Q12" i="77"/>
  <c r="Q11" i="77" s="1"/>
  <c r="R11" i="77" s="1"/>
  <c r="P12" i="77"/>
  <c r="O12" i="77"/>
  <c r="K12" i="77"/>
  <c r="M12" i="77" s="1"/>
  <c r="I12" i="77"/>
  <c r="F12" i="77"/>
  <c r="E12" i="77"/>
  <c r="X11" i="77"/>
  <c r="V11" i="77"/>
  <c r="T11" i="77"/>
  <c r="S11" i="77"/>
  <c r="O11" i="77"/>
  <c r="N11" i="77"/>
  <c r="L11" i="77"/>
  <c r="J11" i="77"/>
  <c r="I10" i="77"/>
  <c r="G10" i="77"/>
  <c r="F10" i="77"/>
  <c r="E10" i="77"/>
  <c r="Q9" i="77"/>
  <c r="R9" i="77" s="1"/>
  <c r="P9" i="77"/>
  <c r="O9" i="77"/>
  <c r="K9" i="77"/>
  <c r="M9" i="77" s="1"/>
  <c r="I9" i="77"/>
  <c r="E9" i="77"/>
  <c r="L8" i="77"/>
  <c r="M8" i="77" s="1"/>
  <c r="K8" i="77"/>
  <c r="F8" i="77" s="1"/>
  <c r="I8" i="77"/>
  <c r="I6" i="77" s="1"/>
  <c r="G8" i="77"/>
  <c r="E8" i="77"/>
  <c r="E6" i="77" s="1"/>
  <c r="V7" i="77"/>
  <c r="W7" i="77" s="1"/>
  <c r="T7" i="77"/>
  <c r="M7" i="77"/>
  <c r="L7" i="77"/>
  <c r="K7" i="77"/>
  <c r="I7" i="77"/>
  <c r="H7" i="77"/>
  <c r="G7" i="77"/>
  <c r="F7" i="77"/>
  <c r="E7" i="77"/>
  <c r="X6" i="77"/>
  <c r="X33" i="77" s="1"/>
  <c r="V6" i="77"/>
  <c r="V33" i="77" s="1"/>
  <c r="U6" i="77"/>
  <c r="U33" i="77" s="1"/>
  <c r="T6" i="77"/>
  <c r="T33" i="77" s="1"/>
  <c r="S6" i="77"/>
  <c r="S33" i="77" s="1"/>
  <c r="Q6" i="77"/>
  <c r="R6" i="77" s="1"/>
  <c r="P6" i="77"/>
  <c r="P33" i="77" s="1"/>
  <c r="O6" i="77"/>
  <c r="O33" i="77" s="1"/>
  <c r="N6" i="77"/>
  <c r="N33" i="77" s="1"/>
  <c r="L6" i="77"/>
  <c r="J6" i="77"/>
  <c r="J33" i="77" s="1"/>
  <c r="M6" i="77" l="1"/>
  <c r="H8" i="77"/>
  <c r="I33" i="77"/>
  <c r="E11" i="77"/>
  <c r="E33" i="77" s="1"/>
  <c r="W33" i="77"/>
  <c r="M19" i="77"/>
  <c r="F19" i="77"/>
  <c r="F11" i="77" s="1"/>
  <c r="W11" i="77"/>
  <c r="K11" i="77"/>
  <c r="M11" i="77" s="1"/>
  <c r="G12" i="77"/>
  <c r="R12" i="77"/>
  <c r="K6" i="77"/>
  <c r="W6" i="77"/>
  <c r="E19" i="77"/>
  <c r="F9" i="77"/>
  <c r="F6" i="77" s="1"/>
  <c r="F33" i="77" s="1"/>
  <c r="L33" i="77"/>
  <c r="Q33" i="77"/>
  <c r="G9" i="77"/>
  <c r="G20" i="77"/>
  <c r="H20" i="77" s="1"/>
  <c r="H9" i="77" l="1"/>
  <c r="G6" i="77"/>
  <c r="H12" i="77"/>
  <c r="G11" i="77"/>
  <c r="H11" i="77" s="1"/>
  <c r="K33" i="77"/>
  <c r="H19" i="77"/>
  <c r="G33" i="77" l="1"/>
  <c r="H6" i="77"/>
  <c r="H36" i="76" l="1"/>
  <c r="H35" i="76"/>
  <c r="H34" i="76"/>
  <c r="I32" i="76"/>
  <c r="G32" i="76"/>
  <c r="F32" i="76"/>
  <c r="E32" i="76"/>
  <c r="I31" i="76"/>
  <c r="G31" i="76"/>
  <c r="F31" i="76"/>
  <c r="E31" i="76"/>
  <c r="M30" i="76"/>
  <c r="I30" i="76"/>
  <c r="G30" i="76"/>
  <c r="H30" i="76" s="1"/>
  <c r="F30" i="76"/>
  <c r="E30" i="76"/>
  <c r="M29" i="76"/>
  <c r="I29" i="76"/>
  <c r="G29" i="76"/>
  <c r="F29" i="76"/>
  <c r="H29" i="76" s="1"/>
  <c r="E29" i="76"/>
  <c r="M28" i="76"/>
  <c r="H28" i="76"/>
  <c r="I27" i="76"/>
  <c r="G27" i="76"/>
  <c r="F27" i="76"/>
  <c r="E27" i="76"/>
  <c r="M26" i="76"/>
  <c r="I26" i="76"/>
  <c r="G26" i="76"/>
  <c r="H26" i="76" s="1"/>
  <c r="F26" i="76"/>
  <c r="E26" i="76"/>
  <c r="I25" i="76"/>
  <c r="G25" i="76"/>
  <c r="F25" i="76"/>
  <c r="E25" i="76"/>
  <c r="I24" i="76"/>
  <c r="G24" i="76"/>
  <c r="F24" i="76"/>
  <c r="E24" i="76"/>
  <c r="I23" i="76"/>
  <c r="G23" i="76"/>
  <c r="F23" i="76"/>
  <c r="E23" i="76"/>
  <c r="I22" i="76"/>
  <c r="G22" i="76"/>
  <c r="F22" i="76"/>
  <c r="E22" i="76"/>
  <c r="R21" i="76"/>
  <c r="M21" i="76"/>
  <c r="I21" i="76"/>
  <c r="H21" i="76"/>
  <c r="G21" i="76"/>
  <c r="F21" i="76"/>
  <c r="E21" i="76"/>
  <c r="R20" i="76"/>
  <c r="M20" i="76"/>
  <c r="I20" i="76"/>
  <c r="G20" i="76"/>
  <c r="H20" i="76" s="1"/>
  <c r="F20" i="76"/>
  <c r="E20" i="76"/>
  <c r="R19" i="76"/>
  <c r="M19" i="76"/>
  <c r="I19" i="76"/>
  <c r="G19" i="76"/>
  <c r="H19" i="76" s="1"/>
  <c r="F19" i="76"/>
  <c r="E19" i="76"/>
  <c r="W18" i="76"/>
  <c r="M18" i="76"/>
  <c r="I18" i="76"/>
  <c r="G18" i="76"/>
  <c r="F18" i="76"/>
  <c r="H18" i="76" s="1"/>
  <c r="E18" i="76"/>
  <c r="M17" i="76"/>
  <c r="I17" i="76"/>
  <c r="G17" i="76"/>
  <c r="H17" i="76" s="1"/>
  <c r="F17" i="76"/>
  <c r="E17" i="76"/>
  <c r="M16" i="76"/>
  <c r="I16" i="76"/>
  <c r="G16" i="76"/>
  <c r="H16" i="76" s="1"/>
  <c r="F16" i="76"/>
  <c r="E16" i="76"/>
  <c r="W15" i="76"/>
  <c r="M15" i="76"/>
  <c r="I15" i="76"/>
  <c r="H15" i="76"/>
  <c r="G15" i="76"/>
  <c r="F15" i="76"/>
  <c r="E15" i="76"/>
  <c r="I14" i="76"/>
  <c r="G14" i="76"/>
  <c r="F14" i="76"/>
  <c r="E14" i="76"/>
  <c r="E11" i="76" s="1"/>
  <c r="W13" i="76"/>
  <c r="M13" i="76"/>
  <c r="I13" i="76"/>
  <c r="G13" i="76"/>
  <c r="H13" i="76" s="1"/>
  <c r="F13" i="76"/>
  <c r="E13" i="76"/>
  <c r="W12" i="76"/>
  <c r="R12" i="76"/>
  <c r="M12" i="76"/>
  <c r="I12" i="76"/>
  <c r="G12" i="76"/>
  <c r="G11" i="76" s="1"/>
  <c r="H11" i="76" s="1"/>
  <c r="F12" i="76"/>
  <c r="E12" i="76"/>
  <c r="X11" i="76"/>
  <c r="W11" i="76"/>
  <c r="V11" i="76"/>
  <c r="U11" i="76"/>
  <c r="T11" i="76"/>
  <c r="S11" i="76"/>
  <c r="Q11" i="76"/>
  <c r="R11" i="76" s="1"/>
  <c r="P11" i="76"/>
  <c r="O11" i="76"/>
  <c r="N11" i="76"/>
  <c r="L11" i="76"/>
  <c r="M11" i="76" s="1"/>
  <c r="K11" i="76"/>
  <c r="J11" i="76"/>
  <c r="F11" i="76"/>
  <c r="I10" i="76"/>
  <c r="G10" i="76"/>
  <c r="F10" i="76"/>
  <c r="E10" i="76"/>
  <c r="R9" i="76"/>
  <c r="M9" i="76"/>
  <c r="H9" i="76"/>
  <c r="G9" i="76"/>
  <c r="F9" i="76"/>
  <c r="E9" i="76"/>
  <c r="M8" i="76"/>
  <c r="I8" i="76"/>
  <c r="G8" i="76"/>
  <c r="H8" i="76" s="1"/>
  <c r="F8" i="76"/>
  <c r="F6" i="76" s="1"/>
  <c r="F33" i="76" s="1"/>
  <c r="E8" i="76"/>
  <c r="W7" i="76"/>
  <c r="M7" i="76"/>
  <c r="H7" i="76"/>
  <c r="G7" i="76"/>
  <c r="F7" i="76"/>
  <c r="E7" i="76"/>
  <c r="X6" i="76"/>
  <c r="X33" i="76" s="1"/>
  <c r="V6" i="76"/>
  <c r="V33" i="76" s="1"/>
  <c r="U6" i="76"/>
  <c r="U33" i="76" s="1"/>
  <c r="T6" i="76"/>
  <c r="T33" i="76" s="1"/>
  <c r="S6" i="76"/>
  <c r="S33" i="76" s="1"/>
  <c r="Q6" i="76"/>
  <c r="R6" i="76" s="1"/>
  <c r="P6" i="76"/>
  <c r="P33" i="76" s="1"/>
  <c r="O6" i="76"/>
  <c r="O33" i="76" s="1"/>
  <c r="N6" i="76"/>
  <c r="N33" i="76" s="1"/>
  <c r="L6" i="76"/>
  <c r="L33" i="76" s="1"/>
  <c r="K6" i="76"/>
  <c r="K33" i="76" s="1"/>
  <c r="J6" i="76"/>
  <c r="J33" i="76" s="1"/>
  <c r="I6" i="76"/>
  <c r="E6" i="76"/>
  <c r="E33" i="76" l="1"/>
  <c r="W33" i="76"/>
  <c r="G6" i="76"/>
  <c r="W6" i="76"/>
  <c r="M6" i="76"/>
  <c r="H12" i="76"/>
  <c r="Q33" i="76"/>
  <c r="G33" i="76" l="1"/>
  <c r="H6" i="76"/>
  <c r="R36" i="75" l="1"/>
  <c r="H36" i="75"/>
  <c r="R35" i="75"/>
  <c r="H35" i="75"/>
  <c r="Q34" i="75"/>
  <c r="R34" i="75" s="1"/>
  <c r="P34" i="75"/>
  <c r="O34" i="75"/>
  <c r="W32" i="75"/>
  <c r="M32" i="75"/>
  <c r="I32" i="75"/>
  <c r="G32" i="75"/>
  <c r="H32" i="75" s="1"/>
  <c r="F32" i="75"/>
  <c r="E32" i="75"/>
  <c r="I31" i="75"/>
  <c r="G31" i="75"/>
  <c r="F31" i="75"/>
  <c r="E31" i="75"/>
  <c r="I30" i="75"/>
  <c r="G30" i="75"/>
  <c r="F30" i="75"/>
  <c r="E30" i="75"/>
  <c r="M29" i="75"/>
  <c r="I29" i="75"/>
  <c r="H29" i="75"/>
  <c r="G29" i="75"/>
  <c r="F29" i="75"/>
  <c r="E29" i="75"/>
  <c r="R28" i="75"/>
  <c r="M28" i="75"/>
  <c r="I28" i="75"/>
  <c r="G28" i="75"/>
  <c r="H28" i="75" s="1"/>
  <c r="F28" i="75"/>
  <c r="E28" i="75"/>
  <c r="I27" i="75"/>
  <c r="G27" i="75"/>
  <c r="F27" i="75"/>
  <c r="E27" i="75"/>
  <c r="W26" i="75"/>
  <c r="M26" i="75"/>
  <c r="I26" i="75"/>
  <c r="G26" i="75"/>
  <c r="H26" i="75" s="1"/>
  <c r="F26" i="75"/>
  <c r="E26" i="75"/>
  <c r="M25" i="75"/>
  <c r="I25" i="75"/>
  <c r="H25" i="75"/>
  <c r="G25" i="75"/>
  <c r="F25" i="75"/>
  <c r="E25" i="75"/>
  <c r="I24" i="75"/>
  <c r="G24" i="75"/>
  <c r="F24" i="75"/>
  <c r="E24" i="75"/>
  <c r="I23" i="75"/>
  <c r="G23" i="75"/>
  <c r="F23" i="75"/>
  <c r="E23" i="75"/>
  <c r="I22" i="75"/>
  <c r="G22" i="75"/>
  <c r="F22" i="75"/>
  <c r="E22" i="75"/>
  <c r="R21" i="75"/>
  <c r="M21" i="75"/>
  <c r="I21" i="75"/>
  <c r="G21" i="75"/>
  <c r="H21" i="75" s="1"/>
  <c r="F21" i="75"/>
  <c r="E21" i="75"/>
  <c r="Q20" i="75"/>
  <c r="R20" i="75" s="1"/>
  <c r="L20" i="75"/>
  <c r="M20" i="75" s="1"/>
  <c r="I20" i="75"/>
  <c r="F20" i="75"/>
  <c r="E20" i="75"/>
  <c r="W19" i="75"/>
  <c r="R19" i="75"/>
  <c r="M19" i="75"/>
  <c r="I19" i="75"/>
  <c r="I34" i="75" s="1"/>
  <c r="H19" i="75"/>
  <c r="G19" i="75"/>
  <c r="G34" i="75" s="1"/>
  <c r="H34" i="75" s="1"/>
  <c r="F19" i="75"/>
  <c r="F34" i="75" s="1"/>
  <c r="E19" i="75"/>
  <c r="W18" i="75"/>
  <c r="R18" i="75"/>
  <c r="M18" i="75"/>
  <c r="I18" i="75"/>
  <c r="H18" i="75"/>
  <c r="G18" i="75"/>
  <c r="F18" i="75"/>
  <c r="E18" i="75"/>
  <c r="M17" i="75"/>
  <c r="I17" i="75"/>
  <c r="G17" i="75"/>
  <c r="H17" i="75" s="1"/>
  <c r="F17" i="75"/>
  <c r="E17" i="75"/>
  <c r="R16" i="75"/>
  <c r="M16" i="75"/>
  <c r="I16" i="75"/>
  <c r="G16" i="75"/>
  <c r="F16" i="75"/>
  <c r="H16" i="75" s="1"/>
  <c r="E16" i="75"/>
  <c r="W15" i="75"/>
  <c r="M15" i="75"/>
  <c r="I15" i="75"/>
  <c r="H15" i="75"/>
  <c r="G15" i="75"/>
  <c r="F15" i="75"/>
  <c r="E15" i="75"/>
  <c r="M14" i="75"/>
  <c r="I14" i="75"/>
  <c r="G14" i="75"/>
  <c r="H14" i="75" s="1"/>
  <c r="F14" i="75"/>
  <c r="E14" i="75"/>
  <c r="W13" i="75"/>
  <c r="M13" i="75"/>
  <c r="I13" i="75"/>
  <c r="G13" i="75"/>
  <c r="F13" i="75"/>
  <c r="H13" i="75" s="1"/>
  <c r="E13" i="75"/>
  <c r="W12" i="75"/>
  <c r="R12" i="75"/>
  <c r="M12" i="75"/>
  <c r="I12" i="75"/>
  <c r="G12" i="75"/>
  <c r="F12" i="75"/>
  <c r="H12" i="75" s="1"/>
  <c r="E12" i="75"/>
  <c r="X11" i="75"/>
  <c r="V11" i="75"/>
  <c r="W11" i="75" s="1"/>
  <c r="U11" i="75"/>
  <c r="T11" i="75"/>
  <c r="S11" i="75"/>
  <c r="Q11" i="75"/>
  <c r="R11" i="75" s="1"/>
  <c r="P11" i="75"/>
  <c r="O11" i="75"/>
  <c r="N11" i="75"/>
  <c r="M11" i="75"/>
  <c r="L11" i="75"/>
  <c r="K11" i="75"/>
  <c r="J11" i="75"/>
  <c r="I11" i="75"/>
  <c r="F11" i="75"/>
  <c r="E11" i="75"/>
  <c r="I10" i="75"/>
  <c r="G10" i="75"/>
  <c r="F10" i="75"/>
  <c r="E10" i="75"/>
  <c r="R9" i="75"/>
  <c r="M9" i="75"/>
  <c r="I9" i="75"/>
  <c r="H9" i="75"/>
  <c r="G9" i="75"/>
  <c r="F9" i="75"/>
  <c r="E9" i="75"/>
  <c r="M8" i="75"/>
  <c r="I8" i="75"/>
  <c r="G8" i="75"/>
  <c r="H8" i="75" s="1"/>
  <c r="F8" i="75"/>
  <c r="F6" i="75" s="1"/>
  <c r="F33" i="75" s="1"/>
  <c r="E8" i="75"/>
  <c r="V7" i="75"/>
  <c r="W7" i="75" s="1"/>
  <c r="R7" i="75"/>
  <c r="M7" i="75"/>
  <c r="L7" i="75"/>
  <c r="I7" i="75"/>
  <c r="H7" i="75"/>
  <c r="G7" i="75"/>
  <c r="F7" i="75"/>
  <c r="E7" i="75"/>
  <c r="X6" i="75"/>
  <c r="X33" i="75" s="1"/>
  <c r="U6" i="75"/>
  <c r="U33" i="75" s="1"/>
  <c r="T6" i="75"/>
  <c r="T33" i="75" s="1"/>
  <c r="S6" i="75"/>
  <c r="S33" i="75" s="1"/>
  <c r="Q6" i="75"/>
  <c r="R6" i="75" s="1"/>
  <c r="P6" i="75"/>
  <c r="P33" i="75" s="1"/>
  <c r="O6" i="75"/>
  <c r="O33" i="75" s="1"/>
  <c r="N6" i="75"/>
  <c r="N33" i="75" s="1"/>
  <c r="L6" i="75"/>
  <c r="M6" i="75" s="1"/>
  <c r="K6" i="75"/>
  <c r="K33" i="75" s="1"/>
  <c r="J6" i="75"/>
  <c r="J33" i="75" s="1"/>
  <c r="I6" i="75"/>
  <c r="I33" i="75" s="1"/>
  <c r="E6" i="75"/>
  <c r="E33" i="75" s="1"/>
  <c r="G6" i="75" l="1"/>
  <c r="G20" i="75"/>
  <c r="H20" i="75" s="1"/>
  <c r="L33" i="75"/>
  <c r="Q33" i="75"/>
  <c r="V6" i="75"/>
  <c r="G11" i="75"/>
  <c r="H11" i="75" s="1"/>
  <c r="V33" i="75" l="1"/>
  <c r="W33" i="75" s="1"/>
  <c r="W6" i="75"/>
  <c r="G33" i="75"/>
  <c r="H6" i="75"/>
  <c r="W36" i="74" l="1"/>
  <c r="R36" i="74"/>
  <c r="M36" i="74"/>
  <c r="H36" i="74"/>
  <c r="W35" i="74"/>
  <c r="R35" i="74"/>
  <c r="M35" i="74"/>
  <c r="H35" i="74"/>
  <c r="W34" i="74"/>
  <c r="R34" i="74"/>
  <c r="M34" i="74"/>
  <c r="H34" i="74"/>
  <c r="W32" i="74"/>
  <c r="R32" i="74"/>
  <c r="M32" i="74"/>
  <c r="I32" i="74"/>
  <c r="G32" i="74"/>
  <c r="H32" i="74" s="1"/>
  <c r="F32" i="74"/>
  <c r="E32" i="74"/>
  <c r="W31" i="74"/>
  <c r="R31" i="74"/>
  <c r="M31" i="74"/>
  <c r="I31" i="74"/>
  <c r="G31" i="74"/>
  <c r="H31" i="74" s="1"/>
  <c r="F31" i="74"/>
  <c r="E31" i="74"/>
  <c r="W30" i="74"/>
  <c r="R30" i="74"/>
  <c r="M30" i="74"/>
  <c r="I30" i="74"/>
  <c r="G30" i="74"/>
  <c r="H30" i="74" s="1"/>
  <c r="F30" i="74"/>
  <c r="E30" i="74"/>
  <c r="W29" i="74"/>
  <c r="R29" i="74"/>
  <c r="M29" i="74"/>
  <c r="K29" i="74"/>
  <c r="I29" i="74"/>
  <c r="G29" i="74"/>
  <c r="H29" i="74" s="1"/>
  <c r="F29" i="74"/>
  <c r="E29" i="74"/>
  <c r="W28" i="74"/>
  <c r="R28" i="74"/>
  <c r="Q28" i="74"/>
  <c r="P28" i="74"/>
  <c r="O28" i="74"/>
  <c r="E28" i="74" s="1"/>
  <c r="M28" i="74"/>
  <c r="K28" i="74"/>
  <c r="I28" i="74"/>
  <c r="G28" i="74"/>
  <c r="H28" i="74" s="1"/>
  <c r="F28" i="74"/>
  <c r="W27" i="74"/>
  <c r="R27" i="74"/>
  <c r="N27" i="74"/>
  <c r="M27" i="74"/>
  <c r="I27" i="74"/>
  <c r="H27" i="74"/>
  <c r="G27" i="74"/>
  <c r="F27" i="74"/>
  <c r="E27" i="74"/>
  <c r="W26" i="74"/>
  <c r="R26" i="74"/>
  <c r="K26" i="74"/>
  <c r="M26" i="74" s="1"/>
  <c r="I26" i="74"/>
  <c r="G26" i="74"/>
  <c r="F26" i="74"/>
  <c r="H26" i="74" s="1"/>
  <c r="E26" i="74"/>
  <c r="W25" i="74"/>
  <c r="R25" i="74"/>
  <c r="M25" i="74"/>
  <c r="I25" i="74"/>
  <c r="G25" i="74"/>
  <c r="F25" i="74"/>
  <c r="H25" i="74" s="1"/>
  <c r="E25" i="74"/>
  <c r="W24" i="74"/>
  <c r="R24" i="74"/>
  <c r="M24" i="74"/>
  <c r="I24" i="74"/>
  <c r="G24" i="74"/>
  <c r="F24" i="74"/>
  <c r="H24" i="74" s="1"/>
  <c r="E24" i="74"/>
  <c r="W23" i="74"/>
  <c r="R23" i="74"/>
  <c r="M23" i="74"/>
  <c r="I23" i="74"/>
  <c r="G23" i="74"/>
  <c r="F23" i="74"/>
  <c r="H23" i="74" s="1"/>
  <c r="E23" i="74"/>
  <c r="W22" i="74"/>
  <c r="R22" i="74"/>
  <c r="M22" i="74"/>
  <c r="I22" i="74"/>
  <c r="G22" i="74"/>
  <c r="F22" i="74"/>
  <c r="H22" i="74" s="1"/>
  <c r="E22" i="74"/>
  <c r="W21" i="74"/>
  <c r="P21" i="74"/>
  <c r="R21" i="74" s="1"/>
  <c r="O21" i="74"/>
  <c r="E21" i="74" s="1"/>
  <c r="M21" i="74"/>
  <c r="I21" i="74"/>
  <c r="G21" i="74"/>
  <c r="W20" i="74"/>
  <c r="R20" i="74"/>
  <c r="P20" i="74"/>
  <c r="O20" i="74"/>
  <c r="M20" i="74"/>
  <c r="I20" i="74"/>
  <c r="G20" i="74"/>
  <c r="F20" i="74"/>
  <c r="H20" i="74" s="1"/>
  <c r="E20" i="74"/>
  <c r="W19" i="74"/>
  <c r="V19" i="74"/>
  <c r="S19" i="74"/>
  <c r="I19" i="74" s="1"/>
  <c r="I11" i="74" s="1"/>
  <c r="R19" i="74"/>
  <c r="P19" i="74"/>
  <c r="O19" i="74"/>
  <c r="L19" i="74"/>
  <c r="M19" i="74" s="1"/>
  <c r="K19" i="74"/>
  <c r="G19" i="74"/>
  <c r="H19" i="74" s="1"/>
  <c r="F19" i="74"/>
  <c r="E19" i="74"/>
  <c r="W18" i="74"/>
  <c r="R18" i="74"/>
  <c r="Q18" i="74"/>
  <c r="P18" i="74"/>
  <c r="O18" i="74"/>
  <c r="E18" i="74" s="1"/>
  <c r="M18" i="74"/>
  <c r="K18" i="74"/>
  <c r="I18" i="74"/>
  <c r="G18" i="74"/>
  <c r="H18" i="74" s="1"/>
  <c r="F18" i="74"/>
  <c r="W17" i="74"/>
  <c r="R17" i="74"/>
  <c r="M17" i="74"/>
  <c r="I17" i="74"/>
  <c r="G17" i="74"/>
  <c r="H17" i="74" s="1"/>
  <c r="F17" i="74"/>
  <c r="E17" i="74"/>
  <c r="W16" i="74"/>
  <c r="R16" i="74"/>
  <c r="Q16" i="74"/>
  <c r="P16" i="74"/>
  <c r="O16" i="74"/>
  <c r="E16" i="74" s="1"/>
  <c r="M16" i="74"/>
  <c r="I16" i="74"/>
  <c r="G16" i="74"/>
  <c r="H16" i="74" s="1"/>
  <c r="F16" i="74"/>
  <c r="W15" i="74"/>
  <c r="R15" i="74"/>
  <c r="M15" i="74"/>
  <c r="K15" i="74"/>
  <c r="I15" i="74"/>
  <c r="G15" i="74"/>
  <c r="H15" i="74" s="1"/>
  <c r="F15" i="74"/>
  <c r="E15" i="74"/>
  <c r="W14" i="74"/>
  <c r="R14" i="74"/>
  <c r="M14" i="74"/>
  <c r="I14" i="74"/>
  <c r="G14" i="74"/>
  <c r="H14" i="74" s="1"/>
  <c r="F14" i="74"/>
  <c r="E14" i="74"/>
  <c r="W13" i="74"/>
  <c r="R13" i="74"/>
  <c r="M13" i="74"/>
  <c r="K13" i="74"/>
  <c r="I13" i="74"/>
  <c r="H13" i="74"/>
  <c r="G13" i="74"/>
  <c r="F13" i="74"/>
  <c r="E13" i="74"/>
  <c r="W12" i="74"/>
  <c r="Q12" i="74"/>
  <c r="P12" i="74"/>
  <c r="F12" i="74" s="1"/>
  <c r="O12" i="74"/>
  <c r="E12" i="74" s="1"/>
  <c r="M12" i="74"/>
  <c r="K12" i="74"/>
  <c r="I12" i="74"/>
  <c r="G12" i="74"/>
  <c r="X11" i="74"/>
  <c r="V11" i="74"/>
  <c r="U11" i="74"/>
  <c r="W11" i="74" s="1"/>
  <c r="T11" i="74"/>
  <c r="S11" i="74"/>
  <c r="Q11" i="74"/>
  <c r="R11" i="74" s="1"/>
  <c r="P11" i="74"/>
  <c r="N11" i="74"/>
  <c r="L11" i="74"/>
  <c r="M11" i="74" s="1"/>
  <c r="K11" i="74"/>
  <c r="J11" i="74"/>
  <c r="W10" i="74"/>
  <c r="R10" i="74"/>
  <c r="M10" i="74"/>
  <c r="I10" i="74"/>
  <c r="H10" i="74"/>
  <c r="G10" i="74"/>
  <c r="E10" i="74"/>
  <c r="W9" i="74"/>
  <c r="R9" i="74"/>
  <c r="Q9" i="74"/>
  <c r="P9" i="74"/>
  <c r="O9" i="74"/>
  <c r="E9" i="74" s="1"/>
  <c r="E6" i="74" s="1"/>
  <c r="M9" i="74"/>
  <c r="K9" i="74"/>
  <c r="I9" i="74"/>
  <c r="G9" i="74"/>
  <c r="H9" i="74" s="1"/>
  <c r="F9" i="74"/>
  <c r="W8" i="74"/>
  <c r="R8" i="74"/>
  <c r="M8" i="74"/>
  <c r="I8" i="74"/>
  <c r="G8" i="74"/>
  <c r="H8" i="74" s="1"/>
  <c r="F8" i="74"/>
  <c r="E8" i="74"/>
  <c r="W7" i="74"/>
  <c r="R7" i="74"/>
  <c r="K7" i="74"/>
  <c r="M7" i="74" s="1"/>
  <c r="I7" i="74"/>
  <c r="H7" i="74"/>
  <c r="G7" i="74"/>
  <c r="F7" i="74"/>
  <c r="E7" i="74"/>
  <c r="X6" i="74"/>
  <c r="X33" i="74" s="1"/>
  <c r="V6" i="74"/>
  <c r="V33" i="74" s="1"/>
  <c r="U6" i="74"/>
  <c r="U33" i="74" s="1"/>
  <c r="T6" i="74"/>
  <c r="T33" i="74" s="1"/>
  <c r="S6" i="74"/>
  <c r="S33" i="74" s="1"/>
  <c r="Q6" i="74"/>
  <c r="R6" i="74" s="1"/>
  <c r="P6" i="74"/>
  <c r="P33" i="74" s="1"/>
  <c r="N6" i="74"/>
  <c r="N33" i="74" s="1"/>
  <c r="L6" i="74"/>
  <c r="L33" i="74" s="1"/>
  <c r="M33" i="74" s="1"/>
  <c r="K6" i="74"/>
  <c r="K33" i="74" s="1"/>
  <c r="J6" i="74"/>
  <c r="J33" i="74" s="1"/>
  <c r="I6" i="74"/>
  <c r="I33" i="74" s="1"/>
  <c r="F6" i="74"/>
  <c r="E33" i="74" l="1"/>
  <c r="W33" i="74"/>
  <c r="E11" i="74"/>
  <c r="H12" i="74"/>
  <c r="M6" i="74"/>
  <c r="G6" i="74"/>
  <c r="O6" i="74"/>
  <c r="O33" i="74" s="1"/>
  <c r="W6" i="74"/>
  <c r="G11" i="74"/>
  <c r="O11" i="74"/>
  <c r="R12" i="74"/>
  <c r="F21" i="74"/>
  <c r="F11" i="74" s="1"/>
  <c r="F33" i="74" s="1"/>
  <c r="Q33" i="74"/>
  <c r="R33" i="74" s="1"/>
  <c r="H21" i="74" l="1"/>
  <c r="G33" i="74"/>
  <c r="H33" i="74" s="1"/>
  <c r="H6" i="74"/>
  <c r="H11" i="74"/>
  <c r="W36" i="73" l="1"/>
  <c r="M36" i="73"/>
  <c r="H36" i="73"/>
  <c r="W35" i="73"/>
  <c r="M35" i="73"/>
  <c r="H35" i="73"/>
  <c r="W34" i="73"/>
  <c r="M34" i="73"/>
  <c r="H34" i="73"/>
  <c r="X33" i="73"/>
  <c r="T33" i="73"/>
  <c r="O33" i="73"/>
  <c r="J33" i="73"/>
  <c r="W32" i="73"/>
  <c r="M32" i="73"/>
  <c r="I32" i="73"/>
  <c r="H32" i="73"/>
  <c r="G32" i="73"/>
  <c r="F32" i="73"/>
  <c r="E32" i="73"/>
  <c r="W31" i="73"/>
  <c r="M31" i="73"/>
  <c r="I31" i="73"/>
  <c r="G31" i="73"/>
  <c r="H31" i="73" s="1"/>
  <c r="F31" i="73"/>
  <c r="E31" i="73"/>
  <c r="W30" i="73"/>
  <c r="M30" i="73"/>
  <c r="I30" i="73"/>
  <c r="G30" i="73"/>
  <c r="H30" i="73" s="1"/>
  <c r="F30" i="73"/>
  <c r="E30" i="73"/>
  <c r="W29" i="73"/>
  <c r="M29" i="73"/>
  <c r="I29" i="73"/>
  <c r="G29" i="73"/>
  <c r="H29" i="73" s="1"/>
  <c r="F29" i="73"/>
  <c r="E29" i="73"/>
  <c r="W28" i="73"/>
  <c r="M28" i="73"/>
  <c r="H28" i="73"/>
  <c r="W27" i="73"/>
  <c r="M27" i="73"/>
  <c r="I27" i="73"/>
  <c r="G27" i="73"/>
  <c r="H27" i="73" s="1"/>
  <c r="F27" i="73"/>
  <c r="E27" i="73"/>
  <c r="W26" i="73"/>
  <c r="M26" i="73"/>
  <c r="I26" i="73"/>
  <c r="G26" i="73"/>
  <c r="F26" i="73"/>
  <c r="H26" i="73" s="1"/>
  <c r="E26" i="73"/>
  <c r="W25" i="73"/>
  <c r="M25" i="73"/>
  <c r="I25" i="73"/>
  <c r="G25" i="73"/>
  <c r="H25" i="73" s="1"/>
  <c r="F25" i="73"/>
  <c r="E25" i="73"/>
  <c r="W24" i="73"/>
  <c r="M24" i="73"/>
  <c r="I24" i="73"/>
  <c r="H24" i="73"/>
  <c r="G24" i="73"/>
  <c r="F24" i="73"/>
  <c r="E24" i="73"/>
  <c r="W23" i="73"/>
  <c r="M23" i="73"/>
  <c r="I23" i="73"/>
  <c r="G23" i="73"/>
  <c r="H23" i="73" s="1"/>
  <c r="F23" i="73"/>
  <c r="E23" i="73"/>
  <c r="W22" i="73"/>
  <c r="M22" i="73"/>
  <c r="I22" i="73"/>
  <c r="G22" i="73"/>
  <c r="F22" i="73"/>
  <c r="H22" i="73" s="1"/>
  <c r="E22" i="73"/>
  <c r="W21" i="73"/>
  <c r="R21" i="73"/>
  <c r="M21" i="73"/>
  <c r="I21" i="73"/>
  <c r="G21" i="73"/>
  <c r="F21" i="73"/>
  <c r="H21" i="73" s="1"/>
  <c r="E21" i="73"/>
  <c r="W20" i="73"/>
  <c r="R20" i="73"/>
  <c r="M20" i="73"/>
  <c r="I20" i="73"/>
  <c r="G20" i="73"/>
  <c r="F20" i="73"/>
  <c r="H20" i="73" s="1"/>
  <c r="E20" i="73"/>
  <c r="W19" i="73"/>
  <c r="R19" i="73"/>
  <c r="M19" i="73"/>
  <c r="I19" i="73"/>
  <c r="G19" i="73"/>
  <c r="F19" i="73"/>
  <c r="H19" i="73" s="1"/>
  <c r="E19" i="73"/>
  <c r="W18" i="73"/>
  <c r="R18" i="73"/>
  <c r="M18" i="73"/>
  <c r="I18" i="73"/>
  <c r="G18" i="73"/>
  <c r="F18" i="73"/>
  <c r="H18" i="73" s="1"/>
  <c r="E18" i="73"/>
  <c r="W17" i="73"/>
  <c r="M17" i="73"/>
  <c r="I17" i="73"/>
  <c r="H17" i="73"/>
  <c r="G17" i="73"/>
  <c r="F17" i="73"/>
  <c r="E17" i="73"/>
  <c r="W16" i="73"/>
  <c r="R16" i="73"/>
  <c r="M16" i="73"/>
  <c r="I16" i="73"/>
  <c r="H16" i="73"/>
  <c r="G16" i="73"/>
  <c r="F16" i="73"/>
  <c r="E16" i="73"/>
  <c r="E11" i="73" s="1"/>
  <c r="W15" i="73"/>
  <c r="M15" i="73"/>
  <c r="I15" i="73"/>
  <c r="H15" i="73"/>
  <c r="G15" i="73"/>
  <c r="F15" i="73"/>
  <c r="E15" i="73"/>
  <c r="W14" i="73"/>
  <c r="M14" i="73"/>
  <c r="I14" i="73"/>
  <c r="G14" i="73"/>
  <c r="H14" i="73" s="1"/>
  <c r="F14" i="73"/>
  <c r="E14" i="73"/>
  <c r="W13" i="73"/>
  <c r="M13" i="73"/>
  <c r="I13" i="73"/>
  <c r="G13" i="73"/>
  <c r="F13" i="73"/>
  <c r="H13" i="73" s="1"/>
  <c r="E13" i="73"/>
  <c r="W12" i="73"/>
  <c r="R12" i="73"/>
  <c r="M12" i="73"/>
  <c r="I12" i="73"/>
  <c r="G12" i="73"/>
  <c r="F12" i="73"/>
  <c r="H12" i="73" s="1"/>
  <c r="E12" i="73"/>
  <c r="X11" i="73"/>
  <c r="V11" i="73"/>
  <c r="W11" i="73" s="1"/>
  <c r="U11" i="73"/>
  <c r="T11" i="73"/>
  <c r="S11" i="73"/>
  <c r="R11" i="73"/>
  <c r="Q11" i="73"/>
  <c r="P11" i="73"/>
  <c r="O11" i="73"/>
  <c r="M11" i="73"/>
  <c r="L11" i="73"/>
  <c r="K11" i="73"/>
  <c r="J11" i="73"/>
  <c r="W10" i="73"/>
  <c r="M10" i="73"/>
  <c r="I10" i="73"/>
  <c r="G10" i="73"/>
  <c r="H10" i="73" s="1"/>
  <c r="F10" i="73"/>
  <c r="E10" i="73"/>
  <c r="W9" i="73"/>
  <c r="R9" i="73"/>
  <c r="M9" i="73"/>
  <c r="I9" i="73"/>
  <c r="G9" i="73"/>
  <c r="H9" i="73" s="1"/>
  <c r="F9" i="73"/>
  <c r="E9" i="73"/>
  <c r="W8" i="73"/>
  <c r="M8" i="73"/>
  <c r="I8" i="73"/>
  <c r="G8" i="73"/>
  <c r="F8" i="73"/>
  <c r="F6" i="73" s="1"/>
  <c r="E8" i="73"/>
  <c r="W7" i="73"/>
  <c r="M7" i="73"/>
  <c r="I7" i="73"/>
  <c r="H7" i="73"/>
  <c r="G7" i="73"/>
  <c r="F7" i="73"/>
  <c r="E7" i="73"/>
  <c r="X6" i="73"/>
  <c r="V6" i="73"/>
  <c r="V33" i="73" s="1"/>
  <c r="U6" i="73"/>
  <c r="U33" i="73" s="1"/>
  <c r="T6" i="73"/>
  <c r="S6" i="73"/>
  <c r="S33" i="73" s="1"/>
  <c r="Q6" i="73"/>
  <c r="R6" i="73" s="1"/>
  <c r="P6" i="73"/>
  <c r="P33" i="73" s="1"/>
  <c r="O6" i="73"/>
  <c r="N6" i="73"/>
  <c r="M6" i="73"/>
  <c r="L6" i="73"/>
  <c r="L33" i="73" s="1"/>
  <c r="K6" i="73"/>
  <c r="K33" i="73" s="1"/>
  <c r="J6" i="73"/>
  <c r="I6" i="73"/>
  <c r="E6" i="73"/>
  <c r="E33" i="73" s="1"/>
  <c r="M33" i="73" l="1"/>
  <c r="W33" i="73"/>
  <c r="G6" i="73"/>
  <c r="W6" i="73"/>
  <c r="H8" i="73"/>
  <c r="F11" i="73"/>
  <c r="F33" i="73" s="1"/>
  <c r="Q33" i="73"/>
  <c r="G11" i="73"/>
  <c r="H11" i="73" l="1"/>
  <c r="H6" i="73"/>
  <c r="G33" i="73"/>
  <c r="H33" i="73" s="1"/>
  <c r="W36" i="72" l="1"/>
  <c r="R36" i="72"/>
  <c r="M36" i="72"/>
  <c r="H36" i="72"/>
  <c r="W35" i="72"/>
  <c r="R35" i="72"/>
  <c r="M35" i="72"/>
  <c r="H35" i="72"/>
  <c r="W34" i="72"/>
  <c r="R34" i="72"/>
  <c r="M34" i="72"/>
  <c r="H34" i="72"/>
  <c r="W32" i="72"/>
  <c r="R32" i="72"/>
  <c r="M32" i="72"/>
  <c r="I32" i="72"/>
  <c r="G32" i="72"/>
  <c r="H32" i="72" s="1"/>
  <c r="F32" i="72"/>
  <c r="E32" i="72"/>
  <c r="W31" i="72"/>
  <c r="R31" i="72"/>
  <c r="M31" i="72"/>
  <c r="I31" i="72"/>
  <c r="G31" i="72"/>
  <c r="H31" i="72" s="1"/>
  <c r="F31" i="72"/>
  <c r="E31" i="72"/>
  <c r="W30" i="72"/>
  <c r="R30" i="72"/>
  <c r="M30" i="72"/>
  <c r="I30" i="72"/>
  <c r="G30" i="72"/>
  <c r="H30" i="72" s="1"/>
  <c r="F30" i="72"/>
  <c r="E30" i="72"/>
  <c r="W29" i="72"/>
  <c r="R29" i="72"/>
  <c r="M29" i="72"/>
  <c r="I29" i="72"/>
  <c r="G29" i="72"/>
  <c r="H29" i="72" s="1"/>
  <c r="F29" i="72"/>
  <c r="E29" i="72"/>
  <c r="W28" i="72"/>
  <c r="R28" i="72"/>
  <c r="M28" i="72"/>
  <c r="I28" i="72"/>
  <c r="G28" i="72"/>
  <c r="H28" i="72" s="1"/>
  <c r="F28" i="72"/>
  <c r="E28" i="72"/>
  <c r="W27" i="72"/>
  <c r="R27" i="72"/>
  <c r="M27" i="72"/>
  <c r="I27" i="72"/>
  <c r="G27" i="72"/>
  <c r="H27" i="72" s="1"/>
  <c r="F27" i="72"/>
  <c r="E27" i="72"/>
  <c r="W26" i="72"/>
  <c r="R26" i="72"/>
  <c r="M26" i="72"/>
  <c r="I26" i="72"/>
  <c r="G26" i="72"/>
  <c r="H26" i="72" s="1"/>
  <c r="F26" i="72"/>
  <c r="E26" i="72"/>
  <c r="W25" i="72"/>
  <c r="R25" i="72"/>
  <c r="M25" i="72"/>
  <c r="I25" i="72"/>
  <c r="G25" i="72"/>
  <c r="H25" i="72" s="1"/>
  <c r="F25" i="72"/>
  <c r="E25" i="72"/>
  <c r="W24" i="72"/>
  <c r="R24" i="72"/>
  <c r="M24" i="72"/>
  <c r="I24" i="72"/>
  <c r="G24" i="72"/>
  <c r="H24" i="72" s="1"/>
  <c r="F24" i="72"/>
  <c r="E24" i="72"/>
  <c r="W23" i="72"/>
  <c r="R23" i="72"/>
  <c r="M23" i="72"/>
  <c r="I23" i="72"/>
  <c r="G23" i="72"/>
  <c r="H23" i="72" s="1"/>
  <c r="F23" i="72"/>
  <c r="E23" i="72"/>
  <c r="W22" i="72"/>
  <c r="R22" i="72"/>
  <c r="M22" i="72"/>
  <c r="I22" i="72"/>
  <c r="G22" i="72"/>
  <c r="H22" i="72" s="1"/>
  <c r="F22" i="72"/>
  <c r="E22" i="72"/>
  <c r="W21" i="72"/>
  <c r="R21" i="72"/>
  <c r="M21" i="72"/>
  <c r="I21" i="72"/>
  <c r="G21" i="72"/>
  <c r="H21" i="72" s="1"/>
  <c r="F21" i="72"/>
  <c r="E21" i="72"/>
  <c r="W20" i="72"/>
  <c r="R20" i="72"/>
  <c r="M20" i="72"/>
  <c r="I20" i="72"/>
  <c r="G20" i="72"/>
  <c r="H20" i="72" s="1"/>
  <c r="F20" i="72"/>
  <c r="E20" i="72"/>
  <c r="W19" i="72"/>
  <c r="R19" i="72"/>
  <c r="M19" i="72"/>
  <c r="I19" i="72"/>
  <c r="G19" i="72"/>
  <c r="H19" i="72" s="1"/>
  <c r="F19" i="72"/>
  <c r="E19" i="72"/>
  <c r="W18" i="72"/>
  <c r="R18" i="72"/>
  <c r="M18" i="72"/>
  <c r="I18" i="72"/>
  <c r="G18" i="72"/>
  <c r="H18" i="72" s="1"/>
  <c r="F18" i="72"/>
  <c r="E18" i="72"/>
  <c r="W17" i="72"/>
  <c r="R17" i="72"/>
  <c r="M17" i="72"/>
  <c r="I17" i="72"/>
  <c r="G17" i="72"/>
  <c r="H17" i="72" s="1"/>
  <c r="F17" i="72"/>
  <c r="E17" i="72"/>
  <c r="W16" i="72"/>
  <c r="R16" i="72"/>
  <c r="M16" i="72"/>
  <c r="I16" i="72"/>
  <c r="G16" i="72"/>
  <c r="H16" i="72" s="1"/>
  <c r="F16" i="72"/>
  <c r="E16" i="72"/>
  <c r="W15" i="72"/>
  <c r="R15" i="72"/>
  <c r="M15" i="72"/>
  <c r="I15" i="72"/>
  <c r="G15" i="72"/>
  <c r="H15" i="72" s="1"/>
  <c r="F15" i="72"/>
  <c r="E15" i="72"/>
  <c r="W14" i="72"/>
  <c r="R14" i="72"/>
  <c r="M14" i="72"/>
  <c r="I14" i="72"/>
  <c r="G14" i="72"/>
  <c r="H14" i="72" s="1"/>
  <c r="F14" i="72"/>
  <c r="E14" i="72"/>
  <c r="W13" i="72"/>
  <c r="R13" i="72"/>
  <c r="M13" i="72"/>
  <c r="I13" i="72"/>
  <c r="G13" i="72"/>
  <c r="H13" i="72" s="1"/>
  <c r="F13" i="72"/>
  <c r="E13" i="72"/>
  <c r="W12" i="72"/>
  <c r="R12" i="72"/>
  <c r="M12" i="72"/>
  <c r="I12" i="72"/>
  <c r="G12" i="72"/>
  <c r="H12" i="72" s="1"/>
  <c r="F12" i="72"/>
  <c r="E12" i="72"/>
  <c r="X11" i="72"/>
  <c r="V11" i="72"/>
  <c r="W11" i="72" s="1"/>
  <c r="U11" i="72"/>
  <c r="T11" i="72"/>
  <c r="S11" i="72"/>
  <c r="R11" i="72"/>
  <c r="Q11" i="72"/>
  <c r="P11" i="72"/>
  <c r="O11" i="72"/>
  <c r="N11" i="72"/>
  <c r="L11" i="72"/>
  <c r="K11" i="72"/>
  <c r="M11" i="72" s="1"/>
  <c r="J11" i="72"/>
  <c r="I11" i="72"/>
  <c r="G11" i="72"/>
  <c r="H11" i="72" s="1"/>
  <c r="F11" i="72"/>
  <c r="E11" i="72"/>
  <c r="W10" i="72"/>
  <c r="R10" i="72"/>
  <c r="M10" i="72"/>
  <c r="I10" i="72"/>
  <c r="G10" i="72"/>
  <c r="H10" i="72" s="1"/>
  <c r="F10" i="72"/>
  <c r="E10" i="72"/>
  <c r="W9" i="72"/>
  <c r="R9" i="72"/>
  <c r="M9" i="72"/>
  <c r="I9" i="72"/>
  <c r="G9" i="72"/>
  <c r="H9" i="72" s="1"/>
  <c r="F9" i="72"/>
  <c r="E9" i="72"/>
  <c r="W8" i="72"/>
  <c r="R8" i="72"/>
  <c r="M8" i="72"/>
  <c r="I8" i="72"/>
  <c r="G8" i="72"/>
  <c r="H8" i="72" s="1"/>
  <c r="F8" i="72"/>
  <c r="E8" i="72"/>
  <c r="W7" i="72"/>
  <c r="R7" i="72"/>
  <c r="M7" i="72"/>
  <c r="I7" i="72"/>
  <c r="G7" i="72"/>
  <c r="H7" i="72" s="1"/>
  <c r="F7" i="72"/>
  <c r="E7" i="72"/>
  <c r="X6" i="72"/>
  <c r="X33" i="72" s="1"/>
  <c r="V6" i="72"/>
  <c r="W6" i="72" s="1"/>
  <c r="U6" i="72"/>
  <c r="U33" i="72" s="1"/>
  <c r="T6" i="72"/>
  <c r="T33" i="72" s="1"/>
  <c r="S6" i="72"/>
  <c r="S33" i="72" s="1"/>
  <c r="R6" i="72"/>
  <c r="Q6" i="72"/>
  <c r="Q33" i="72" s="1"/>
  <c r="R33" i="72" s="1"/>
  <c r="P6" i="72"/>
  <c r="P33" i="72" s="1"/>
  <c r="O6" i="72"/>
  <c r="O33" i="72" s="1"/>
  <c r="N6" i="72"/>
  <c r="N33" i="72" s="1"/>
  <c r="L6" i="72"/>
  <c r="L33" i="72" s="1"/>
  <c r="M33" i="72" s="1"/>
  <c r="K6" i="72"/>
  <c r="K33" i="72" s="1"/>
  <c r="J6" i="72"/>
  <c r="J33" i="72" s="1"/>
  <c r="I6" i="72"/>
  <c r="I33" i="72" s="1"/>
  <c r="G6" i="72"/>
  <c r="H6" i="72" s="1"/>
  <c r="F6" i="72"/>
  <c r="F33" i="72" s="1"/>
  <c r="E6" i="72"/>
  <c r="E33" i="72" s="1"/>
  <c r="M6" i="72" l="1"/>
  <c r="V33" i="72"/>
  <c r="W33" i="72" s="1"/>
  <c r="G33" i="72"/>
  <c r="H33" i="72" s="1"/>
  <c r="R36" i="71" l="1"/>
  <c r="M36" i="71"/>
  <c r="H36" i="71"/>
  <c r="R35" i="71"/>
  <c r="M35" i="71"/>
  <c r="H35" i="71"/>
  <c r="R34" i="71"/>
  <c r="H34" i="71"/>
  <c r="I29" i="71"/>
  <c r="G29" i="71"/>
  <c r="F29" i="71"/>
  <c r="E29" i="71"/>
  <c r="R28" i="71"/>
  <c r="M28" i="71"/>
  <c r="H28" i="71"/>
  <c r="W26" i="71"/>
  <c r="M26" i="71"/>
  <c r="I26" i="71"/>
  <c r="H26" i="71"/>
  <c r="G26" i="71"/>
  <c r="F26" i="71"/>
  <c r="E26" i="71"/>
  <c r="M22" i="71"/>
  <c r="I22" i="71"/>
  <c r="G22" i="71"/>
  <c r="H22" i="71" s="1"/>
  <c r="F22" i="71"/>
  <c r="E22" i="71"/>
  <c r="W21" i="71"/>
  <c r="R21" i="71"/>
  <c r="M21" i="71"/>
  <c r="I21" i="71"/>
  <c r="G21" i="71"/>
  <c r="H21" i="71" s="1"/>
  <c r="F21" i="71"/>
  <c r="E21" i="71"/>
  <c r="W20" i="71"/>
  <c r="R20" i="71"/>
  <c r="M20" i="71"/>
  <c r="G20" i="71"/>
  <c r="H20" i="71" s="1"/>
  <c r="F20" i="71"/>
  <c r="E20" i="71"/>
  <c r="W19" i="71"/>
  <c r="R19" i="71"/>
  <c r="M19" i="71"/>
  <c r="I19" i="71"/>
  <c r="G19" i="71"/>
  <c r="H19" i="71" s="1"/>
  <c r="F19" i="71"/>
  <c r="E19" i="71"/>
  <c r="W18" i="71"/>
  <c r="R18" i="71"/>
  <c r="M18" i="71"/>
  <c r="H18" i="71"/>
  <c r="G18" i="71"/>
  <c r="F18" i="71"/>
  <c r="E18" i="71"/>
  <c r="W17" i="71"/>
  <c r="M17" i="71"/>
  <c r="I17" i="71"/>
  <c r="G17" i="71"/>
  <c r="H17" i="71" s="1"/>
  <c r="F17" i="71"/>
  <c r="E17" i="71"/>
  <c r="R16" i="71"/>
  <c r="M16" i="71"/>
  <c r="I16" i="71"/>
  <c r="G16" i="71"/>
  <c r="H16" i="71" s="1"/>
  <c r="F16" i="71"/>
  <c r="E16" i="71"/>
  <c r="W15" i="71"/>
  <c r="M15" i="71"/>
  <c r="I15" i="71"/>
  <c r="I11" i="71" s="1"/>
  <c r="G15" i="71"/>
  <c r="H15" i="71" s="1"/>
  <c r="F15" i="71"/>
  <c r="E15" i="71"/>
  <c r="E11" i="71" s="1"/>
  <c r="M14" i="71"/>
  <c r="I14" i="71"/>
  <c r="G14" i="71"/>
  <c r="H14" i="71" s="1"/>
  <c r="F14" i="71"/>
  <c r="E14" i="71"/>
  <c r="W13" i="71"/>
  <c r="M13" i="71"/>
  <c r="I13" i="71"/>
  <c r="G13" i="71"/>
  <c r="H13" i="71" s="1"/>
  <c r="F13" i="71"/>
  <c r="E13" i="71"/>
  <c r="W12" i="71"/>
  <c r="R12" i="71"/>
  <c r="M12" i="71"/>
  <c r="I12" i="71"/>
  <c r="G12" i="71"/>
  <c r="H12" i="71" s="1"/>
  <c r="F12" i="71"/>
  <c r="E12" i="71"/>
  <c r="X11" i="71"/>
  <c r="V11" i="71"/>
  <c r="W11" i="71" s="1"/>
  <c r="U11" i="71"/>
  <c r="U33" i="71" s="1"/>
  <c r="T11" i="71"/>
  <c r="S11" i="71"/>
  <c r="R11" i="71"/>
  <c r="Q11" i="71"/>
  <c r="P11" i="71"/>
  <c r="P33" i="71" s="1"/>
  <c r="O11" i="71"/>
  <c r="N11" i="71"/>
  <c r="L11" i="71"/>
  <c r="L33" i="71" s="1"/>
  <c r="K11" i="71"/>
  <c r="J11" i="71"/>
  <c r="F11" i="71"/>
  <c r="R9" i="71"/>
  <c r="M9" i="71"/>
  <c r="I9" i="71"/>
  <c r="I6" i="71" s="1"/>
  <c r="I33" i="71" s="1"/>
  <c r="G9" i="71"/>
  <c r="H9" i="71" s="1"/>
  <c r="F9" i="71"/>
  <c r="E9" i="71"/>
  <c r="E6" i="71" s="1"/>
  <c r="E33" i="71" s="1"/>
  <c r="M8" i="71"/>
  <c r="I8" i="71"/>
  <c r="G8" i="71"/>
  <c r="H8" i="71" s="1"/>
  <c r="F8" i="71"/>
  <c r="E8" i="71"/>
  <c r="W7" i="71"/>
  <c r="M7" i="71"/>
  <c r="I7" i="71"/>
  <c r="G7" i="71"/>
  <c r="H7" i="71" s="1"/>
  <c r="F7" i="71"/>
  <c r="F6" i="71" s="1"/>
  <c r="F33" i="71" s="1"/>
  <c r="E7" i="71"/>
  <c r="X6" i="71"/>
  <c r="X33" i="71" s="1"/>
  <c r="V6" i="71"/>
  <c r="V33" i="71" s="1"/>
  <c r="W33" i="71" s="1"/>
  <c r="T6" i="71"/>
  <c r="T33" i="71" s="1"/>
  <c r="S6" i="71"/>
  <c r="S33" i="71" s="1"/>
  <c r="Q6" i="71"/>
  <c r="R6" i="71" s="1"/>
  <c r="O6" i="71"/>
  <c r="O33" i="71" s="1"/>
  <c r="N6" i="71"/>
  <c r="N33" i="71" s="1"/>
  <c r="K6" i="71"/>
  <c r="M6" i="71" s="1"/>
  <c r="J6" i="71"/>
  <c r="J33" i="71" s="1"/>
  <c r="G6" i="71"/>
  <c r="W6" i="71" l="1"/>
  <c r="G11" i="71"/>
  <c r="H11" i="71" s="1"/>
  <c r="M11" i="71"/>
  <c r="K33" i="71"/>
  <c r="H6" i="71"/>
  <c r="G33" i="71" l="1"/>
  <c r="H36" i="70" l="1"/>
  <c r="H35" i="70"/>
  <c r="S34" i="70"/>
  <c r="O34" i="70"/>
  <c r="W32" i="70"/>
  <c r="R32" i="70"/>
  <c r="M32" i="70"/>
  <c r="I32" i="70"/>
  <c r="G32" i="70"/>
  <c r="H32" i="70" s="1"/>
  <c r="F32" i="70"/>
  <c r="E32" i="70"/>
  <c r="W31" i="70"/>
  <c r="R31" i="70"/>
  <c r="M31" i="70"/>
  <c r="I31" i="70"/>
  <c r="G31" i="70"/>
  <c r="H31" i="70" s="1"/>
  <c r="F31" i="70"/>
  <c r="E31" i="70"/>
  <c r="W30" i="70"/>
  <c r="R30" i="70"/>
  <c r="M30" i="70"/>
  <c r="I30" i="70"/>
  <c r="G30" i="70"/>
  <c r="H30" i="70" s="1"/>
  <c r="F30" i="70"/>
  <c r="E30" i="70"/>
  <c r="W29" i="70"/>
  <c r="R29" i="70"/>
  <c r="M29" i="70"/>
  <c r="I29" i="70"/>
  <c r="G29" i="70"/>
  <c r="H29" i="70" s="1"/>
  <c r="F29" i="70"/>
  <c r="E29" i="70"/>
  <c r="W28" i="70"/>
  <c r="Q28" i="70"/>
  <c r="R28" i="70" s="1"/>
  <c r="P28" i="70"/>
  <c r="F28" i="70" s="1"/>
  <c r="F11" i="70" s="1"/>
  <c r="M28" i="70"/>
  <c r="I28" i="70"/>
  <c r="E28" i="70"/>
  <c r="W27" i="70"/>
  <c r="R27" i="70"/>
  <c r="M27" i="70"/>
  <c r="I27" i="70"/>
  <c r="G27" i="70"/>
  <c r="H27" i="70" s="1"/>
  <c r="F27" i="70"/>
  <c r="E27" i="70"/>
  <c r="W26" i="70"/>
  <c r="R26" i="70"/>
  <c r="M26" i="70"/>
  <c r="I26" i="70"/>
  <c r="G26" i="70"/>
  <c r="H26" i="70" s="1"/>
  <c r="F26" i="70"/>
  <c r="E26" i="70"/>
  <c r="W25" i="70"/>
  <c r="R25" i="70"/>
  <c r="M25" i="70"/>
  <c r="I25" i="70"/>
  <c r="G25" i="70"/>
  <c r="H25" i="70" s="1"/>
  <c r="F25" i="70"/>
  <c r="E25" i="70"/>
  <c r="W24" i="70"/>
  <c r="R24" i="70"/>
  <c r="M24" i="70"/>
  <c r="I24" i="70"/>
  <c r="G24" i="70"/>
  <c r="H24" i="70" s="1"/>
  <c r="F24" i="70"/>
  <c r="E24" i="70"/>
  <c r="W23" i="70"/>
  <c r="R23" i="70"/>
  <c r="M23" i="70"/>
  <c r="I23" i="70"/>
  <c r="G23" i="70"/>
  <c r="H23" i="70" s="1"/>
  <c r="F23" i="70"/>
  <c r="E23" i="70"/>
  <c r="W22" i="70"/>
  <c r="R22" i="70"/>
  <c r="M22" i="70"/>
  <c r="I22" i="70"/>
  <c r="G22" i="70"/>
  <c r="H22" i="70" s="1"/>
  <c r="F22" i="70"/>
  <c r="E22" i="70"/>
  <c r="W21" i="70"/>
  <c r="R21" i="70"/>
  <c r="Q21" i="70"/>
  <c r="P21" i="70"/>
  <c r="M21" i="70"/>
  <c r="I21" i="70"/>
  <c r="G21" i="70"/>
  <c r="H21" i="70" s="1"/>
  <c r="F21" i="70"/>
  <c r="E21" i="70"/>
  <c r="V20" i="70"/>
  <c r="W20" i="70" s="1"/>
  <c r="U20" i="70"/>
  <c r="U11" i="70" s="1"/>
  <c r="T20" i="70"/>
  <c r="T11" i="70" s="1"/>
  <c r="Q20" i="70"/>
  <c r="R20" i="70" s="1"/>
  <c r="P20" i="70"/>
  <c r="O20" i="70"/>
  <c r="E20" i="70" s="1"/>
  <c r="N20" i="70"/>
  <c r="L20" i="70"/>
  <c r="M20" i="70" s="1"/>
  <c r="K20" i="70"/>
  <c r="I20" i="70"/>
  <c r="G20" i="70"/>
  <c r="H20" i="70" s="1"/>
  <c r="F20" i="70"/>
  <c r="W19" i="70"/>
  <c r="Q19" i="70"/>
  <c r="R19" i="70" s="1"/>
  <c r="P19" i="70"/>
  <c r="P34" i="70" s="1"/>
  <c r="M19" i="70"/>
  <c r="I19" i="70"/>
  <c r="I34" i="70" s="1"/>
  <c r="F19" i="70"/>
  <c r="F34" i="70" s="1"/>
  <c r="E19" i="70"/>
  <c r="E34" i="70" s="1"/>
  <c r="W18" i="70"/>
  <c r="Q18" i="70"/>
  <c r="R18" i="70" s="1"/>
  <c r="P18" i="70"/>
  <c r="M18" i="70"/>
  <c r="I18" i="70"/>
  <c r="G18" i="70"/>
  <c r="H18" i="70" s="1"/>
  <c r="F18" i="70"/>
  <c r="E18" i="70"/>
  <c r="W17" i="70"/>
  <c r="R17" i="70"/>
  <c r="M17" i="70"/>
  <c r="I17" i="70"/>
  <c r="G17" i="70"/>
  <c r="H17" i="70" s="1"/>
  <c r="F17" i="70"/>
  <c r="E17" i="70"/>
  <c r="W16" i="70"/>
  <c r="Q16" i="70"/>
  <c r="R16" i="70" s="1"/>
  <c r="P16" i="70"/>
  <c r="M16" i="70"/>
  <c r="I16" i="70"/>
  <c r="F16" i="70"/>
  <c r="E16" i="70"/>
  <c r="W15" i="70"/>
  <c r="R15" i="70"/>
  <c r="M15" i="70"/>
  <c r="I15" i="70"/>
  <c r="H15" i="70"/>
  <c r="G15" i="70"/>
  <c r="F15" i="70"/>
  <c r="E15" i="70"/>
  <c r="W14" i="70"/>
  <c r="R14" i="70"/>
  <c r="M14" i="70"/>
  <c r="I14" i="70"/>
  <c r="H14" i="70"/>
  <c r="G14" i="70"/>
  <c r="F14" i="70"/>
  <c r="E14" i="70"/>
  <c r="W13" i="70"/>
  <c r="R13" i="70"/>
  <c r="M13" i="70"/>
  <c r="I13" i="70"/>
  <c r="I11" i="70" s="1"/>
  <c r="H13" i="70"/>
  <c r="G13" i="70"/>
  <c r="F13" i="70"/>
  <c r="E13" i="70"/>
  <c r="E11" i="70" s="1"/>
  <c r="W12" i="70"/>
  <c r="Q12" i="70"/>
  <c r="R12" i="70" s="1"/>
  <c r="P12" i="70"/>
  <c r="P11" i="70" s="1"/>
  <c r="M12" i="70"/>
  <c r="I12" i="70"/>
  <c r="G12" i="70"/>
  <c r="H12" i="70" s="1"/>
  <c r="F12" i="70"/>
  <c r="E12" i="70"/>
  <c r="X11" i="70"/>
  <c r="V11" i="70"/>
  <c r="W11" i="70" s="1"/>
  <c r="S11" i="70"/>
  <c r="O11" i="70"/>
  <c r="N11" i="70"/>
  <c r="L11" i="70"/>
  <c r="M11" i="70" s="1"/>
  <c r="K11" i="70"/>
  <c r="J11" i="70"/>
  <c r="W10" i="70"/>
  <c r="R10" i="70"/>
  <c r="M10" i="70"/>
  <c r="I10" i="70"/>
  <c r="G10" i="70"/>
  <c r="H10" i="70" s="1"/>
  <c r="F10" i="70"/>
  <c r="E10" i="70"/>
  <c r="W9" i="70"/>
  <c r="Q9" i="70"/>
  <c r="Q6" i="70" s="1"/>
  <c r="P9" i="70"/>
  <c r="M9" i="70"/>
  <c r="I9" i="70"/>
  <c r="F9" i="70"/>
  <c r="E9" i="70"/>
  <c r="W8" i="70"/>
  <c r="R8" i="70"/>
  <c r="N8" i="70"/>
  <c r="M8" i="70"/>
  <c r="I8" i="70"/>
  <c r="I6" i="70" s="1"/>
  <c r="G8" i="70"/>
  <c r="H8" i="70" s="1"/>
  <c r="F8" i="70"/>
  <c r="E8" i="70"/>
  <c r="E6" i="70" s="1"/>
  <c r="V7" i="70"/>
  <c r="W7" i="70" s="1"/>
  <c r="U7" i="70"/>
  <c r="U6" i="70" s="1"/>
  <c r="R7" i="70"/>
  <c r="N7" i="70"/>
  <c r="L7" i="70"/>
  <c r="M7" i="70" s="1"/>
  <c r="K7" i="70"/>
  <c r="F7" i="70" s="1"/>
  <c r="F6" i="70" s="1"/>
  <c r="F33" i="70" s="1"/>
  <c r="J7" i="70"/>
  <c r="I7" i="70"/>
  <c r="G7" i="70"/>
  <c r="E7" i="70"/>
  <c r="X6" i="70"/>
  <c r="X33" i="70" s="1"/>
  <c r="V6" i="70"/>
  <c r="V33" i="70" s="1"/>
  <c r="T6" i="70"/>
  <c r="T33" i="70" s="1"/>
  <c r="S6" i="70"/>
  <c r="S33" i="70" s="1"/>
  <c r="P6" i="70"/>
  <c r="O6" i="70"/>
  <c r="O33" i="70" s="1"/>
  <c r="N6" i="70"/>
  <c r="N33" i="70" s="1"/>
  <c r="L6" i="70"/>
  <c r="M6" i="70" s="1"/>
  <c r="K6" i="70"/>
  <c r="K33" i="70" s="1"/>
  <c r="J6" i="70"/>
  <c r="J33" i="70" s="1"/>
  <c r="E33" i="70" l="1"/>
  <c r="P33" i="70"/>
  <c r="R6" i="70"/>
  <c r="W6" i="70"/>
  <c r="U33" i="70"/>
  <c r="W33" i="70" s="1"/>
  <c r="H7" i="70"/>
  <c r="I33" i="70"/>
  <c r="G9" i="70"/>
  <c r="Q11" i="70"/>
  <c r="R11" i="70" s="1"/>
  <c r="G16" i="70"/>
  <c r="G19" i="70"/>
  <c r="L33" i="70"/>
  <c r="M33" i="70" s="1"/>
  <c r="Q34" i="70"/>
  <c r="G28" i="70"/>
  <c r="H28" i="70" s="1"/>
  <c r="R9" i="70"/>
  <c r="G6" i="70" l="1"/>
  <c r="H9" i="70"/>
  <c r="G11" i="70"/>
  <c r="H11" i="70" s="1"/>
  <c r="H16" i="70"/>
  <c r="Q33" i="70"/>
  <c r="R33" i="70" s="1"/>
  <c r="G34" i="70"/>
  <c r="H34" i="70" s="1"/>
  <c r="H19" i="70"/>
  <c r="G33" i="70" l="1"/>
  <c r="H33" i="70" s="1"/>
  <c r="H6" i="70"/>
  <c r="R36" i="69"/>
  <c r="H36" i="69"/>
  <c r="R35" i="69"/>
  <c r="H35" i="69"/>
  <c r="R34" i="69"/>
  <c r="H34" i="69"/>
  <c r="I32" i="69"/>
  <c r="G32" i="69"/>
  <c r="F32" i="69"/>
  <c r="E32" i="69"/>
  <c r="I31" i="69"/>
  <c r="G31" i="69"/>
  <c r="F31" i="69"/>
  <c r="E31" i="69"/>
  <c r="I30" i="69"/>
  <c r="G30" i="69"/>
  <c r="F30" i="69"/>
  <c r="E30" i="69"/>
  <c r="M29" i="69"/>
  <c r="I29" i="69"/>
  <c r="G29" i="69"/>
  <c r="F29" i="69"/>
  <c r="H29" i="69" s="1"/>
  <c r="E29" i="69"/>
  <c r="W28" i="69"/>
  <c r="R28" i="69"/>
  <c r="M28" i="69"/>
  <c r="I28" i="69"/>
  <c r="G28" i="69"/>
  <c r="H28" i="69" s="1"/>
  <c r="F28" i="69"/>
  <c r="M27" i="69"/>
  <c r="I27" i="69"/>
  <c r="G27" i="69"/>
  <c r="H27" i="69" s="1"/>
  <c r="F27" i="69"/>
  <c r="E27" i="69"/>
  <c r="W26" i="69"/>
  <c r="M26" i="69"/>
  <c r="I26" i="69"/>
  <c r="G26" i="69"/>
  <c r="H26" i="69" s="1"/>
  <c r="F26" i="69"/>
  <c r="E26" i="69"/>
  <c r="M25" i="69"/>
  <c r="I25" i="69"/>
  <c r="G25" i="69"/>
  <c r="H25" i="69" s="1"/>
  <c r="F25" i="69"/>
  <c r="E25" i="69"/>
  <c r="I24" i="69"/>
  <c r="G24" i="69"/>
  <c r="F24" i="69"/>
  <c r="E24" i="69"/>
  <c r="M23" i="69"/>
  <c r="I23" i="69"/>
  <c r="G23" i="69"/>
  <c r="H23" i="69" s="1"/>
  <c r="F23" i="69"/>
  <c r="E23" i="69"/>
  <c r="I22" i="69"/>
  <c r="G22" i="69"/>
  <c r="F22" i="69"/>
  <c r="E22" i="69"/>
  <c r="W21" i="69"/>
  <c r="R21" i="69"/>
  <c r="M21" i="69"/>
  <c r="I21" i="69"/>
  <c r="G21" i="69"/>
  <c r="H21" i="69" s="1"/>
  <c r="F21" i="69"/>
  <c r="E21" i="69"/>
  <c r="W20" i="69"/>
  <c r="Q20" i="69"/>
  <c r="R20" i="69" s="1"/>
  <c r="M20" i="69"/>
  <c r="I20" i="69"/>
  <c r="G20" i="69"/>
  <c r="H20" i="69" s="1"/>
  <c r="F20" i="69"/>
  <c r="E20" i="69"/>
  <c r="W19" i="69"/>
  <c r="R19" i="69"/>
  <c r="M19" i="69"/>
  <c r="I19" i="69"/>
  <c r="G19" i="69"/>
  <c r="H19" i="69" s="1"/>
  <c r="F19" i="69"/>
  <c r="E19" i="69"/>
  <c r="W18" i="69"/>
  <c r="R18" i="69"/>
  <c r="M18" i="69"/>
  <c r="I18" i="69"/>
  <c r="G18" i="69"/>
  <c r="H18" i="69" s="1"/>
  <c r="F18" i="69"/>
  <c r="E18" i="69"/>
  <c r="M17" i="69"/>
  <c r="I17" i="69"/>
  <c r="H17" i="69"/>
  <c r="G17" i="69"/>
  <c r="F17" i="69"/>
  <c r="E17" i="69"/>
  <c r="R16" i="69"/>
  <c r="M16" i="69"/>
  <c r="I16" i="69"/>
  <c r="G16" i="69"/>
  <c r="H16" i="69" s="1"/>
  <c r="F16" i="69"/>
  <c r="E16" i="69"/>
  <c r="W15" i="69"/>
  <c r="M15" i="69"/>
  <c r="I15" i="69"/>
  <c r="G15" i="69"/>
  <c r="H15" i="69" s="1"/>
  <c r="F15" i="69"/>
  <c r="E15" i="69"/>
  <c r="I14" i="69"/>
  <c r="G14" i="69"/>
  <c r="G11" i="69" s="1"/>
  <c r="H11" i="69" s="1"/>
  <c r="F14" i="69"/>
  <c r="E14" i="69"/>
  <c r="W13" i="69"/>
  <c r="M13" i="69"/>
  <c r="I13" i="69"/>
  <c r="G13" i="69"/>
  <c r="F13" i="69"/>
  <c r="H13" i="69" s="1"/>
  <c r="E13" i="69"/>
  <c r="W12" i="69"/>
  <c r="R12" i="69"/>
  <c r="M12" i="69"/>
  <c r="I12" i="69"/>
  <c r="G12" i="69"/>
  <c r="H12" i="69" s="1"/>
  <c r="F12" i="69"/>
  <c r="E12" i="69"/>
  <c r="X11" i="69"/>
  <c r="V11" i="69"/>
  <c r="W11" i="69" s="1"/>
  <c r="U11" i="69"/>
  <c r="T11" i="69"/>
  <c r="S11" i="69"/>
  <c r="Q11" i="69"/>
  <c r="R11" i="69" s="1"/>
  <c r="P11" i="69"/>
  <c r="O11" i="69"/>
  <c r="N11" i="69"/>
  <c r="M11" i="69"/>
  <c r="L11" i="69"/>
  <c r="K11" i="69"/>
  <c r="J11" i="69"/>
  <c r="I11" i="69"/>
  <c r="F11" i="69"/>
  <c r="E11" i="69"/>
  <c r="I10" i="69"/>
  <c r="G10" i="69"/>
  <c r="F10" i="69"/>
  <c r="E10" i="69"/>
  <c r="R9" i="69"/>
  <c r="M9" i="69"/>
  <c r="I9" i="69"/>
  <c r="H9" i="69"/>
  <c r="G9" i="69"/>
  <c r="F9" i="69"/>
  <c r="E9" i="69"/>
  <c r="I8" i="69"/>
  <c r="I6" i="69" s="1"/>
  <c r="I33" i="69" s="1"/>
  <c r="G8" i="69"/>
  <c r="F8" i="69"/>
  <c r="E8" i="69"/>
  <c r="E6" i="69" s="1"/>
  <c r="E33" i="69" s="1"/>
  <c r="W7" i="69"/>
  <c r="M7" i="69"/>
  <c r="I7" i="69"/>
  <c r="G7" i="69"/>
  <c r="H7" i="69" s="1"/>
  <c r="F7" i="69"/>
  <c r="E7" i="69"/>
  <c r="X6" i="69"/>
  <c r="X33" i="69" s="1"/>
  <c r="W6" i="69"/>
  <c r="V6" i="69"/>
  <c r="V33" i="69" s="1"/>
  <c r="U6" i="69"/>
  <c r="U33" i="69" s="1"/>
  <c r="T6" i="69"/>
  <c r="T33" i="69" s="1"/>
  <c r="S6" i="69"/>
  <c r="S33" i="69" s="1"/>
  <c r="Q6" i="69"/>
  <c r="Q33" i="69" s="1"/>
  <c r="P6" i="69"/>
  <c r="P33" i="69" s="1"/>
  <c r="O6" i="69"/>
  <c r="O33" i="69" s="1"/>
  <c r="N6" i="69"/>
  <c r="N33" i="69" s="1"/>
  <c r="L6" i="69"/>
  <c r="M6" i="69" s="1"/>
  <c r="K6" i="69"/>
  <c r="K33" i="69" s="1"/>
  <c r="J6" i="69"/>
  <c r="J33" i="69" s="1"/>
  <c r="G6" i="69"/>
  <c r="F6" i="69"/>
  <c r="F33" i="69" s="1"/>
  <c r="R33" i="69" l="1"/>
  <c r="W33" i="69"/>
  <c r="G33" i="69"/>
  <c r="H33" i="69" s="1"/>
  <c r="H6" i="69"/>
  <c r="R6" i="69"/>
  <c r="L33" i="69"/>
  <c r="W36" i="68" l="1"/>
  <c r="R36" i="68"/>
  <c r="H36" i="68"/>
  <c r="W35" i="68"/>
  <c r="R35" i="68"/>
  <c r="H35" i="68"/>
  <c r="X34" i="68"/>
  <c r="V34" i="68"/>
  <c r="W34" i="68" s="1"/>
  <c r="U34" i="68"/>
  <c r="P34" i="68"/>
  <c r="O34" i="68"/>
  <c r="I32" i="68"/>
  <c r="G32" i="68"/>
  <c r="F32" i="68"/>
  <c r="E32" i="68"/>
  <c r="I31" i="68"/>
  <c r="G31" i="68"/>
  <c r="F31" i="68"/>
  <c r="E31" i="68"/>
  <c r="I30" i="68"/>
  <c r="G30" i="68"/>
  <c r="F30" i="68"/>
  <c r="E30" i="68"/>
  <c r="M29" i="68"/>
  <c r="I29" i="68"/>
  <c r="H29" i="68"/>
  <c r="G29" i="68"/>
  <c r="F29" i="68"/>
  <c r="E29" i="68"/>
  <c r="L28" i="68"/>
  <c r="M28" i="68" s="1"/>
  <c r="I28" i="68"/>
  <c r="F28" i="68"/>
  <c r="E28" i="68"/>
  <c r="I27" i="68"/>
  <c r="H27" i="68"/>
  <c r="G27" i="68"/>
  <c r="F27" i="68"/>
  <c r="E27" i="68"/>
  <c r="W26" i="68"/>
  <c r="M26" i="68"/>
  <c r="K26" i="68"/>
  <c r="I26" i="68"/>
  <c r="G26" i="68"/>
  <c r="H26" i="68" s="1"/>
  <c r="F26" i="68"/>
  <c r="E26" i="68"/>
  <c r="I25" i="68"/>
  <c r="G25" i="68"/>
  <c r="F25" i="68"/>
  <c r="E25" i="68"/>
  <c r="I24" i="68"/>
  <c r="G24" i="68"/>
  <c r="F24" i="68"/>
  <c r="E24" i="68"/>
  <c r="I23" i="68"/>
  <c r="G23" i="68"/>
  <c r="F23" i="68"/>
  <c r="E23" i="68"/>
  <c r="I22" i="68"/>
  <c r="G22" i="68"/>
  <c r="F22" i="68"/>
  <c r="E22" i="68"/>
  <c r="W21" i="68"/>
  <c r="R21" i="68"/>
  <c r="Q21" i="68"/>
  <c r="M21" i="68"/>
  <c r="I21" i="68"/>
  <c r="H21" i="68"/>
  <c r="G21" i="68"/>
  <c r="F21" i="68"/>
  <c r="E21" i="68"/>
  <c r="W20" i="68"/>
  <c r="V20" i="68"/>
  <c r="V11" i="68" s="1"/>
  <c r="W11" i="68" s="1"/>
  <c r="Q20" i="68"/>
  <c r="R20" i="68" s="1"/>
  <c r="M20" i="68"/>
  <c r="I20" i="68"/>
  <c r="G20" i="68"/>
  <c r="H20" i="68" s="1"/>
  <c r="F20" i="68"/>
  <c r="E20" i="68"/>
  <c r="W19" i="68"/>
  <c r="Q19" i="68"/>
  <c r="R19" i="68" s="1"/>
  <c r="M19" i="68"/>
  <c r="I19" i="68"/>
  <c r="I34" i="68" s="1"/>
  <c r="G19" i="68"/>
  <c r="G34" i="68" s="1"/>
  <c r="H34" i="68" s="1"/>
  <c r="F19" i="68"/>
  <c r="F34" i="68" s="1"/>
  <c r="E19" i="68"/>
  <c r="E34" i="68" s="1"/>
  <c r="W18" i="68"/>
  <c r="R18" i="68"/>
  <c r="M18" i="68"/>
  <c r="L18" i="68"/>
  <c r="I18" i="68"/>
  <c r="H18" i="68"/>
  <c r="G18" i="68"/>
  <c r="F18" i="68"/>
  <c r="E18" i="68"/>
  <c r="M17" i="68"/>
  <c r="I17" i="68"/>
  <c r="G17" i="68"/>
  <c r="H17" i="68" s="1"/>
  <c r="F17" i="68"/>
  <c r="E17" i="68"/>
  <c r="Q16" i="68"/>
  <c r="R16" i="68" s="1"/>
  <c r="M16" i="68"/>
  <c r="I16" i="68"/>
  <c r="G16" i="68"/>
  <c r="H16" i="68" s="1"/>
  <c r="F16" i="68"/>
  <c r="E16" i="68"/>
  <c r="E11" i="68" s="1"/>
  <c r="M15" i="68"/>
  <c r="I15" i="68"/>
  <c r="G15" i="68"/>
  <c r="H15" i="68" s="1"/>
  <c r="F15" i="68"/>
  <c r="E15" i="68"/>
  <c r="I14" i="68"/>
  <c r="I11" i="68" s="1"/>
  <c r="G14" i="68"/>
  <c r="F14" i="68"/>
  <c r="E14" i="68"/>
  <c r="W13" i="68"/>
  <c r="M13" i="68"/>
  <c r="I13" i="68"/>
  <c r="G13" i="68"/>
  <c r="H13" i="68" s="1"/>
  <c r="F13" i="68"/>
  <c r="F11" i="68" s="1"/>
  <c r="E13" i="68"/>
  <c r="W12" i="68"/>
  <c r="Q12" i="68"/>
  <c r="M12" i="68"/>
  <c r="I12" i="68"/>
  <c r="G12" i="68"/>
  <c r="H12" i="68" s="1"/>
  <c r="F12" i="68"/>
  <c r="E12" i="68"/>
  <c r="X11" i="68"/>
  <c r="U11" i="68"/>
  <c r="T11" i="68"/>
  <c r="S11" i="68"/>
  <c r="P11" i="68"/>
  <c r="O11" i="68"/>
  <c r="N11" i="68"/>
  <c r="L11" i="68"/>
  <c r="M11" i="68" s="1"/>
  <c r="K11" i="68"/>
  <c r="J11" i="68"/>
  <c r="I10" i="68"/>
  <c r="G10" i="68"/>
  <c r="F10" i="68"/>
  <c r="E10" i="68"/>
  <c r="W9" i="68"/>
  <c r="R9" i="68"/>
  <c r="Q9" i="68"/>
  <c r="M9" i="68"/>
  <c r="I9" i="68"/>
  <c r="I6" i="68" s="1"/>
  <c r="H9" i="68"/>
  <c r="G9" i="68"/>
  <c r="F9" i="68"/>
  <c r="E9" i="68"/>
  <c r="E6" i="68" s="1"/>
  <c r="E33" i="68" s="1"/>
  <c r="M8" i="68"/>
  <c r="I8" i="68"/>
  <c r="G8" i="68"/>
  <c r="H8" i="68" s="1"/>
  <c r="F8" i="68"/>
  <c r="E8" i="68"/>
  <c r="V7" i="68"/>
  <c r="W7" i="68" s="1"/>
  <c r="M7" i="68"/>
  <c r="I7" i="68"/>
  <c r="G7" i="68"/>
  <c r="H7" i="68" s="1"/>
  <c r="F7" i="68"/>
  <c r="E7" i="68"/>
  <c r="X6" i="68"/>
  <c r="X33" i="68" s="1"/>
  <c r="V6" i="68"/>
  <c r="V33" i="68" s="1"/>
  <c r="W33" i="68" s="1"/>
  <c r="U6" i="68"/>
  <c r="U33" i="68" s="1"/>
  <c r="T6" i="68"/>
  <c r="T33" i="68" s="1"/>
  <c r="S6" i="68"/>
  <c r="S33" i="68" s="1"/>
  <c r="R6" i="68"/>
  <c r="Q6" i="68"/>
  <c r="P6" i="68"/>
  <c r="P33" i="68" s="1"/>
  <c r="O6" i="68"/>
  <c r="O33" i="68" s="1"/>
  <c r="N6" i="68"/>
  <c r="N33" i="68" s="1"/>
  <c r="L6" i="68"/>
  <c r="L33" i="68" s="1"/>
  <c r="K6" i="68"/>
  <c r="K33" i="68" s="1"/>
  <c r="J6" i="68"/>
  <c r="J33" i="68" s="1"/>
  <c r="G6" i="68"/>
  <c r="H6" i="68" s="1"/>
  <c r="F6" i="68"/>
  <c r="I33" i="68" l="1"/>
  <c r="F33" i="68"/>
  <c r="M6" i="68"/>
  <c r="Q28" i="68"/>
  <c r="R28" i="68" s="1"/>
  <c r="Q34" i="68"/>
  <c r="R34" i="68" s="1"/>
  <c r="W6" i="68"/>
  <c r="R12" i="68"/>
  <c r="H19" i="68"/>
  <c r="G28" i="68" l="1"/>
  <c r="Q11" i="68"/>
  <c r="R11" i="68" l="1"/>
  <c r="Q33" i="68"/>
  <c r="H28" i="68"/>
  <c r="G11" i="68"/>
  <c r="H11" i="68" l="1"/>
  <c r="G33" i="68"/>
  <c r="R36" i="67" l="1"/>
  <c r="R35" i="67"/>
  <c r="M35" i="67"/>
  <c r="R34" i="67"/>
  <c r="M34" i="67"/>
  <c r="I32" i="67"/>
  <c r="G32" i="67"/>
  <c r="F32" i="67"/>
  <c r="E32" i="67"/>
  <c r="I31" i="67"/>
  <c r="G31" i="67"/>
  <c r="F31" i="67"/>
  <c r="E31" i="67"/>
  <c r="I30" i="67"/>
  <c r="G30" i="67"/>
  <c r="F30" i="67"/>
  <c r="E30" i="67"/>
  <c r="M29" i="67"/>
  <c r="I29" i="67"/>
  <c r="G29" i="67"/>
  <c r="F29" i="67"/>
  <c r="H29" i="67" s="1"/>
  <c r="E29" i="67"/>
  <c r="M28" i="67"/>
  <c r="I28" i="67"/>
  <c r="G28" i="67"/>
  <c r="H28" i="67" s="1"/>
  <c r="F28" i="67"/>
  <c r="E28" i="67"/>
  <c r="I27" i="67"/>
  <c r="G27" i="67"/>
  <c r="F27" i="67"/>
  <c r="E27" i="67"/>
  <c r="M26" i="67"/>
  <c r="I26" i="67"/>
  <c r="G26" i="67"/>
  <c r="F26" i="67"/>
  <c r="H26" i="67" s="1"/>
  <c r="E26" i="67"/>
  <c r="I25" i="67"/>
  <c r="G25" i="67"/>
  <c r="F25" i="67"/>
  <c r="E25" i="67"/>
  <c r="I24" i="67"/>
  <c r="G24" i="67"/>
  <c r="F24" i="67"/>
  <c r="E24" i="67"/>
  <c r="I23" i="67"/>
  <c r="G23" i="67"/>
  <c r="F23" i="67"/>
  <c r="E23" i="67"/>
  <c r="I22" i="67"/>
  <c r="G22" i="67"/>
  <c r="F22" i="67"/>
  <c r="E22" i="67"/>
  <c r="M21" i="67"/>
  <c r="I21" i="67"/>
  <c r="G21" i="67"/>
  <c r="H21" i="67" s="1"/>
  <c r="F21" i="67"/>
  <c r="E21" i="67"/>
  <c r="M20" i="67"/>
  <c r="I20" i="67"/>
  <c r="G20" i="67"/>
  <c r="F20" i="67"/>
  <c r="H20" i="67" s="1"/>
  <c r="E20" i="67"/>
  <c r="M19" i="67"/>
  <c r="I19" i="67"/>
  <c r="G19" i="67"/>
  <c r="H19" i="67" s="1"/>
  <c r="F19" i="67"/>
  <c r="E19" i="67"/>
  <c r="M18" i="67"/>
  <c r="I18" i="67"/>
  <c r="G18" i="67"/>
  <c r="F18" i="67"/>
  <c r="H18" i="67" s="1"/>
  <c r="E18" i="67"/>
  <c r="I17" i="67"/>
  <c r="G17" i="67"/>
  <c r="F17" i="67"/>
  <c r="E17" i="67"/>
  <c r="M16" i="67"/>
  <c r="I16" i="67"/>
  <c r="G16" i="67"/>
  <c r="H16" i="67" s="1"/>
  <c r="F16" i="67"/>
  <c r="E16" i="67"/>
  <c r="M15" i="67"/>
  <c r="I15" i="67"/>
  <c r="G15" i="67"/>
  <c r="F15" i="67"/>
  <c r="H15" i="67" s="1"/>
  <c r="E15" i="67"/>
  <c r="I14" i="67"/>
  <c r="G14" i="67"/>
  <c r="F14" i="67"/>
  <c r="E14" i="67"/>
  <c r="M13" i="67"/>
  <c r="I13" i="67"/>
  <c r="G13" i="67"/>
  <c r="H13" i="67" s="1"/>
  <c r="F13" i="67"/>
  <c r="E13" i="67"/>
  <c r="M12" i="67"/>
  <c r="I12" i="67"/>
  <c r="I11" i="67" s="1"/>
  <c r="G12" i="67"/>
  <c r="F12" i="67"/>
  <c r="H12" i="67" s="1"/>
  <c r="E12" i="67"/>
  <c r="E11" i="67" s="1"/>
  <c r="X11" i="67"/>
  <c r="V11" i="67"/>
  <c r="U11" i="67"/>
  <c r="T11" i="67"/>
  <c r="S11" i="67"/>
  <c r="Q11" i="67"/>
  <c r="P11" i="67"/>
  <c r="O11" i="67"/>
  <c r="N11" i="67"/>
  <c r="L11" i="67"/>
  <c r="M11" i="67" s="1"/>
  <c r="K11" i="67"/>
  <c r="J11" i="67"/>
  <c r="G11" i="67"/>
  <c r="I10" i="67"/>
  <c r="G10" i="67"/>
  <c r="F10" i="67"/>
  <c r="E10" i="67"/>
  <c r="M9" i="67"/>
  <c r="I9" i="67"/>
  <c r="G9" i="67"/>
  <c r="F9" i="67"/>
  <c r="E9" i="67"/>
  <c r="M8" i="67"/>
  <c r="I8" i="67"/>
  <c r="G8" i="67"/>
  <c r="H8" i="67" s="1"/>
  <c r="F8" i="67"/>
  <c r="F6" i="67" s="1"/>
  <c r="E8" i="67"/>
  <c r="M7" i="67"/>
  <c r="I7" i="67"/>
  <c r="G7" i="67"/>
  <c r="G6" i="67" s="1"/>
  <c r="G33" i="67" s="1"/>
  <c r="F7" i="67"/>
  <c r="E7" i="67"/>
  <c r="X6" i="67"/>
  <c r="X33" i="67" s="1"/>
  <c r="V6" i="67"/>
  <c r="V33" i="67" s="1"/>
  <c r="U6" i="67"/>
  <c r="U33" i="67" s="1"/>
  <c r="T6" i="67"/>
  <c r="T33" i="67" s="1"/>
  <c r="S6" i="67"/>
  <c r="S33" i="67" s="1"/>
  <c r="Q6" i="67"/>
  <c r="Q33" i="67" s="1"/>
  <c r="P6" i="67"/>
  <c r="P33" i="67" s="1"/>
  <c r="O6" i="67"/>
  <c r="O33" i="67" s="1"/>
  <c r="N6" i="67"/>
  <c r="N33" i="67" s="1"/>
  <c r="M6" i="67"/>
  <c r="L6" i="67"/>
  <c r="L33" i="67" s="1"/>
  <c r="K6" i="67"/>
  <c r="K33" i="67" s="1"/>
  <c r="J6" i="67"/>
  <c r="J33" i="67" s="1"/>
  <c r="I6" i="67"/>
  <c r="I33" i="67" s="1"/>
  <c r="E6" i="67"/>
  <c r="H11" i="67" l="1"/>
  <c r="E33" i="67"/>
  <c r="F11" i="67"/>
  <c r="F33" i="67" s="1"/>
  <c r="R36" i="66" l="1"/>
  <c r="H36" i="66"/>
  <c r="R35" i="66"/>
  <c r="H35" i="66"/>
  <c r="R34" i="66"/>
  <c r="H34" i="66"/>
  <c r="M29" i="66"/>
  <c r="I29" i="66"/>
  <c r="G29" i="66"/>
  <c r="H29" i="66" s="1"/>
  <c r="F29" i="66"/>
  <c r="E29" i="66"/>
  <c r="R28" i="66"/>
  <c r="M28" i="66"/>
  <c r="H28" i="66"/>
  <c r="M26" i="66"/>
  <c r="I26" i="66"/>
  <c r="G26" i="66"/>
  <c r="H26" i="66" s="1"/>
  <c r="F26" i="66"/>
  <c r="E26" i="66"/>
  <c r="R21" i="66"/>
  <c r="M21" i="66"/>
  <c r="I21" i="66"/>
  <c r="G21" i="66"/>
  <c r="H21" i="66" s="1"/>
  <c r="F21" i="66"/>
  <c r="E21" i="66"/>
  <c r="R20" i="66"/>
  <c r="I20" i="66"/>
  <c r="H20" i="66"/>
  <c r="G20" i="66"/>
  <c r="F20" i="66"/>
  <c r="E20" i="66"/>
  <c r="R19" i="66"/>
  <c r="I19" i="66"/>
  <c r="G19" i="66"/>
  <c r="H19" i="66" s="1"/>
  <c r="F19" i="66"/>
  <c r="E19" i="66"/>
  <c r="R18" i="66"/>
  <c r="M18" i="66"/>
  <c r="I18" i="66"/>
  <c r="G18" i="66"/>
  <c r="F18" i="66"/>
  <c r="H18" i="66" s="1"/>
  <c r="E18" i="66"/>
  <c r="M17" i="66"/>
  <c r="I17" i="66"/>
  <c r="G17" i="66"/>
  <c r="H17" i="66" s="1"/>
  <c r="F17" i="66"/>
  <c r="E17" i="66"/>
  <c r="M16" i="66"/>
  <c r="I16" i="66"/>
  <c r="G16" i="66"/>
  <c r="F16" i="66"/>
  <c r="H16" i="66" s="1"/>
  <c r="E16" i="66"/>
  <c r="M15" i="66"/>
  <c r="I15" i="66"/>
  <c r="G15" i="66"/>
  <c r="H15" i="66" s="1"/>
  <c r="F15" i="66"/>
  <c r="E15" i="66"/>
  <c r="I14" i="66"/>
  <c r="M13" i="66"/>
  <c r="I13" i="66"/>
  <c r="G13" i="66"/>
  <c r="H13" i="66" s="1"/>
  <c r="F13" i="66"/>
  <c r="E13" i="66"/>
  <c r="R12" i="66"/>
  <c r="M12" i="66"/>
  <c r="I12" i="66"/>
  <c r="I11" i="66" s="1"/>
  <c r="G12" i="66"/>
  <c r="F12" i="66"/>
  <c r="F11" i="66" s="1"/>
  <c r="E12" i="66"/>
  <c r="E11" i="66" s="1"/>
  <c r="S11" i="66"/>
  <c r="Q11" i="66"/>
  <c r="R11" i="66" s="1"/>
  <c r="P11" i="66"/>
  <c r="O11" i="66"/>
  <c r="N11" i="66"/>
  <c r="L11" i="66"/>
  <c r="M11" i="66" s="1"/>
  <c r="K11" i="66"/>
  <c r="J11" i="66"/>
  <c r="I10" i="66"/>
  <c r="R9" i="66"/>
  <c r="M9" i="66"/>
  <c r="I9" i="66"/>
  <c r="H9" i="66"/>
  <c r="G9" i="66"/>
  <c r="F9" i="66"/>
  <c r="E9" i="66"/>
  <c r="M8" i="66"/>
  <c r="I8" i="66"/>
  <c r="G8" i="66"/>
  <c r="H8" i="66" s="1"/>
  <c r="F8" i="66"/>
  <c r="F6" i="66" s="1"/>
  <c r="F33" i="66" s="1"/>
  <c r="E8" i="66"/>
  <c r="M7" i="66"/>
  <c r="I7" i="66"/>
  <c r="I6" i="66" s="1"/>
  <c r="H7" i="66"/>
  <c r="G7" i="66"/>
  <c r="F7" i="66"/>
  <c r="E7" i="66"/>
  <c r="E6" i="66" s="1"/>
  <c r="S6" i="66"/>
  <c r="S33" i="66" s="1"/>
  <c r="Q6" i="66"/>
  <c r="Q33" i="66" s="1"/>
  <c r="P6" i="66"/>
  <c r="P33" i="66" s="1"/>
  <c r="O6" i="66"/>
  <c r="O33" i="66" s="1"/>
  <c r="N6" i="66"/>
  <c r="N33" i="66" s="1"/>
  <c r="L6" i="66"/>
  <c r="M6" i="66" s="1"/>
  <c r="K6" i="66"/>
  <c r="K33" i="66" s="1"/>
  <c r="J6" i="66"/>
  <c r="J33" i="66" s="1"/>
  <c r="G6" i="66"/>
  <c r="H6" i="66" s="1"/>
  <c r="E33" i="66" l="1"/>
  <c r="I33" i="66"/>
  <c r="R6" i="66"/>
  <c r="G11" i="66"/>
  <c r="H11" i="66" s="1"/>
  <c r="H12" i="66"/>
  <c r="G33" i="66"/>
  <c r="L33" i="66"/>
  <c r="I32" i="65" l="1"/>
  <c r="G32" i="65"/>
  <c r="F32" i="65"/>
  <c r="E32" i="65"/>
  <c r="I31" i="65"/>
  <c r="G31" i="65"/>
  <c r="F31" i="65"/>
  <c r="E31" i="65"/>
  <c r="I30" i="65"/>
  <c r="G30" i="65"/>
  <c r="F30" i="65"/>
  <c r="E30" i="65"/>
  <c r="M29" i="65"/>
  <c r="I29" i="65"/>
  <c r="H29" i="65"/>
  <c r="G29" i="65"/>
  <c r="F29" i="65"/>
  <c r="E29" i="65"/>
  <c r="M28" i="65"/>
  <c r="I28" i="65"/>
  <c r="G28" i="65"/>
  <c r="H28" i="65" s="1"/>
  <c r="F28" i="65"/>
  <c r="E28" i="65"/>
  <c r="I27" i="65"/>
  <c r="G27" i="65"/>
  <c r="F27" i="65"/>
  <c r="E27" i="65"/>
  <c r="M26" i="65"/>
  <c r="I26" i="65"/>
  <c r="H26" i="65"/>
  <c r="G26" i="65"/>
  <c r="F26" i="65"/>
  <c r="E26" i="65"/>
  <c r="I25" i="65"/>
  <c r="G25" i="65"/>
  <c r="F25" i="65"/>
  <c r="E25" i="65"/>
  <c r="I24" i="65"/>
  <c r="G24" i="65"/>
  <c r="F24" i="65"/>
  <c r="E24" i="65"/>
  <c r="I23" i="65"/>
  <c r="G23" i="65"/>
  <c r="F23" i="65"/>
  <c r="E23" i="65"/>
  <c r="I22" i="65"/>
  <c r="G22" i="65"/>
  <c r="F22" i="65"/>
  <c r="E22" i="65"/>
  <c r="R21" i="65"/>
  <c r="M21" i="65"/>
  <c r="I21" i="65"/>
  <c r="G21" i="65"/>
  <c r="H21" i="65" s="1"/>
  <c r="F21" i="65"/>
  <c r="E21" i="65"/>
  <c r="R20" i="65"/>
  <c r="I20" i="65"/>
  <c r="G20" i="65"/>
  <c r="H20" i="65" s="1"/>
  <c r="F20" i="65"/>
  <c r="E20" i="65"/>
  <c r="R19" i="65"/>
  <c r="I19" i="65"/>
  <c r="G19" i="65"/>
  <c r="H19" i="65" s="1"/>
  <c r="F19" i="65"/>
  <c r="E19" i="65"/>
  <c r="M18" i="65"/>
  <c r="I18" i="65"/>
  <c r="G18" i="65"/>
  <c r="F18" i="65"/>
  <c r="H18" i="65" s="1"/>
  <c r="E18" i="65"/>
  <c r="I17" i="65"/>
  <c r="G17" i="65"/>
  <c r="F17" i="65"/>
  <c r="E17" i="65"/>
  <c r="M16" i="65"/>
  <c r="I16" i="65"/>
  <c r="G16" i="65"/>
  <c r="H16" i="65" s="1"/>
  <c r="F16" i="65"/>
  <c r="E16" i="65"/>
  <c r="M15" i="65"/>
  <c r="I15" i="65"/>
  <c r="G15" i="65"/>
  <c r="H15" i="65" s="1"/>
  <c r="F15" i="65"/>
  <c r="E15" i="65"/>
  <c r="I14" i="65"/>
  <c r="G14" i="65"/>
  <c r="F14" i="65"/>
  <c r="E14" i="65"/>
  <c r="M13" i="65"/>
  <c r="I13" i="65"/>
  <c r="G13" i="65"/>
  <c r="H13" i="65" s="1"/>
  <c r="F13" i="65"/>
  <c r="E13" i="65"/>
  <c r="R12" i="65"/>
  <c r="M12" i="65"/>
  <c r="I12" i="65"/>
  <c r="G12" i="65"/>
  <c r="H12" i="65" s="1"/>
  <c r="F12" i="65"/>
  <c r="F11" i="65" s="1"/>
  <c r="E12" i="65"/>
  <c r="X11" i="65"/>
  <c r="V11" i="65"/>
  <c r="U11" i="65"/>
  <c r="T11" i="65"/>
  <c r="S11" i="65"/>
  <c r="Q11" i="65"/>
  <c r="R11" i="65" s="1"/>
  <c r="P11" i="65"/>
  <c r="O11" i="65"/>
  <c r="N11" i="65"/>
  <c r="M11" i="65"/>
  <c r="L11" i="65"/>
  <c r="K11" i="65"/>
  <c r="J11" i="65"/>
  <c r="I11" i="65"/>
  <c r="E11" i="65"/>
  <c r="M10" i="65"/>
  <c r="I10" i="65"/>
  <c r="G10" i="65"/>
  <c r="H10" i="65" s="1"/>
  <c r="F10" i="65"/>
  <c r="E10" i="65"/>
  <c r="R9" i="65"/>
  <c r="M9" i="65"/>
  <c r="I9" i="65"/>
  <c r="G9" i="65"/>
  <c r="H9" i="65" s="1"/>
  <c r="F9" i="65"/>
  <c r="E9" i="65"/>
  <c r="I8" i="65"/>
  <c r="G8" i="65"/>
  <c r="F8" i="65"/>
  <c r="F6" i="65" s="1"/>
  <c r="E8" i="65"/>
  <c r="M7" i="65"/>
  <c r="I7" i="65"/>
  <c r="I6" i="65" s="1"/>
  <c r="I33" i="65" s="1"/>
  <c r="H7" i="65"/>
  <c r="G7" i="65"/>
  <c r="F7" i="65"/>
  <c r="E7" i="65"/>
  <c r="E6" i="65" s="1"/>
  <c r="E33" i="65" s="1"/>
  <c r="X6" i="65"/>
  <c r="X33" i="65" s="1"/>
  <c r="V6" i="65"/>
  <c r="V33" i="65" s="1"/>
  <c r="U6" i="65"/>
  <c r="U33" i="65" s="1"/>
  <c r="T6" i="65"/>
  <c r="T33" i="65" s="1"/>
  <c r="S6" i="65"/>
  <c r="S33" i="65" s="1"/>
  <c r="Q6" i="65"/>
  <c r="Q33" i="65" s="1"/>
  <c r="P6" i="65"/>
  <c r="P33" i="65" s="1"/>
  <c r="O6" i="65"/>
  <c r="O33" i="65" s="1"/>
  <c r="N6" i="65"/>
  <c r="N33" i="65" s="1"/>
  <c r="L6" i="65"/>
  <c r="M6" i="65" s="1"/>
  <c r="K6" i="65"/>
  <c r="K33" i="65" s="1"/>
  <c r="J6" i="65"/>
  <c r="J33" i="65" s="1"/>
  <c r="G6" i="65"/>
  <c r="F33" i="65" l="1"/>
  <c r="R6" i="65"/>
  <c r="H6" i="65"/>
  <c r="L33" i="65"/>
  <c r="G11" i="65"/>
  <c r="H11" i="65" s="1"/>
  <c r="G33" i="65" l="1"/>
  <c r="W36" i="64" l="1"/>
  <c r="R36" i="64"/>
  <c r="M36" i="64"/>
  <c r="H36" i="64"/>
  <c r="W35" i="64"/>
  <c r="R35" i="64"/>
  <c r="M35" i="64"/>
  <c r="H35" i="64"/>
  <c r="W34" i="64"/>
  <c r="R34" i="64"/>
  <c r="M34" i="64"/>
  <c r="H34" i="64"/>
  <c r="W32" i="64"/>
  <c r="R32" i="64"/>
  <c r="M32" i="64"/>
  <c r="I32" i="64"/>
  <c r="G32" i="64"/>
  <c r="H32" i="64" s="1"/>
  <c r="F32" i="64"/>
  <c r="E32" i="64"/>
  <c r="W31" i="64"/>
  <c r="R31" i="64"/>
  <c r="M31" i="64"/>
  <c r="I31" i="64"/>
  <c r="G31" i="64"/>
  <c r="H31" i="64" s="1"/>
  <c r="F31" i="64"/>
  <c r="E31" i="64"/>
  <c r="W30" i="64"/>
  <c r="R30" i="64"/>
  <c r="M30" i="64"/>
  <c r="I30" i="64"/>
  <c r="G30" i="64"/>
  <c r="H30" i="64" s="1"/>
  <c r="F30" i="64"/>
  <c r="E30" i="64"/>
  <c r="W29" i="64"/>
  <c r="R29" i="64"/>
  <c r="M29" i="64"/>
  <c r="G29" i="64"/>
  <c r="F29" i="64"/>
  <c r="H29" i="64" s="1"/>
  <c r="E29" i="64"/>
  <c r="W28" i="64"/>
  <c r="R28" i="64"/>
  <c r="M28" i="64"/>
  <c r="H28" i="64"/>
  <c r="G28" i="64"/>
  <c r="F28" i="64"/>
  <c r="E28" i="64"/>
  <c r="W27" i="64"/>
  <c r="R27" i="64"/>
  <c r="M27" i="64"/>
  <c r="I27" i="64"/>
  <c r="H27" i="64"/>
  <c r="G27" i="64"/>
  <c r="F27" i="64"/>
  <c r="E27" i="64"/>
  <c r="W26" i="64"/>
  <c r="R26" i="64"/>
  <c r="M26" i="64"/>
  <c r="G26" i="64"/>
  <c r="H26" i="64" s="1"/>
  <c r="F26" i="64"/>
  <c r="E26" i="64"/>
  <c r="W25" i="64"/>
  <c r="R25" i="64"/>
  <c r="M25" i="64"/>
  <c r="I25" i="64"/>
  <c r="G25" i="64"/>
  <c r="H25" i="64" s="1"/>
  <c r="F25" i="64"/>
  <c r="E25" i="64"/>
  <c r="W24" i="64"/>
  <c r="R24" i="64"/>
  <c r="M24" i="64"/>
  <c r="I24" i="64"/>
  <c r="G24" i="64"/>
  <c r="H24" i="64" s="1"/>
  <c r="F24" i="64"/>
  <c r="E24" i="64"/>
  <c r="W23" i="64"/>
  <c r="R23" i="64"/>
  <c r="M23" i="64"/>
  <c r="I23" i="64"/>
  <c r="G23" i="64"/>
  <c r="H23" i="64" s="1"/>
  <c r="F23" i="64"/>
  <c r="E23" i="64"/>
  <c r="W22" i="64"/>
  <c r="R22" i="64"/>
  <c r="M22" i="64"/>
  <c r="I22" i="64"/>
  <c r="G22" i="64"/>
  <c r="H22" i="64" s="1"/>
  <c r="F22" i="64"/>
  <c r="E22" i="64"/>
  <c r="W21" i="64"/>
  <c r="R21" i="64"/>
  <c r="M21" i="64"/>
  <c r="G21" i="64"/>
  <c r="H21" i="64" s="1"/>
  <c r="F21" i="64"/>
  <c r="E21" i="64"/>
  <c r="W20" i="64"/>
  <c r="R20" i="64"/>
  <c r="M20" i="64"/>
  <c r="G20" i="64"/>
  <c r="F20" i="64"/>
  <c r="H20" i="64" s="1"/>
  <c r="E20" i="64"/>
  <c r="W19" i="64"/>
  <c r="R19" i="64"/>
  <c r="M19" i="64"/>
  <c r="H19" i="64"/>
  <c r="G19" i="64"/>
  <c r="F19" i="64"/>
  <c r="E19" i="64"/>
  <c r="W18" i="64"/>
  <c r="R18" i="64"/>
  <c r="M18" i="64"/>
  <c r="G18" i="64"/>
  <c r="H18" i="64" s="1"/>
  <c r="F18" i="64"/>
  <c r="E18" i="64"/>
  <c r="W17" i="64"/>
  <c r="R17" i="64"/>
  <c r="M17" i="64"/>
  <c r="G17" i="64"/>
  <c r="H17" i="64" s="1"/>
  <c r="F17" i="64"/>
  <c r="E17" i="64"/>
  <c r="W16" i="64"/>
  <c r="R16" i="64"/>
  <c r="M16" i="64"/>
  <c r="I16" i="64"/>
  <c r="G16" i="64"/>
  <c r="H16" i="64" s="1"/>
  <c r="F16" i="64"/>
  <c r="E16" i="64"/>
  <c r="W15" i="64"/>
  <c r="R15" i="64"/>
  <c r="M15" i="64"/>
  <c r="G15" i="64"/>
  <c r="F15" i="64"/>
  <c r="H15" i="64" s="1"/>
  <c r="E15" i="64"/>
  <c r="W14" i="64"/>
  <c r="R14" i="64"/>
  <c r="M14" i="64"/>
  <c r="I14" i="64"/>
  <c r="I11" i="64" s="1"/>
  <c r="G14" i="64"/>
  <c r="F14" i="64"/>
  <c r="H14" i="64" s="1"/>
  <c r="E14" i="64"/>
  <c r="W13" i="64"/>
  <c r="R13" i="64"/>
  <c r="M13" i="64"/>
  <c r="H13" i="64"/>
  <c r="G13" i="64"/>
  <c r="F13" i="64"/>
  <c r="E13" i="64"/>
  <c r="E11" i="64" s="1"/>
  <c r="W12" i="64"/>
  <c r="R12" i="64"/>
  <c r="M12" i="64"/>
  <c r="G12" i="64"/>
  <c r="H12" i="64" s="1"/>
  <c r="F12" i="64"/>
  <c r="E12" i="64"/>
  <c r="X11" i="64"/>
  <c r="W11" i="64"/>
  <c r="V11" i="64"/>
  <c r="U11" i="64"/>
  <c r="T11" i="64"/>
  <c r="S11" i="64"/>
  <c r="Q11" i="64"/>
  <c r="R11" i="64" s="1"/>
  <c r="P11" i="64"/>
  <c r="O11" i="64"/>
  <c r="N11" i="64"/>
  <c r="L11" i="64"/>
  <c r="M11" i="64" s="1"/>
  <c r="K11" i="64"/>
  <c r="J11" i="64"/>
  <c r="G11" i="64"/>
  <c r="W10" i="64"/>
  <c r="R10" i="64"/>
  <c r="M10" i="64"/>
  <c r="I10" i="64"/>
  <c r="G10" i="64"/>
  <c r="H10" i="64" s="1"/>
  <c r="F10" i="64"/>
  <c r="E10" i="64"/>
  <c r="W9" i="64"/>
  <c r="R9" i="64"/>
  <c r="M9" i="64"/>
  <c r="G9" i="64"/>
  <c r="H9" i="64" s="1"/>
  <c r="F9" i="64"/>
  <c r="E9" i="64"/>
  <c r="W8" i="64"/>
  <c r="R8" i="64"/>
  <c r="M8" i="64"/>
  <c r="G8" i="64"/>
  <c r="F8" i="64"/>
  <c r="F6" i="64" s="1"/>
  <c r="E8" i="64"/>
  <c r="E6" i="64" s="1"/>
  <c r="W7" i="64"/>
  <c r="R7" i="64"/>
  <c r="M7" i="64"/>
  <c r="H7" i="64"/>
  <c r="G7" i="64"/>
  <c r="F7" i="64"/>
  <c r="E7" i="64"/>
  <c r="X6" i="64"/>
  <c r="X33" i="64" s="1"/>
  <c r="V6" i="64"/>
  <c r="V33" i="64" s="1"/>
  <c r="U6" i="64"/>
  <c r="U33" i="64" s="1"/>
  <c r="T6" i="64"/>
  <c r="T33" i="64" s="1"/>
  <c r="S6" i="64"/>
  <c r="S33" i="64" s="1"/>
  <c r="Q6" i="64"/>
  <c r="R6" i="64" s="1"/>
  <c r="P6" i="64"/>
  <c r="P33" i="64" s="1"/>
  <c r="O6" i="64"/>
  <c r="O33" i="64" s="1"/>
  <c r="N6" i="64"/>
  <c r="N33" i="64" s="1"/>
  <c r="L6" i="64"/>
  <c r="L33" i="64" s="1"/>
  <c r="K6" i="64"/>
  <c r="K33" i="64" s="1"/>
  <c r="J6" i="64"/>
  <c r="J33" i="64" s="1"/>
  <c r="I6" i="64"/>
  <c r="I33" i="64" s="1"/>
  <c r="W33" i="64" l="1"/>
  <c r="F33" i="64"/>
  <c r="M33" i="64"/>
  <c r="E33" i="64"/>
  <c r="G6" i="64"/>
  <c r="W6" i="64"/>
  <c r="H8" i="64"/>
  <c r="F11" i="64"/>
  <c r="H11" i="64" s="1"/>
  <c r="Q33" i="64"/>
  <c r="R33" i="64" s="1"/>
  <c r="M6" i="64"/>
  <c r="H6" i="64" l="1"/>
  <c r="G33" i="64"/>
  <c r="H33" i="64" s="1"/>
  <c r="W36" i="63" l="1"/>
  <c r="R36" i="63"/>
  <c r="M36" i="63"/>
  <c r="H36" i="63"/>
  <c r="R35" i="63"/>
  <c r="M35" i="63"/>
  <c r="H35" i="63"/>
  <c r="R34" i="63"/>
  <c r="M34" i="63"/>
  <c r="H34" i="63"/>
  <c r="X33" i="63"/>
  <c r="I32" i="63"/>
  <c r="G32" i="63"/>
  <c r="F32" i="63"/>
  <c r="E32" i="63"/>
  <c r="I31" i="63"/>
  <c r="G31" i="63"/>
  <c r="F31" i="63"/>
  <c r="E31" i="63"/>
  <c r="I30" i="63"/>
  <c r="G30" i="63"/>
  <c r="F30" i="63"/>
  <c r="E30" i="63"/>
  <c r="M29" i="63"/>
  <c r="I29" i="63"/>
  <c r="G29" i="63"/>
  <c r="F29" i="63"/>
  <c r="H29" i="63" s="1"/>
  <c r="E29" i="63"/>
  <c r="M28" i="63"/>
  <c r="H28" i="63"/>
  <c r="I27" i="63"/>
  <c r="G27" i="63"/>
  <c r="F27" i="63"/>
  <c r="E27" i="63"/>
  <c r="W26" i="63"/>
  <c r="M26" i="63"/>
  <c r="I26" i="63"/>
  <c r="G26" i="63"/>
  <c r="H26" i="63" s="1"/>
  <c r="F26" i="63"/>
  <c r="E26" i="63"/>
  <c r="I25" i="63"/>
  <c r="G25" i="63"/>
  <c r="F25" i="63"/>
  <c r="E25" i="63"/>
  <c r="I24" i="63"/>
  <c r="G24" i="63"/>
  <c r="F24" i="63"/>
  <c r="E24" i="63"/>
  <c r="I23" i="63"/>
  <c r="G23" i="63"/>
  <c r="F23" i="63"/>
  <c r="E23" i="63"/>
  <c r="I22" i="63"/>
  <c r="G22" i="63"/>
  <c r="F22" i="63"/>
  <c r="E22" i="63"/>
  <c r="R21" i="63"/>
  <c r="M21" i="63"/>
  <c r="I21" i="63"/>
  <c r="G21" i="63"/>
  <c r="F21" i="63"/>
  <c r="H21" i="63" s="1"/>
  <c r="E21" i="63"/>
  <c r="R20" i="63"/>
  <c r="M20" i="63"/>
  <c r="I20" i="63"/>
  <c r="G20" i="63"/>
  <c r="H20" i="63" s="1"/>
  <c r="F20" i="63"/>
  <c r="E20" i="63"/>
  <c r="R19" i="63"/>
  <c r="M19" i="63"/>
  <c r="I19" i="63"/>
  <c r="H19" i="63"/>
  <c r="G19" i="63"/>
  <c r="F19" i="63"/>
  <c r="E19" i="63"/>
  <c r="W18" i="63"/>
  <c r="R18" i="63"/>
  <c r="M18" i="63"/>
  <c r="I18" i="63"/>
  <c r="H18" i="63"/>
  <c r="G18" i="63"/>
  <c r="F18" i="63"/>
  <c r="E18" i="63"/>
  <c r="I17" i="63"/>
  <c r="G17" i="63"/>
  <c r="F17" i="63"/>
  <c r="E17" i="63"/>
  <c r="M16" i="63"/>
  <c r="I16" i="63"/>
  <c r="G16" i="63"/>
  <c r="F16" i="63"/>
  <c r="H16" i="63" s="1"/>
  <c r="E16" i="63"/>
  <c r="W15" i="63"/>
  <c r="M15" i="63"/>
  <c r="I15" i="63"/>
  <c r="I11" i="63" s="1"/>
  <c r="G15" i="63"/>
  <c r="H15" i="63" s="1"/>
  <c r="F15" i="63"/>
  <c r="E15" i="63"/>
  <c r="I14" i="63"/>
  <c r="G14" i="63"/>
  <c r="F14" i="63"/>
  <c r="E14" i="63"/>
  <c r="E11" i="63" s="1"/>
  <c r="M13" i="63"/>
  <c r="I13" i="63"/>
  <c r="G13" i="63"/>
  <c r="H13" i="63" s="1"/>
  <c r="F13" i="63"/>
  <c r="E13" i="63"/>
  <c r="R12" i="63"/>
  <c r="M12" i="63"/>
  <c r="I12" i="63"/>
  <c r="G12" i="63"/>
  <c r="F12" i="63"/>
  <c r="F11" i="63" s="1"/>
  <c r="E12" i="63"/>
  <c r="V11" i="63"/>
  <c r="U11" i="63"/>
  <c r="W11" i="63" s="1"/>
  <c r="T11" i="63"/>
  <c r="Q11" i="63"/>
  <c r="P11" i="63"/>
  <c r="R11" i="63" s="1"/>
  <c r="O11" i="63"/>
  <c r="L11" i="63"/>
  <c r="K11" i="63"/>
  <c r="M11" i="63" s="1"/>
  <c r="J11" i="63"/>
  <c r="G11" i="63"/>
  <c r="H11" i="63" s="1"/>
  <c r="I10" i="63"/>
  <c r="G10" i="63"/>
  <c r="F10" i="63"/>
  <c r="E10" i="63"/>
  <c r="R9" i="63"/>
  <c r="M9" i="63"/>
  <c r="I9" i="63"/>
  <c r="G9" i="63"/>
  <c r="F9" i="63"/>
  <c r="H9" i="63" s="1"/>
  <c r="E9" i="63"/>
  <c r="I8" i="63"/>
  <c r="G8" i="63"/>
  <c r="F8" i="63"/>
  <c r="E8" i="63"/>
  <c r="W7" i="63"/>
  <c r="M7" i="63"/>
  <c r="I7" i="63"/>
  <c r="I6" i="63" s="1"/>
  <c r="G7" i="63"/>
  <c r="G6" i="63" s="1"/>
  <c r="F7" i="63"/>
  <c r="E7" i="63"/>
  <c r="E6" i="63" s="1"/>
  <c r="E33" i="63" s="1"/>
  <c r="V6" i="63"/>
  <c r="V33" i="63" s="1"/>
  <c r="U6" i="63"/>
  <c r="U33" i="63" s="1"/>
  <c r="T6" i="63"/>
  <c r="T33" i="63" s="1"/>
  <c r="Q6" i="63"/>
  <c r="R6" i="63" s="1"/>
  <c r="P6" i="63"/>
  <c r="P33" i="63" s="1"/>
  <c r="O6" i="63"/>
  <c r="O33" i="63" s="1"/>
  <c r="L6" i="63"/>
  <c r="L33" i="63" s="1"/>
  <c r="K6" i="63"/>
  <c r="K33" i="63" s="1"/>
  <c r="J6" i="63"/>
  <c r="J33" i="63" s="1"/>
  <c r="F6" i="63"/>
  <c r="F33" i="63" s="1"/>
  <c r="G33" i="63" l="1"/>
  <c r="H6" i="63"/>
  <c r="W33" i="63"/>
  <c r="I33" i="63"/>
  <c r="Q33" i="63"/>
  <c r="H12" i="63"/>
  <c r="M6" i="63"/>
  <c r="W6" i="63"/>
  <c r="H7" i="63"/>
</calcChain>
</file>

<file path=xl/comments1.xml><?xml version="1.0" encoding="utf-8"?>
<comments xmlns="http://schemas.openxmlformats.org/spreadsheetml/2006/main">
  <authors>
    <author>Ptáčková Eva</author>
  </authors>
  <commentList>
    <comment ref="E51" authorId="0">
      <text>
        <r>
          <rPr>
            <b/>
            <sz val="9"/>
            <color indexed="81"/>
            <rFont val="Tahoma"/>
            <family val="2"/>
            <charset val="238"/>
          </rPr>
          <t>Ptáčková Eva:</t>
        </r>
        <r>
          <rPr>
            <sz val="9"/>
            <color indexed="81"/>
            <rFont val="Tahoma"/>
            <family val="2"/>
            <charset val="238"/>
          </rPr>
          <t xml:space="preserve">
účet 672 je výnosový, proč je ve sloupci nákladů?</t>
        </r>
      </text>
    </comment>
  </commentList>
</comments>
</file>

<file path=xl/sharedStrings.xml><?xml version="1.0" encoding="utf-8"?>
<sst xmlns="http://schemas.openxmlformats.org/spreadsheetml/2006/main" count="5143" uniqueCount="1348">
  <si>
    <t>1.</t>
  </si>
  <si>
    <t>Výnosy celkem</t>
  </si>
  <si>
    <t>2.</t>
  </si>
  <si>
    <t>3.</t>
  </si>
  <si>
    <t>4.</t>
  </si>
  <si>
    <t>5.</t>
  </si>
  <si>
    <t>6.</t>
  </si>
  <si>
    <t>Příspěvek na investice</t>
  </si>
  <si>
    <t>7.</t>
  </si>
  <si>
    <t>Náklady celkem</t>
  </si>
  <si>
    <t>8.</t>
  </si>
  <si>
    <t>9.</t>
  </si>
  <si>
    <t>10.</t>
  </si>
  <si>
    <t>11.</t>
  </si>
  <si>
    <t>12.</t>
  </si>
  <si>
    <t>13.</t>
  </si>
  <si>
    <t>14.</t>
  </si>
  <si>
    <t>15.</t>
  </si>
  <si>
    <t>16.</t>
  </si>
  <si>
    <t>17.</t>
  </si>
  <si>
    <t>18.</t>
  </si>
  <si>
    <t>19.</t>
  </si>
  <si>
    <t>20.</t>
  </si>
  <si>
    <t>21.</t>
  </si>
  <si>
    <t>Průměrná měsíční mzda</t>
  </si>
  <si>
    <t>Kč</t>
  </si>
  <si>
    <t>osob</t>
  </si>
  <si>
    <t>Fyzický stav pracovníků</t>
  </si>
  <si>
    <t>501 - Spotřeba materiálu</t>
  </si>
  <si>
    <t>502 - Spotřeba energie</t>
  </si>
  <si>
    <t>512 - Cestovné</t>
  </si>
  <si>
    <t>518 - Ostatní služby</t>
  </si>
  <si>
    <t>521 - Mzdové náklady</t>
  </si>
  <si>
    <t>Evid. přepočtený stav pracovníků</t>
  </si>
  <si>
    <t>Celkem</t>
  </si>
  <si>
    <t>Roční plán</t>
  </si>
  <si>
    <t>Skutečnost</t>
  </si>
  <si>
    <t>SK/RP</t>
  </si>
  <si>
    <t>Doplňková činnost</t>
  </si>
  <si>
    <t>Vztah ke zřizovateli</t>
  </si>
  <si>
    <t>Poř. číslo</t>
  </si>
  <si>
    <t>Ukazatel</t>
  </si>
  <si>
    <t>Měrná jednotka</t>
  </si>
  <si>
    <t>Vztah k Olomouckému kraji, popř. SR ČR apod.</t>
  </si>
  <si>
    <t>Schválený roční plán</t>
  </si>
  <si>
    <t>22.</t>
  </si>
  <si>
    <t>60X až 64X - Výnosy z činnosti</t>
  </si>
  <si>
    <t>66X - Finanční výnosy</t>
  </si>
  <si>
    <t>513 - Náklady na reprezentaci</t>
  </si>
  <si>
    <t>524, 525 - Zákonné a jiné sociální pojištění</t>
  </si>
  <si>
    <t>527, 528 - Zákonné a jiné sociální náklady</t>
  </si>
  <si>
    <t>23.</t>
  </si>
  <si>
    <t>24.</t>
  </si>
  <si>
    <t>56X - Finanční náklady</t>
  </si>
  <si>
    <t>25.</t>
  </si>
  <si>
    <t>26.</t>
  </si>
  <si>
    <t>27.</t>
  </si>
  <si>
    <t>28.</t>
  </si>
  <si>
    <t>Výsledek hospodaření po zdanění</t>
  </si>
  <si>
    <t>29.</t>
  </si>
  <si>
    <t>30.</t>
  </si>
  <si>
    <t>31.</t>
  </si>
  <si>
    <t>67X - Výnosy z transferů</t>
  </si>
  <si>
    <t>50X - Jiné spotřebované nákupy</t>
  </si>
  <si>
    <t>511 - Opravy a udržování</t>
  </si>
  <si>
    <t>53X - Daně a poplatky</t>
  </si>
  <si>
    <t>541, 542 - Pokuty, úroky z prodlení  a penále</t>
  </si>
  <si>
    <t>549 - Ostatní náklady z činnosti</t>
  </si>
  <si>
    <t>54X - Jiné ostatní náklady</t>
  </si>
  <si>
    <t>551 - Odpisy dlouhodobého majetku</t>
  </si>
  <si>
    <t>55X - Jiné odpisy, rezervy a opravné položky</t>
  </si>
  <si>
    <t>57X - Náklady na transfery</t>
  </si>
  <si>
    <t>59X - Daň z příjmů</t>
  </si>
  <si>
    <t>543 - Dary a jiná bezúplatná předání</t>
  </si>
  <si>
    <t>558 - Náklady z drobného dlouhodobého majetku</t>
  </si>
  <si>
    <t>Mateřská škola Prostějov, Smetanova ul. 24, příspěvková organizace</t>
  </si>
  <si>
    <t>Mateřská škola Prostějov, ul. Šárka 4a</t>
  </si>
  <si>
    <t>Celkem hlavní činnost</t>
  </si>
  <si>
    <t>Vztah k Olomouckému kraji, popř. SR ČR, EU apod.</t>
  </si>
  <si>
    <t>541, 542 - Pokuty, úroky z prodlení a penále</t>
  </si>
  <si>
    <t>Výsledek hospodaření</t>
  </si>
  <si>
    <t>Mateřská škola Prostějov, příspěvková organizace, Moravská ul. 30, IČO 70982945</t>
  </si>
  <si>
    <t>Celkem doplňková činnost</t>
  </si>
  <si>
    <t>Základní škola a mateřská škola Prostějov, Melantrichova ul. 60</t>
  </si>
  <si>
    <t>Základní škola Prostějov, ul. E. Valenty 52, 796 03 Prostějov</t>
  </si>
  <si>
    <t>Základní škola a mateřská škola Prostějov, Palackého tř. 14</t>
  </si>
  <si>
    <t>Základní škola Prostějov, ul. Vl. Majakovského 1</t>
  </si>
  <si>
    <t>Základní škola Prostějov, ul. Dr. Horáka 24</t>
  </si>
  <si>
    <t>Reálné gymnázium a základní škola města Prostějova, Studentská ul. 2</t>
  </si>
  <si>
    <t>Městská knihovna Prostějov, příspěvková organizace</t>
  </si>
  <si>
    <t>Jesle sídliště Svobody v Prostějově, sídliště Svobody 3577/78, Prostějov, IČO 47920360</t>
  </si>
  <si>
    <t>Základní škola a mateřská škola Prostějov, Kollárova 4</t>
  </si>
  <si>
    <t xml:space="preserve">Příspěvková organizace: </t>
  </si>
  <si>
    <t>Kategorie</t>
  </si>
  <si>
    <t>Hlavní činnost (zřizovatel)</t>
  </si>
  <si>
    <t>Doplňková činnost (zřizovatel)</t>
  </si>
  <si>
    <t>Ostatní</t>
  </si>
  <si>
    <t>Peněžní fond</t>
  </si>
  <si>
    <t>Zřizovatel</t>
  </si>
  <si>
    <t>Organizace</t>
  </si>
  <si>
    <t>Rezervní fond</t>
  </si>
  <si>
    <t>Fond odměn</t>
  </si>
  <si>
    <t>Rezervní fond celkem</t>
  </si>
  <si>
    <t>Investiční fond</t>
  </si>
  <si>
    <t>Fond kulturních a sociálních potřeb</t>
  </si>
  <si>
    <t>Číslo účtu - Název účtu dle rozvahy</t>
  </si>
  <si>
    <t>Číslo faktury</t>
  </si>
  <si>
    <t>Způsob vymáhání pohledávky po lhůtě splatnosti (dosavadní a plánovaný)</t>
  </si>
  <si>
    <t>Účel</t>
  </si>
  <si>
    <t>Text úpravy finančního plánu</t>
  </si>
  <si>
    <t>Datum schválení úpravy FP</t>
  </si>
  <si>
    <t>Datum provedení úpravy FP</t>
  </si>
  <si>
    <t>Požadovaný komentář :</t>
  </si>
  <si>
    <t>Organizace neeviduje pohledávky po lhůtě splatnosti.</t>
  </si>
  <si>
    <t>Důvod úpravy</t>
  </si>
  <si>
    <t>Analytický účet</t>
  </si>
  <si>
    <t>Částka ± úpravy výnosů v Kč</t>
  </si>
  <si>
    <t>Částka ± úpravy nákladů v Kč</t>
  </si>
  <si>
    <t>Datum schválení úpravy</t>
  </si>
  <si>
    <t>Datum provedení úpravy</t>
  </si>
  <si>
    <t>551/0310</t>
  </si>
  <si>
    <t>518/0320</t>
  </si>
  <si>
    <t>648/0320</t>
  </si>
  <si>
    <t>558/0300</t>
  </si>
  <si>
    <t>511/0310</t>
  </si>
  <si>
    <t>501/0350</t>
  </si>
  <si>
    <t>648/0330</t>
  </si>
  <si>
    <t>521/0307</t>
  </si>
  <si>
    <t>525/0300</t>
  </si>
  <si>
    <t>602/0310</t>
  </si>
  <si>
    <t>511/0320</t>
  </si>
  <si>
    <t>512/0310</t>
  </si>
  <si>
    <t>Celkem úpravy finančního plánu v Kč</t>
  </si>
  <si>
    <t>Dosažený hospodářský výsledek je v souladu se schváleným finančním plánem</t>
  </si>
  <si>
    <t>Kladný hospodářský výsledek je tvořen zejména z výnosů z pronájmu a využití možnosti refundace osobních nákladů</t>
  </si>
  <si>
    <t>Není stanoveno.</t>
  </si>
  <si>
    <t>nejsou</t>
  </si>
  <si>
    <t>Užití fondu dle Zásad pro hospodaření s FKSP.</t>
  </si>
  <si>
    <t>648/320</t>
  </si>
  <si>
    <t>501/430</t>
  </si>
  <si>
    <t>501/461</t>
  </si>
  <si>
    <t>558/300</t>
  </si>
  <si>
    <t>662/310</t>
  </si>
  <si>
    <t>Ostatní výnosy z činnosti</t>
  </si>
  <si>
    <t>649/330</t>
  </si>
  <si>
    <t>Jiné pokuty a penále</t>
  </si>
  <si>
    <t>542/310</t>
  </si>
  <si>
    <t>672/320</t>
  </si>
  <si>
    <t>Stravné</t>
  </si>
  <si>
    <t>602/300</t>
  </si>
  <si>
    <t>501/300</t>
  </si>
  <si>
    <t>Cestovné - školení</t>
  </si>
  <si>
    <t>512/300</t>
  </si>
  <si>
    <t>Ostatní služby</t>
  </si>
  <si>
    <t>518/442</t>
  </si>
  <si>
    <t>525/300</t>
  </si>
  <si>
    <t>Zákonné sociální náklady</t>
  </si>
  <si>
    <t>527/300</t>
  </si>
  <si>
    <t>524/300</t>
  </si>
  <si>
    <t>524/310</t>
  </si>
  <si>
    <t>511/300</t>
  </si>
  <si>
    <t>544/330</t>
  </si>
  <si>
    <t>Výnosy z prodeje materiálu</t>
  </si>
  <si>
    <t>644/330</t>
  </si>
  <si>
    <t>Spotřeba materiálu</t>
  </si>
  <si>
    <t>644/300</t>
  </si>
  <si>
    <t>neevidujeme žádné pohledávky po lhůtě splatnosti</t>
  </si>
  <si>
    <t>neevidujeme žádné závazky po lhůtě splatnosti</t>
  </si>
  <si>
    <t>jedná se o dar nadace WOMEN FOR WOMEN na projekt Obědy pro děti</t>
  </si>
  <si>
    <t>Test úpravy finančního plánu</t>
  </si>
  <si>
    <t>551.0300</t>
  </si>
  <si>
    <t>649.0310</t>
  </si>
  <si>
    <t>558.0300</t>
  </si>
  <si>
    <t>502.0310</t>
  </si>
  <si>
    <t>511.0310</t>
  </si>
  <si>
    <t>501.0430</t>
  </si>
  <si>
    <t>648.0300</t>
  </si>
  <si>
    <t>501.0350</t>
  </si>
  <si>
    <t>521.0300</t>
  </si>
  <si>
    <t>511.0320</t>
  </si>
  <si>
    <t>512.0300</t>
  </si>
  <si>
    <t>518.0300</t>
  </si>
  <si>
    <t>513.0300</t>
  </si>
  <si>
    <t>602.0310</t>
  </si>
  <si>
    <t>602.0360</t>
  </si>
  <si>
    <t>649.0320</t>
  </si>
  <si>
    <t>662.0300</t>
  </si>
  <si>
    <t>2. Příděl do  fondů provede organizace na základě písemného vyrozumění Odboru školství, kultury a sportu MMPV.</t>
  </si>
  <si>
    <t>Organizace nemá závazky po lhůtě splatnosti</t>
  </si>
  <si>
    <t>ZŠ a MŠ Jana Železného Prostějov, sídliště Svobody 3578/79</t>
  </si>
  <si>
    <t>DČ - za výnosy z pronájmů, tržby za poskytování stravy</t>
  </si>
  <si>
    <t>Použití na odměny z FO</t>
  </si>
  <si>
    <t>Použití dle platných směrnic FKSP</t>
  </si>
  <si>
    <t>Dar účelově neurčený</t>
  </si>
  <si>
    <t xml:space="preserve"> </t>
  </si>
  <si>
    <t>Navýšení neinvestičního příspěvku -usnesení</t>
  </si>
  <si>
    <t>Neevidujeme pohledávky po lhůtě splatnosti.</t>
  </si>
  <si>
    <t>Neevidujeme závazky po lhůtě splatnosti.</t>
  </si>
  <si>
    <t>navýšení neinvestičního příspěvku</t>
  </si>
  <si>
    <t>672/0500</t>
  </si>
  <si>
    <t>501/0360</t>
  </si>
  <si>
    <t>648/0600</t>
  </si>
  <si>
    <t>vyplacená odměna z fondu odměn</t>
  </si>
  <si>
    <t>521/0300</t>
  </si>
  <si>
    <t>zákonné odvody k vyplacené odměně</t>
  </si>
  <si>
    <t>648/0300</t>
  </si>
  <si>
    <t>524/0300, 524/0310</t>
  </si>
  <si>
    <t>527/0300</t>
  </si>
  <si>
    <t>schválené čerpání rezervního fondu</t>
  </si>
  <si>
    <t>511/0300</t>
  </si>
  <si>
    <t>502/0320</t>
  </si>
  <si>
    <t>501/0430</t>
  </si>
  <si>
    <t>551/0300</t>
  </si>
  <si>
    <t>518/0460</t>
  </si>
  <si>
    <t>501/0090</t>
  </si>
  <si>
    <t>ředitelka školy</t>
  </si>
  <si>
    <t>Úpravy finančního plánu hlavní činnosti:</t>
  </si>
  <si>
    <t>Účet 506 - aktivace dlouhodobého majetku -výroba nábytku školník</t>
  </si>
  <si>
    <t>Účet 644 - Výnosy z prodeje materiálu - čipy - prodáno více čipů v hodnotě 70 Kč/ks</t>
  </si>
  <si>
    <t xml:space="preserve">Účet 544 - Prodaný materiál - čipy - prodáno více čipů </t>
  </si>
  <si>
    <t>Úpravy finančního plánu doplňkové činnosti:</t>
  </si>
  <si>
    <t>Sestavila: Ing. Jana Cesarová</t>
  </si>
  <si>
    <t>Schválil: RNDr. Ing. Rostislav Halaš, ředitel školy, v.r.</t>
  </si>
  <si>
    <t>Základní umělecká škola Vladimíra Ambrose Prostějov</t>
  </si>
  <si>
    <t>Organizace důsledně dbá na výběr dodavatelů, kteří se podílejí na akcích školy. Srovnává jejich cenové nabídky a to nejen u větších finančních objemů, ale i u drobných nákupů. Organizace také důsledně dbá na odběr zboží jako náhradního plnění.</t>
  </si>
  <si>
    <t>Organizace nemá závazky po lhůtě splatnosti.</t>
  </si>
  <si>
    <t>Opravy a udržování</t>
  </si>
  <si>
    <t>Spotřeba energie</t>
  </si>
  <si>
    <t>501/0300</t>
  </si>
  <si>
    <t>501/0400</t>
  </si>
  <si>
    <t>501/0410</t>
  </si>
  <si>
    <t>501/0500</t>
  </si>
  <si>
    <t>501/0510</t>
  </si>
  <si>
    <t>501/0310</t>
  </si>
  <si>
    <t>518/0600</t>
  </si>
  <si>
    <t>518/0360</t>
  </si>
  <si>
    <t>512/0300</t>
  </si>
  <si>
    <t>518/0380</t>
  </si>
  <si>
    <t>518/0370</t>
  </si>
  <si>
    <t>518/0410</t>
  </si>
  <si>
    <t>518/0411</t>
  </si>
  <si>
    <t>518/0540</t>
  </si>
  <si>
    <t>518/0390</t>
  </si>
  <si>
    <t>518/0330</t>
  </si>
  <si>
    <t>518/0500</t>
  </si>
  <si>
    <t>518/0480</t>
  </si>
  <si>
    <t>527/0320</t>
  </si>
  <si>
    <t>538/0300</t>
  </si>
  <si>
    <t>538/0320</t>
  </si>
  <si>
    <t>603/0300</t>
  </si>
  <si>
    <t>518/0542</t>
  </si>
  <si>
    <t>518/0430</t>
  </si>
  <si>
    <t>549/0300</t>
  </si>
  <si>
    <t>549/0360</t>
  </si>
  <si>
    <t>501/0461</t>
  </si>
  <si>
    <t>646/0300</t>
  </si>
  <si>
    <t>548/0360</t>
  </si>
  <si>
    <t>518/0440</t>
  </si>
  <si>
    <t>501/0340</t>
  </si>
  <si>
    <t>518/0340</t>
  </si>
  <si>
    <t>518/0350</t>
  </si>
  <si>
    <t>672/0310</t>
  </si>
  <si>
    <t>524/0300</t>
  </si>
  <si>
    <t>524/0310</t>
  </si>
  <si>
    <t>549/0310</t>
  </si>
  <si>
    <t>501/0460</t>
  </si>
  <si>
    <t>501/0470</t>
  </si>
  <si>
    <t>501/0380</t>
  </si>
  <si>
    <t>501/0390</t>
  </si>
  <si>
    <t>501/0440</t>
  </si>
  <si>
    <t>511/0340</t>
  </si>
  <si>
    <t>549/0320</t>
  </si>
  <si>
    <t>501/0450</t>
  </si>
  <si>
    <t>521/0337</t>
  </si>
  <si>
    <t>521/0330</t>
  </si>
  <si>
    <t>521/0350</t>
  </si>
  <si>
    <t>527/0330</t>
  </si>
  <si>
    <t>527/0310</t>
  </si>
  <si>
    <t>549/0370</t>
  </si>
  <si>
    <t>511/0330</t>
  </si>
  <si>
    <t>518/0300</t>
  </si>
  <si>
    <t>518/0400</t>
  </si>
  <si>
    <t>518/0490</t>
  </si>
  <si>
    <t>502/0300</t>
  </si>
  <si>
    <t>602/0336</t>
  </si>
  <si>
    <t>602/0337</t>
  </si>
  <si>
    <t>602/0390</t>
  </si>
  <si>
    <t>521/0000</t>
  </si>
  <si>
    <t>524/0000</t>
  </si>
  <si>
    <t>527/0000</t>
  </si>
  <si>
    <t>502/0000</t>
  </si>
  <si>
    <t>502/0010</t>
  </si>
  <si>
    <t>603/0001</t>
  </si>
  <si>
    <t>502/0020</t>
  </si>
  <si>
    <t>501/0150</t>
  </si>
  <si>
    <t>501/0160</t>
  </si>
  <si>
    <t>501/0161</t>
  </si>
  <si>
    <t>501/0170</t>
  </si>
  <si>
    <t>511/0000</t>
  </si>
  <si>
    <t>551/0000</t>
  </si>
  <si>
    <t>551/0010</t>
  </si>
  <si>
    <t>549/0000</t>
  </si>
  <si>
    <t>558/0000</t>
  </si>
  <si>
    <t>518/0010</t>
  </si>
  <si>
    <t>518/0240</t>
  </si>
  <si>
    <t>518/0200</t>
  </si>
  <si>
    <t>518/0130</t>
  </si>
  <si>
    <t>518/0180</t>
  </si>
  <si>
    <t>518/0131</t>
  </si>
  <si>
    <t>603/0012</t>
  </si>
  <si>
    <t>603/0040</t>
  </si>
  <si>
    <t>501/0130</t>
  </si>
  <si>
    <t>501/0200</t>
  </si>
  <si>
    <t>511/0010</t>
  </si>
  <si>
    <t>511/0020</t>
  </si>
  <si>
    <t>511/0030</t>
  </si>
  <si>
    <t>518/0050</t>
  </si>
  <si>
    <t>518/0160</t>
  </si>
  <si>
    <t>525/0000</t>
  </si>
  <si>
    <t>549/0010</t>
  </si>
  <si>
    <t>531/0000</t>
  </si>
  <si>
    <t>Městská knihovna Prostějov, příspěvková organizace, Skálovo nám. 6, Prostějov</t>
  </si>
  <si>
    <t>311/0200 - odběratelé, čtenáři - 4. upomínky</t>
  </si>
  <si>
    <t>Organizace nemá žádné závazky po lhůtě splatnosti.</t>
  </si>
  <si>
    <t>Úč. 502 (spotřeba energií) - snížení na základě žádosti povolené OŠKS</t>
  </si>
  <si>
    <t>Zapsala: Jana Zatloukalová</t>
  </si>
  <si>
    <t>Městské divadlo v Prostějově, příspěvková organizace</t>
  </si>
  <si>
    <t>Výsledek hospodaření navrhuje organizace po schválení zřizovatelem uložit do RF k dalšímu rozvoji organizace.</t>
  </si>
  <si>
    <t>žádné</t>
  </si>
  <si>
    <t>Hlavní činnost</t>
  </si>
  <si>
    <t>Čerpání FO na odměnu ředitelky z DČ</t>
  </si>
  <si>
    <t>Organizace nemá pohledávky po lhůtě splatnosti</t>
  </si>
  <si>
    <t>521/0306</t>
  </si>
  <si>
    <t>602/0315</t>
  </si>
  <si>
    <t>524/0307</t>
  </si>
  <si>
    <t>524/0317</t>
  </si>
  <si>
    <t>K 31.12.2017</t>
  </si>
  <si>
    <t>Srovn. skut. 2016</t>
  </si>
  <si>
    <t>Mateřská škola Prostějov, ul. Šárka 4a      31.12.2017</t>
  </si>
  <si>
    <t>K31.12.2017</t>
  </si>
  <si>
    <t>K 30.6.2017</t>
  </si>
  <si>
    <t>Mateřská škola Prostějov, Rumunská ul. 23, 796 01 Prostějov</t>
  </si>
  <si>
    <t>Mateřská škola Prostějov,Partyzánská ul. 34 - příspěvková organizace</t>
  </si>
  <si>
    <t>x</t>
  </si>
  <si>
    <t>Mzdy jsou vypláceny na DPP a DPČ</t>
  </si>
  <si>
    <t>Jsou vypláceny odměny z DČ - žádný prac. poměr</t>
  </si>
  <si>
    <t>žádný pracovní poměr</t>
  </si>
  <si>
    <t>Základní škola a mateřská škola Prostějov, Kollárova ul.4, IČO 47922494</t>
  </si>
  <si>
    <t>504 - Jiné spotřebované nákupy</t>
  </si>
  <si>
    <t>538 - Daně a poplatky</t>
  </si>
  <si>
    <t>Základní škola a mateřská škola Jana Železného Prostějov, sídliště Svobody 3578/79     IČO:47922770</t>
  </si>
  <si>
    <t>,</t>
  </si>
  <si>
    <t>Sportcentrum - dům dětí a mládeže Prostějov, příspěvková organizace, Olympijská 4228/4, 796 01 Prostějov</t>
  </si>
  <si>
    <t>KINO METRO 70 Prostějov, příspěvková organizace, Školní 3694/1, 79601 Prostějov, IČO:05592178</t>
  </si>
  <si>
    <t>1. Zlepšený výsledek hospodaření za rok 2017</t>
  </si>
  <si>
    <t>Komentář k tvorbě hospodářského výsledku roku 2017</t>
  </si>
  <si>
    <t>Celkem rok 2017</t>
  </si>
  <si>
    <t>Výsledek hospodaření je tvořen nedočerpáním nákladových položek - energie, DDHM, aj.</t>
  </si>
  <si>
    <t>Doplňkovou činnost organizace nemá.</t>
  </si>
  <si>
    <t>2. Návrh na rozdělení zlepšeného výsledku hospodaření (zřizovatel) za rok 2017 na základě jeho projednání</t>
  </si>
  <si>
    <t>3. Fondové hospodaření příspěvkové organizace v roce 2017 v Kč</t>
  </si>
  <si>
    <t>Počáteční zůstatek 2017</t>
  </si>
  <si>
    <t>Zdroje 2017</t>
  </si>
  <si>
    <t>Čerpání 2017</t>
  </si>
  <si>
    <t>Konečný zůstatek 2017</t>
  </si>
  <si>
    <t>Komentář k plánovanému užití fondu v roce 2018</t>
  </si>
  <si>
    <t>Rezervní fond se nepoužil na žádné nákupy, čerpaly se pouze prostředky z darů. Na fond jsou převedeny prostředky z projektu ŠABLONY v  částce  391 615,20 Kč, zbylých 43 360,74 Kč organizace využije dle potřeby, která se vyskytne v průběhu roku 2018.</t>
  </si>
  <si>
    <t xml:space="preserve"> Z fondu investic škola použila 100 tis.na nákup kotle výměnou v MŠ Šárka, dokryla částečně nákup robota do ŠJ Libušinka, použila navýšení financí MMPv k vybudování kanalizace v MŠ Žešov, nakoupila robot do ŠJ Libušinka a využila VH z roku 2016. Fond investic bude použit na potřebné případné  dokrytí nákladů r. 2018.</t>
  </si>
  <si>
    <t>Fond odměn bude čerpán dle potřeby na mimořádné odměny zaměstnanců.</t>
  </si>
  <si>
    <t xml:space="preserve"> Fond FKSP organizace čerpá dle směrnice školy na životní pojištění a životní nebo pracovní výročí, v souladu s vyhláškou 114/2002 v platném znění. Rozdíl mezi konečným zůstatkem a finančním krytím je způsoben převodem 2 %  z hrubých mezd a z odvodů pojištění za zaměstnance a  vyrovnání poplatků z běžného účtu. 
</t>
  </si>
  <si>
    <t>4. Pohledávky roku 2017 po lhůtě splatnosti</t>
  </si>
  <si>
    <t>Organizace nemá po splatnosti žádné pohledávky.</t>
  </si>
  <si>
    <t>5. Závazky roku 2017 po lhůtě splatnosti</t>
  </si>
  <si>
    <t>Organizace nemá po lhůtě splatnosti žádné závazky.</t>
  </si>
  <si>
    <t>6. Přehled přijatých darů v roce 2017</t>
  </si>
  <si>
    <t>Čerpáno v roce 2017 (Kč)</t>
  </si>
  <si>
    <t>Nákup hraček a didaktických her.</t>
  </si>
  <si>
    <t>7. Úpravy finančního plánu příspěvkové organizace v roce 2017</t>
  </si>
  <si>
    <t>navýšení rozpočtu na opravu vnitřního ochozu školy -  Dvořákova</t>
  </si>
  <si>
    <t>oprava Dvořákova</t>
  </si>
  <si>
    <t>navýšení rozpočtu na opravu vnitřního ochozu školy . Dvořákova</t>
  </si>
  <si>
    <t>navýšení neinv.příspěvku - dodláždění chodníku MŠ Šárka</t>
  </si>
  <si>
    <t>dodláždění chodníku MŠ Šárka</t>
  </si>
  <si>
    <t>navýšení rozpočtu na malby, nátěry, .. MŠ Žešov</t>
  </si>
  <si>
    <t>Malby, nátěry,.. MŠ Žešov</t>
  </si>
  <si>
    <t>úklid MŠ Žešov</t>
  </si>
  <si>
    <t>HV 2016</t>
  </si>
  <si>
    <t xml:space="preserve">oprava plotu </t>
  </si>
  <si>
    <t>čerpání fondu investic</t>
  </si>
  <si>
    <t>oprava kotle výměnou (z vlastního FI)</t>
  </si>
  <si>
    <t>spotřeba materiálu</t>
  </si>
  <si>
    <t>ostatní náklady z činnosti</t>
  </si>
  <si>
    <t>opravy a udržování</t>
  </si>
  <si>
    <t>energie</t>
  </si>
  <si>
    <t>ostatní služby</t>
  </si>
  <si>
    <t>odpisy dlouhodobého majetku</t>
  </si>
  <si>
    <t>náklady DDHM</t>
  </si>
  <si>
    <t>8. Plnění opatření z minulého kontrolního dne k výsledkům hospodaření za I. pololetí roku 2017</t>
  </si>
  <si>
    <t>Z minulého komtrolního dne nebyla určena žádná opatření.</t>
  </si>
  <si>
    <t>9. Ostatní závěry, které vyplynuly z jednání kontrolního dne k výsledkům hospodaření za rok 2017, vztahované k období roku 2018, popř. obdobím následujícím</t>
  </si>
  <si>
    <t xml:space="preserve">Organizace nedopatřením odeslala za odpisy zřizovateli v roce 2017 částku 414 612,00 Kč místo uložené částky Radou města Prostějova 416 612,- Kč. Rozdíl 2.000,00 Kč organizace pošle dodatečně na účet zřizovatele v roce 2018 (dle domluvy na KD do 15. 4. 2018 a tuto skutečnost oznámí vedoucímu Odboru školství, kultury a sportu). Finanční prostředky z VH v částce 175 633,48 převede organizace do rezervního fondu organizace a následně posílí fond investic na nutnou opravu chodby v MŠ Libušinka včetně odizolování stěny u botníků dětí. </t>
  </si>
  <si>
    <t>Zpracovala: Mgr. Iveta Bittnerová</t>
  </si>
  <si>
    <t>Dne: 29. 3. 2018</t>
  </si>
  <si>
    <t>Mateřská škola Prostějov, Rumunská ul. 23, příspěvková organizace          IČO: 70982821</t>
  </si>
  <si>
    <t>Zlepšený hospodářský výsledek k 31. 12. 2017 je dosažený úsporným a efektivním přístupem všech pracovníků.</t>
  </si>
  <si>
    <t>MŠ neprovozuje doplňkovou činnost</t>
  </si>
  <si>
    <t>Rezervní fond bude použit na nákup majetku vyplývající z potřeb MŠ a řešení případných havarijních situací.</t>
  </si>
  <si>
    <t>Po schválení zřizovatelem bychom chtěli  provést výstavbu terasy pro děti.</t>
  </si>
  <si>
    <t>FO slouží jako rezerva při event. překročení prostředků na platy.</t>
  </si>
  <si>
    <t>Organizace neeviduje žádné pohledávky po lhůtě splatnosti.</t>
  </si>
  <si>
    <t>Organizace neeviduje žádné závazky po lhůtě splatnosti.</t>
  </si>
  <si>
    <t>Finanční dar účelově neurčený</t>
  </si>
  <si>
    <t>Úpravy finančního plánu hlavní činnosti ke zřizovateli</t>
  </si>
  <si>
    <t>RMP schválila dne 3. 10.2017 navýšení odpisů DHM</t>
  </si>
  <si>
    <t>551/300</t>
  </si>
  <si>
    <t>3.10.2017</t>
  </si>
  <si>
    <t>RMP schválila dne 3. 10. 2017 navýšení odpisů z pol. 501</t>
  </si>
  <si>
    <t>RMP dne 16. 11.2017 schválila snížení neinv. příspěvku</t>
  </si>
  <si>
    <t>672/310</t>
  </si>
  <si>
    <t>16.11.2017</t>
  </si>
  <si>
    <t>RMP dne 16. 11. schválila snížení neinv. přísp. z pol. 502</t>
  </si>
  <si>
    <t>502/320</t>
  </si>
  <si>
    <t>Vedoucí OŠKS schválil navýšení pol. opravy</t>
  </si>
  <si>
    <t>1.12.2017</t>
  </si>
  <si>
    <t>Vedoucí OŠKS schválil navýšení pol. opravy z pol. 502</t>
  </si>
  <si>
    <t>502/000</t>
  </si>
  <si>
    <t>Spotřeba materiálu - potraviny</t>
  </si>
  <si>
    <t>31.12.2017</t>
  </si>
  <si>
    <t>Spotřeba energií - plyn</t>
  </si>
  <si>
    <t>502/310</t>
  </si>
  <si>
    <t>Náklady na reprezentaci</t>
  </si>
  <si>
    <t>513/330</t>
  </si>
  <si>
    <t>Ostatní náklady z činnosti</t>
  </si>
  <si>
    <t>549/300</t>
  </si>
  <si>
    <t>Náklady z DDHM</t>
  </si>
  <si>
    <t>Stravování - děti</t>
  </si>
  <si>
    <t>Stravování - zaměstnanci</t>
  </si>
  <si>
    <t>602/301</t>
  </si>
  <si>
    <t>Školné</t>
  </si>
  <si>
    <t>602/310</t>
  </si>
  <si>
    <t>649/310</t>
  </si>
  <si>
    <t>Žádné opatření z minulého kontrolního dne nebylo uloženo.</t>
  </si>
  <si>
    <t>Účastníci kontrolního dne, vzhledem k provedené analýze výsledku hospodaření, doporučují ponechat organizaci zlepšený hospodářský výsledek v hlavní činnosti ve výši 12.936,61 Kč pro příděl do peněžních fondů organizace dle zákona č. 250/2000 Sb., o rozpočtových pravidlech územních rozpočtů, ve znění pozdějších předpisů, na základě předložených požadavků a potřeb organizace. Do rezervního fondu navrhujeme přidělit 12.936,61 Kč na nákup majetku vyplývající z potřeb školy a řešení případných havarijních situací.</t>
  </si>
  <si>
    <t>V Prostějově dne 29. 3. 2018</t>
  </si>
  <si>
    <t>Zpracovala: Mgr. Ludiše Musilová, ředitelka MŠ</t>
  </si>
  <si>
    <t>Mateřská škola Prostějov, Moravská ul. 30, příspěvková organizace     IČ: 70982945</t>
  </si>
  <si>
    <t xml:space="preserve">Úsporný režim na všech energiích, především na tepelné a plynu, tržby za školné, prodej
materiálu a kovového šrotu, 518 - nedočerpané jednotl. položky, úroky. </t>
  </si>
  <si>
    <t>Zůstatek z navýšení</t>
  </si>
  <si>
    <t>neinvest. příspěvku</t>
  </si>
  <si>
    <t>na opravu plotu.</t>
  </si>
  <si>
    <t>Účelově vázáno na obnovu nábytku.</t>
  </si>
  <si>
    <t>Odměny pro zaměst.</t>
  </si>
  <si>
    <t xml:space="preserve">Případné dokrytí </t>
  </si>
  <si>
    <t>mezd.</t>
  </si>
  <si>
    <t>Čerpání " Šablon pro MŠ" - dle rozpočtu, dále obnova nábytku.
Dětské zahradní zařízení.
Rezerva organizace pro nutné čerpání.</t>
  </si>
  <si>
    <t>Nezbytné opravy, revitalizace školních zahrad.
Bylo čerpáno na opravu schodů a podesty při vstupu do MŠ -  8/2017.</t>
  </si>
  <si>
    <t>Na odměny zaměstnancům, při případném překročení na platy.</t>
  </si>
  <si>
    <t>Čerpání dle rozpočtu 2018 - příspěvek na stravování zaměstnanců, 
ozdravný program, dary k pracovním a životním výročím.</t>
  </si>
  <si>
    <t>ORGANIZACE  NEMÁ  POHLEDÁVKY  PO LHŮTĚ  SPLATNOSTI.</t>
  </si>
  <si>
    <t>ORGANIZACE  NEMÁ  ZÁVAZKY  PO LHŮTĚ  SPLATNOSTI.</t>
  </si>
  <si>
    <t>Finanční dary = 50 507,00  Kč</t>
  </si>
  <si>
    <t>Byly čerpány dary z předchozích období na nákup dětského zahradního zařízení.</t>
  </si>
  <si>
    <r>
      <rPr>
        <b/>
        <u/>
        <sz val="9"/>
        <color rgb="FFFF0000"/>
        <rFont val="Times New Roman"/>
        <family val="1"/>
        <charset val="238"/>
      </rPr>
      <t>Čerpání RF - z ostatních titulů (finanční dary).</t>
    </r>
    <r>
      <rPr>
        <b/>
        <u/>
        <sz val="9"/>
        <color rgb="FF0070C0"/>
        <rFont val="Times New Roman"/>
        <family val="1"/>
        <charset val="238"/>
      </rPr>
      <t xml:space="preserve">
</t>
    </r>
    <r>
      <rPr>
        <sz val="9"/>
        <rFont val="Times New Roman"/>
        <family val="1"/>
        <charset val="238"/>
      </rPr>
      <t>Pořízení herních prvků na školní zahradu - Mor/Rais.</t>
    </r>
  </si>
  <si>
    <t>648/0320
558/0300</t>
  </si>
  <si>
    <t xml:space="preserve">
25 850,00</t>
  </si>
  <si>
    <t>7.3.2017
7.3.2017</t>
  </si>
  <si>
    <r>
      <rPr>
        <b/>
        <u/>
        <sz val="9"/>
        <color rgb="FF0070C0"/>
        <rFont val="Times New Roman"/>
        <family val="1"/>
        <charset val="238"/>
      </rPr>
      <t>Čerpání RF- ZVH.</t>
    </r>
    <r>
      <rPr>
        <b/>
        <u/>
        <sz val="9"/>
        <rFont val="Times New Roman"/>
        <family val="1"/>
        <charset val="238"/>
      </rPr>
      <t xml:space="preserve">
</t>
    </r>
    <r>
      <rPr>
        <sz val="9"/>
        <rFont val="Times New Roman"/>
        <family val="1"/>
        <charset val="238"/>
      </rPr>
      <t>Pořízení herních prvků na školní zahradu - Mor/Rais.</t>
    </r>
  </si>
  <si>
    <t xml:space="preserve">
19 000,00</t>
  </si>
  <si>
    <r>
      <rPr>
        <b/>
        <u/>
        <sz val="9"/>
        <color rgb="FFFF0000"/>
        <rFont val="Times New Roman"/>
        <family val="1"/>
        <charset val="238"/>
      </rPr>
      <t>Čerpání RF - z ostatních titulů (finanční dary).</t>
    </r>
    <r>
      <rPr>
        <sz val="9"/>
        <color indexed="8"/>
        <rFont val="Times New Roman"/>
        <family val="1"/>
        <charset val="238"/>
      </rPr>
      <t xml:space="preserve">
Pořízení herních prvků na školní zahradu - Mor.</t>
    </r>
  </si>
  <si>
    <t xml:space="preserve">
5 000,00</t>
  </si>
  <si>
    <t>1.5.2017
1.5.2017</t>
  </si>
  <si>
    <r>
      <rPr>
        <b/>
        <u/>
        <sz val="9"/>
        <color rgb="FF0070C0"/>
        <rFont val="Times New Roman"/>
        <family val="1"/>
        <charset val="238"/>
      </rPr>
      <t>Čerpání RF - ZVH.</t>
    </r>
    <r>
      <rPr>
        <b/>
        <u/>
        <sz val="9"/>
        <rFont val="Times New Roman"/>
        <family val="1"/>
        <charset val="238"/>
      </rPr>
      <t xml:space="preserve">
</t>
    </r>
    <r>
      <rPr>
        <sz val="9"/>
        <rFont val="Times New Roman"/>
        <family val="1"/>
        <charset val="238"/>
      </rPr>
      <t>Pořízení herních prvků na školní zahradu - Mor.</t>
    </r>
  </si>
  <si>
    <r>
      <rPr>
        <b/>
        <sz val="9"/>
        <rFont val="Times New Roman"/>
        <family val="1"/>
        <charset val="238"/>
      </rPr>
      <t>Úspory na telefonních poplatcích a školení.</t>
    </r>
    <r>
      <rPr>
        <sz val="9"/>
        <rFont val="Times New Roman"/>
        <family val="1"/>
        <charset val="238"/>
      </rPr>
      <t xml:space="preserve">
Nutné technické zhodnocení programu EMA.</t>
    </r>
  </si>
  <si>
    <t>518/0410
518/0390</t>
  </si>
  <si>
    <t>Technické zhodnocení programu EMA.</t>
  </si>
  <si>
    <t>549/0330</t>
  </si>
  <si>
    <t>Navýšení neinvestičního příspěvku zřizovatele na
opravu části oplocení školní školní zahrady, vč.
podezdívky - MŠ Moravská.
Usnesení RMP čís. 7561 ze dne 6. 06. 2017.</t>
  </si>
  <si>
    <t xml:space="preserve">672
511/0310
</t>
  </si>
  <si>
    <t xml:space="preserve">
480 000,00
</t>
  </si>
  <si>
    <r>
      <rPr>
        <b/>
        <sz val="9"/>
        <color rgb="FF0070C0"/>
        <rFont val="Times New Roman"/>
        <family val="1"/>
        <charset val="238"/>
      </rPr>
      <t>Čerpání RF - ZVH (částka účelově vázána z KD 
2016).</t>
    </r>
    <r>
      <rPr>
        <sz val="9"/>
        <color indexed="10"/>
        <rFont val="Times New Roman"/>
        <family val="1"/>
        <charset val="238"/>
      </rPr>
      <t xml:space="preserve">
</t>
    </r>
    <r>
      <rPr>
        <sz val="9"/>
        <rFont val="Times New Roman"/>
        <family val="1"/>
        <charset val="238"/>
      </rPr>
      <t>Obnova nábytku - dětských šatních skříněk.</t>
    </r>
  </si>
  <si>
    <t xml:space="preserve">
15 619,00</t>
  </si>
  <si>
    <t>21.8.2017
21.8.2017</t>
  </si>
  <si>
    <t>Čerpání Fondu investic - oprava schodů a podesty
u hlavního vstupu do budovy.
Usnesení RMP čís.7692 ze dne 25. 07. 2017.</t>
  </si>
  <si>
    <t>648/0340
511/0300</t>
  </si>
  <si>
    <t xml:space="preserve">40 000,00
</t>
  </si>
  <si>
    <t xml:space="preserve">
40 000,00</t>
  </si>
  <si>
    <t>25.7.2017
25.7.2017</t>
  </si>
  <si>
    <t>31.8.2017
31.8.2017</t>
  </si>
  <si>
    <t>Úspora na energiích-šetřivý režim, příznivé klima,
zateplení budovy Mor., oprava dveří, oken Raisova.
Schváleno p. Mgr. Petrem Ivánkem 30.11. 2017.</t>
  </si>
  <si>
    <t>Oprava okapového chodníků kolem části obvodu
školní zahrady.</t>
  </si>
  <si>
    <t>Nutná obnova pracovního nářadí - hrábě, rýč, koště,
hliníkové schůdky, drobné nářadí….</t>
  </si>
  <si>
    <t>501/0490</t>
  </si>
  <si>
    <t>Zpracování žádosti a základní projektové dokumentace k Výzvě č. 16/2017 - ŽP MŽP
"Přírodní zahrady".</t>
  </si>
  <si>
    <t>518/0510</t>
  </si>
  <si>
    <t>Nutný nákup DDHM - barevná TV (Raisova),
vysokotlaký čistič Vap (Moravská).</t>
  </si>
  <si>
    <t>Úspora na MDH, dle klima a vzdálenosti cesta
pěšky.</t>
  </si>
  <si>
    <t>Úspora na telefonních službách (pevné linky i mobily).</t>
  </si>
  <si>
    <t>Nákup konstruktivní stavebnice Quatro universal 400
dílů - MŠ Raisova.</t>
  </si>
  <si>
    <t>Nutný nákup várnice - 5 litrů (Raisova) - OEM.</t>
  </si>
  <si>
    <t>Úspora na energiích-šetřivý režim, příznivé klima,
zateplení budovy Mor., oprava dveří, oken Raisova.
Schváleno p. Mgr. Petrem Ivánkem 22.12. 2017.</t>
  </si>
  <si>
    <t>Nutná oprava PVC na schodišti (MŠ Moravská).</t>
  </si>
  <si>
    <t>Doplatek na nákup konstruktivní stavebnice Quatro
400 dílů - MŠ Raisova.</t>
  </si>
  <si>
    <t>Dokrytí opravy PVC na schodišti školy.</t>
  </si>
  <si>
    <r>
      <t>Výnosy z prodeje služeb- školné:</t>
    </r>
    <r>
      <rPr>
        <b/>
        <sz val="9"/>
        <color indexed="8"/>
        <rFont val="Times New Roman"/>
        <family val="1"/>
        <charset val="238"/>
      </rPr>
      <t xml:space="preserve">
</t>
    </r>
    <r>
      <rPr>
        <sz val="9"/>
        <color indexed="8"/>
        <rFont val="Times New Roman"/>
        <family val="1"/>
        <charset val="238"/>
      </rPr>
      <t>naplněná kapacita školy, zvýšení tržeb oproti plánu.</t>
    </r>
  </si>
  <si>
    <t>OEM - doplatek na nákup kávovaru.</t>
  </si>
  <si>
    <r>
      <rPr>
        <b/>
        <u/>
        <sz val="7"/>
        <color indexed="8"/>
        <rFont val="Times New Roman"/>
        <family val="1"/>
        <charset val="238"/>
      </rPr>
      <t xml:space="preserve">   </t>
    </r>
    <r>
      <rPr>
        <b/>
        <u/>
        <sz val="12"/>
        <color indexed="8"/>
        <rFont val="Times New Roman"/>
        <family val="1"/>
        <charset val="238"/>
      </rPr>
      <t>Úpravy finančního plánu doplňkové činnosti</t>
    </r>
  </si>
  <si>
    <t>8. Plnění opatření z minulého kontrolního dne k výsledkům hospodaření za I. pololetí roku 2017.</t>
  </si>
  <si>
    <t>Organizace na základě schválených usnesení -72. RMP ze dne  9.5.2017 č. 7428 a 23. ZMP ze dne 12. a 13.6. 2017 čís. 17118, přidělila peněžním fondům organiz.
schválený výsledek hospodaření 2016 ve výši 20 618,85 Kč. FR = 15 618,85 Kč, Fond odměn = 5 000 Kč. Příděl do fondů byl proveden 27.06.2017.  Finanční prostředky přidělené do FR byly vázány na obnovu nábytku v MŠ. Bylo provedeno v srpnu 2017 na obnovu dětských šatních skříněk. Odvod zřizovateli organizaci
nebyl uložen.
Další uložené úkoly organizace splnila a předložila zřizovateli : zajištění cenové nabídky na generální opravu střechy pro parcoviště MŠ Raisova a opravu terasy
pro MŠ Moravská.
Další závěry ani opatření organizaci nebyla uložena.</t>
  </si>
  <si>
    <t>9. Ostatní závěry, které vyplynuly z jednání kontrolního dne k výsledkům hospodaření za rok 2017, vztahované k období roku 2018, popř. obdobím následujícím.</t>
  </si>
  <si>
    <t xml:space="preserve">Organizaci nebyla uložena žádná opatření ani závěry vyplývající z KD k výsledkům hospodaření za rok 2017. Organizace nepřekročila závazné ukazatele FP pro
rok 2017.
Účastnící KD, vzhledem k provedené analýze výsledku hospodaření organizace, doporučují rozdělení ZVH roku 2017, tak jak je uvedeno výše. Organizace 162 Kč  
odvede zřizovateli (zůstatek z navýšeného neinvest. příspěvku), 25 366,43 Kč pro příděl do peněnžních fondů organizace dle zák. čís. 250/2000 Sb, o rozpočtových
pravidlech územních rozpočtů, ve znění pozdějších předpisů, a na základě předložených požadavků a potřeb organizace. Do RF je navrženo 23 006,43 Kč a bude
vázáno na obnovu nábytku v MŠ, do Fondu odměn 2 360 Kč. Odvod zřizovateli i příděl fondům organizace provede na základě písemného vyrozumění odb. školst.,
kultury a sportu Magistrátu města Prostějova.
Organizace děkuje všem zúčastněným za zdárný průběh kontrolního dne.
V Prostějově dne 3. dubna. 2018                                                                                                              PaedDr. Alena Hekalová, ředit. školy                                                                                                   </t>
  </si>
  <si>
    <t>Příspěvková organizace: Mateřská škola Prostějov, Partyzánská ul. 34</t>
  </si>
  <si>
    <t xml:space="preserve">Úspora finančních prostředků na položkách energie, opravy a udržování, cestovné a náklady DDHM a DHM. </t>
  </si>
  <si>
    <t>Škola nemá žádnou doplňkovou činnost</t>
  </si>
  <si>
    <t>Navýšení zdrojů fondu způsobilo přeúčtování dotace na šablony  ve výši 372 626,40 Kč.  Plánované užití  - nákup sestavy interaktivní tabule v celkové ceně 80 000,- Kč a opravy úložných prvků na lůžkoviny a vybavení MŠ.</t>
  </si>
  <si>
    <t>Nákup herních prvků do zahrady MŠ.</t>
  </si>
  <si>
    <t>Fond odměn bude využit na odměny zaměstnancům v roce 2018.</t>
  </si>
  <si>
    <t xml:space="preserve">Příspěvek na stravu, penzijní pojištění, pracovní a životní výročí, vitamínové balíčky pro zaměstnance. </t>
  </si>
  <si>
    <t>Organizace nemá pohledávky po lhůtě splatnosti.</t>
  </si>
  <si>
    <t xml:space="preserve">Organizace nemá závazky po lhůtě splatnosti. </t>
  </si>
  <si>
    <t>Nákup dataprojektoru</t>
  </si>
  <si>
    <t>Navýšení odpisů - nákup sporáku 2016</t>
  </si>
  <si>
    <t>Snížení ost.n.odběr NP za ZPS</t>
  </si>
  <si>
    <t>Nav.neinv.př. - oprava chodníku MŠ Květná</t>
  </si>
  <si>
    <t>Oprava chodníku MŠ Květná</t>
  </si>
  <si>
    <t>Navýšení výnosů - finanční dar</t>
  </si>
  <si>
    <t>Nákup DDHM - dataprojektor ( finanční dar)</t>
  </si>
  <si>
    <t>Nav.neiv.př. - oprava krytů na radiátory a dveří</t>
  </si>
  <si>
    <t>Oprava krytů na radiátory</t>
  </si>
  <si>
    <t>Navýšení výnosů - odškodnění pojišťovna ČPP</t>
  </si>
  <si>
    <t>Náklady na pojistnou událost</t>
  </si>
  <si>
    <t>Navýšení neinv.příspěvku - oprava kanceláře</t>
  </si>
  <si>
    <t>Oprava kanceláře</t>
  </si>
  <si>
    <t>Navýšení výnosy - odškodnění pojišťovna ČPP</t>
  </si>
  <si>
    <t>Navýšení účtu 518</t>
  </si>
  <si>
    <t>Navýšení účtu 511</t>
  </si>
  <si>
    <t>Navýšení nein.př. - doplatek na poj.událost</t>
  </si>
  <si>
    <t>Navýšení účtu 558</t>
  </si>
  <si>
    <t>Navýšení nein.př. -oprava oplocení MŠ Part.</t>
  </si>
  <si>
    <t>Oprava oplocení MŠ Partyzánská</t>
  </si>
  <si>
    <t>Navýšení záv.ukazatele 521 - mzdy</t>
  </si>
  <si>
    <t>Snížení účtu 502 - energie</t>
  </si>
  <si>
    <t>Navýšení záv. ukazatele 524,52  soc.a zdr.poj.</t>
  </si>
  <si>
    <t>Navýšení účtu 501 - spotřeba materiálu</t>
  </si>
  <si>
    <t>Snížení z účtu 502 - energie</t>
  </si>
  <si>
    <t>Navýšení účtu 518 - ostatní služby</t>
  </si>
  <si>
    <t>Organizace měla vázat 25 880,54 Kč na nákup herního prvku na zahradu, Rada města Prostějova dne 6.6.2017 vyslovila usnesením č. 7558 nesouhlas s převodem peněz z rezervního fondu</t>
  </si>
  <si>
    <t>do fondu investic, k realizaci dojde v průběhu roku 2018.</t>
  </si>
  <si>
    <t xml:space="preserve">Účastníci kontrolního dne vzhledem k provedené analýze výsledku hospodaření doporučují nechat organizaci ZHV ve výši 181 665,46 Kč pro příděl do rezervního fondu, účelově vázaný na nákup interaktivní tabule a opravy úložných prvků na lůžkoviny a vybavení MŠ. Na základě výzvy bude zřizovateli odvedena částka 15 300,- Kč ( z toho 125,- Kč rozdíl mezi výnosy a náklady na účelově určená navýšení neinvestičních příspěvků,účet 521 - částka 6 835,- Kč, účet 524,525 -částka 8 340,- Kč ).Příděl do fondu provede organizace v rámci finančního vypořádání roku 2017 a na základě písemného vyrozumění zřizovatele. </t>
  </si>
  <si>
    <t>Čerpání na realizaci projektu "Vzdělávejme se společně" ve výši nespotřebované části prostředků k 31.12.2017. Čerpání na obnovu vybavení v ZŠ, a to nábytek do sborovny</t>
  </si>
  <si>
    <t>V roce 2018 bude čerpáno na stravování, na rekreaci, sportovní a kulturní akce, peněžité a nepeněžité dary v souladu s plánem čerpání fondu na rok 2017 a platnou legislativou.</t>
  </si>
  <si>
    <t>finanční dar Women and women</t>
  </si>
  <si>
    <t>stravování dětí ze znevýhodněných skupin dle uzavřené darovací smlouvy</t>
  </si>
  <si>
    <t>1. Průběžné čerpání rezervního fondu pokračovalo. Byla provedena oprava sociálního zařízení pro pedaogické pracovníky a správní zaměstnance, vybavení školní družiny. Pokračujícím úkolem je nákup nábytku do sborovny.</t>
  </si>
  <si>
    <t>3. Bude provedena nátěr zábradlí ve vstupu do 1.patra ZŠ, výměna dveří v TV.</t>
  </si>
  <si>
    <t>2. Provedl se nátěr zábradlí ve vstupu do 1.patra ZŠ, výměna dveří v TV.</t>
  </si>
  <si>
    <t>1. Pokračující úkol - nákup nábytku do sborovny z kladného hospodářského výsledku za rok 2017 (zahrnutí pořízení do plánovaného čerpání rezervního fondu)</t>
  </si>
  <si>
    <t>Základní škola Prostějov, ul. E. Valenty 52, 796 03 Prostějov, IČO: 47922303</t>
  </si>
  <si>
    <t>Zlepšený hospodářský výsledek k 31. 12. 2017 je dosažený sníženými náklady na energie. Během volných dnů se minimalizuje provoz výměníkové stanice. Topení rovněž regulujeme ručně v závislosti na venkovní teplotě. V oblasti nákupu materiálu a služeb vznikla úspora v důsledku pravidelné a dlouhodobé péče o majetek a opravami svépomocí.</t>
  </si>
  <si>
    <t>U doplňkové činností se daří plnit výnosy a k tomu náležející náklady podle finančního plánu.</t>
  </si>
  <si>
    <t>Rezervní fond je finančně krytý. V KZ k 31. 12. 2017 rezervního fondu je přeúčtována nespotřebovaná část zálohy na projekt ÚZ 33063 ve výši 707.657,70 Kč. Skutečný použitelný zůstatek rezervního fondu je 122.668,18 Kč. Tyto prostředky si plánujeme ponechat jako rezervnu na nákup majetku vyplývajících z potřeb školy a event. řešení havarijních situací.</t>
  </si>
  <si>
    <t>Nákup bezdotykového terminálu do školní jídelny za cca 55.000 Kč.</t>
  </si>
  <si>
    <t>Realizace mezinárodní odpadové kampaně Litter Less - schváleno zřizovatelem</t>
  </si>
  <si>
    <t>Nákup materiálu pro ekologickou výchovu - schváleno zřizovatelem</t>
  </si>
  <si>
    <t>4 ks tabletů Lenovo od nadace TEREZA - schváleno zřizovatelem</t>
  </si>
  <si>
    <t>Usnesením RMP č. 7073 - čerpání RF - kampaň Litter Less</t>
  </si>
  <si>
    <t xml:space="preserve">Usnesením RMP č. 7073 - ostatní učební pomůcky </t>
  </si>
  <si>
    <t>501/340</t>
  </si>
  <si>
    <t>Usnesením RMP č. 7073 - OEHM</t>
  </si>
  <si>
    <t>Usnesením RMP č. 7073 - spotřeba materiálu - ostatní</t>
  </si>
  <si>
    <t>Usnesením RMP č. 7150 - čerpání RF - nadace SOVA</t>
  </si>
  <si>
    <t>Usnesením RMP č. 7150 - OEHM</t>
  </si>
  <si>
    <t>Usnesením RMP č. 7150 - materiál do ŠD</t>
  </si>
  <si>
    <t>501/360</t>
  </si>
  <si>
    <t>Usnesením RMP č. 7171 - navýšení příspěvku zřizovatele</t>
  </si>
  <si>
    <t>Usnesením RMP č. 7171 - navýšení příspěvku na opravy</t>
  </si>
  <si>
    <t>Usnesením RMP č. 7387 - čerpání rezervního fondu</t>
  </si>
  <si>
    <t>Usnesením RMP č. 7387 - náklady z DDHM</t>
  </si>
  <si>
    <t>Usnesením RMP č. 7491 - navýšení příspěvku na pomůcky</t>
  </si>
  <si>
    <t>Usnesením RMP č. 7491 - učební pomůcky</t>
  </si>
  <si>
    <t>501/330</t>
  </si>
  <si>
    <t>Usnesením RMP č. 7561 - navýšení přísp. - opravy chodníků</t>
  </si>
  <si>
    <t>511/310</t>
  </si>
  <si>
    <t>Výnosy z prodaného materiálu</t>
  </si>
  <si>
    <t>Úroky</t>
  </si>
  <si>
    <t>Spotřeba materiálu - ostatní</t>
  </si>
  <si>
    <t>Náklady z vyřazených pohledávek</t>
  </si>
  <si>
    <t>557/300</t>
  </si>
  <si>
    <t>Servisní prohlídky</t>
  </si>
  <si>
    <t>518/430</t>
  </si>
  <si>
    <t>Usnesením RMP č. 71050 - navýšení příspěvku na opravy</t>
  </si>
  <si>
    <t>Schváleno vedoucím OŠKS - převod nákladů na opravy</t>
  </si>
  <si>
    <t>Schváleno vedoucím OŠKS - převod nákladů z energií</t>
  </si>
  <si>
    <t>Použití fondů - rezervní fond</t>
  </si>
  <si>
    <t>OEHM - 500 - 2.999 Kč</t>
  </si>
  <si>
    <t>Prodaný materiál</t>
  </si>
  <si>
    <t>Ostatní výnosy z činnosti - náhrada škody</t>
  </si>
  <si>
    <t>649/331</t>
  </si>
  <si>
    <t>Sociální pojištění</t>
  </si>
  <si>
    <t>Zdravotní pojištění</t>
  </si>
  <si>
    <t>Mzdové prostředky - čerpání FO</t>
  </si>
  <si>
    <t>521/300</t>
  </si>
  <si>
    <t>Použití fondů - fond odměn</t>
  </si>
  <si>
    <t>648/620</t>
  </si>
  <si>
    <t>Stravování</t>
  </si>
  <si>
    <t>Školní družina</t>
  </si>
  <si>
    <t>602/100</t>
  </si>
  <si>
    <t>Opis vysvědčení</t>
  </si>
  <si>
    <t>602/360</t>
  </si>
  <si>
    <t>Jiné sociální pojištění</t>
  </si>
  <si>
    <t>549/350</t>
  </si>
  <si>
    <t>Údržba software a licence</t>
  </si>
  <si>
    <t>518/480</t>
  </si>
  <si>
    <t>Úpravy finančního plánu doplňkové činnosti</t>
  </si>
  <si>
    <t>Účet</t>
  </si>
  <si>
    <t>602/001</t>
  </si>
  <si>
    <t>Potraviny</t>
  </si>
  <si>
    <t>501/001</t>
  </si>
  <si>
    <t>518/130</t>
  </si>
  <si>
    <t>518/180</t>
  </si>
  <si>
    <t>558/001</t>
  </si>
  <si>
    <t>Elektřina</t>
  </si>
  <si>
    <t>502/020</t>
  </si>
  <si>
    <t>Servis PC</t>
  </si>
  <si>
    <t>518/190</t>
  </si>
  <si>
    <t>527/001</t>
  </si>
  <si>
    <t>Odpisy DHM</t>
  </si>
  <si>
    <t>551/210</t>
  </si>
  <si>
    <t>511/020</t>
  </si>
  <si>
    <t>Mzdové náklady</t>
  </si>
  <si>
    <t>521/001</t>
  </si>
  <si>
    <t>524/010</t>
  </si>
  <si>
    <t>524/001</t>
  </si>
  <si>
    <t>525/001</t>
  </si>
  <si>
    <t>Hygienické potřeby</t>
  </si>
  <si>
    <t>501/091</t>
  </si>
  <si>
    <t>Kancelářské potřeby</t>
  </si>
  <si>
    <t>501/010</t>
  </si>
  <si>
    <t>Vodné, stočné, srážková voda</t>
  </si>
  <si>
    <t>502/001</t>
  </si>
  <si>
    <t>Výnosy za služby - nájemné</t>
  </si>
  <si>
    <t>602/080</t>
  </si>
  <si>
    <t>Účastníci kontrolního dne, vzhledem k provedené analýze výsledku hospodaření, doporučují ze zlepšeného hospodářského výsledku v hlavní činnosti vrátit do rozpočtu zřizovatele částku 42.360 Kč, částku 12.666,32 Kč doporučují ponechat organizaci pro příděl do peněžních fondů organizace dle zákona č. 250/2000 Sb., o rozpočtových pravidlech územních rozpočtů, ve znění pozdějších předpisů, na základě předložených požadavků a potřeb organizace. Do fondu odměn je navrženo převést 10.000 Kč a do fondu rezervního 2.666,32 Kč. Zlepšený hospodářský výsledek z doplňkové činnosti ve výši  85.759,64 Kč navrhujeme převést do rezervního fondu organizace na nákup majetku vyplývající z potřeb školy a řešení případných havarijních situací.</t>
  </si>
  <si>
    <t>V Prostějově dne 21. 3. 2018</t>
  </si>
  <si>
    <t>Komentář k výsledku hospodaření v hlavní činnosti ve vztahu ke zřizovateli: Výsledek hospodaření v hlavní činnosti byl ovlivněn především vyšším čerpáním na položce ostatní služby,  úpravami prováděnými na pozemku na ŠD Dykova (Skálovo nám. 5)</t>
  </si>
  <si>
    <t>Komentář k výsledku hospodaření v doplňkové činnosti celkem: Výsledek hospodaření v doplňkové činnosti ve výši 281.489,- Kč je vytvořen rozdílem mezi skutečnými výnosy za pronájmy tělocvičen, učeben a služebního bytu v částce 477.185,- Kč a celkovými náklady na tyto pronájmy ve výši 239.104,- Kč, vypočítanými podle klíče uvedeného výše v popisu doplňkové činnosti. Výsledek hospodaření je vytvořen jednak proti plánu vyššími pronájmy (vyšší obsazeností tělocvičen hlavně o víkendech) a ostatními výnosy (paušály za vodu)</t>
  </si>
  <si>
    <t>Rezervní fond byl posílen o 93.660,53 Kč jako ZHV r. 2016, dále dar účelový Obědy pro děti ve výši 6.578,- Kč, účelově určený dar pro MŠ Mánesova 4.000,- Kč, účelově určený dar pro ŠD Skálovo nám. ve výši 48.000,- Kč, nespotřebované finance ESF Projekt "Pojďme se vzdělávat společně" ve výši 112.854,- Kč a projekt "Pracujeme na sobě" ve výši 1.188.455,47 Kč; čerpání RF bylo na použití daru pro MŠ Mánesova ve výši 4.000,- Kč, dále na převod zpět do projetku ve výši 10.576,87 Kč, Obědy pro děti ve výši 6.644,- Kč, dále jsme použili 48.000,- Kč jako posílení FI na nákup herního prvku z účelového daru, na odvody k odměnám vyplacených z FO ve výši 4.552,50 Kč a 7.029,53 Kč bylo použito na nákup nábytku (bylo účelově určeno na KD za rok 2016 = ZHV z hlavní činnosti za rok 2016). V příštím roce plánujeme obnovu nábytku v kanceláři zástupce ředitele na 1. stupni, cca 200.000,- Kč a případně dovybavení opravené MŠ Čechovice v případě nedostatečných finančních prostředků NIV.</t>
  </si>
  <si>
    <t>Investiční fond je tvořen odpisy ve výši 991.752,10 Kč a posílením z RF ve výši 48.000,- Kč (na nákup herního prvku pro ŠD Dykova, Skálovo nám. 5). Fond byl čerpán na nákup herního prvku pro ŠD za 99.328,- Kč, na realizaci zábradlí na našich pracovištích ZŠ Palackého tř. a ZŠ, Skálovo nám. 5. ve výši 96.662,- Kč a odvod odpisů zřizovateli 917.816,- Kč.</t>
  </si>
  <si>
    <t>Fond odměn byl posílen 20.000,- Kč ze ZVH a čerpán ve výši 12.500,- Kč na odměny v 07/2017</t>
  </si>
  <si>
    <t>Fond FKSP je tvořen povinnými příděly ve výši 525.480,- Kč; čerpání fondu: částka 146.060,- Kč byla použita jako příspěvek na obědy zaměstnanců (výše 20,- Kč za jeden oběd/stravenku), dále 57.342,- Kč na občerstvení ke Dni učitelů a zájezd zaměstnanců, 34.500,- Kč na odměny k výročím zaměstnanců a 18.945,29 Kč na propisky, kalendáře pro naše zaměstnance; rozdíl mezi účetním a finančním stavem na fondu je způsoben příspěvkem za obědy zam., odměnami k výročí a povinným přídělem za 12/2017.</t>
  </si>
  <si>
    <t>finanční dar na hračky pro MŠ Mánesova</t>
  </si>
  <si>
    <t>finanční dar na herní prvek pro ŠD Dykova</t>
  </si>
  <si>
    <r>
      <t>usnesením RM č. 6708/2016</t>
    </r>
    <r>
      <rPr>
        <sz val="9"/>
        <color indexed="8"/>
        <rFont val="Times New Roman"/>
        <family val="1"/>
        <charset val="238"/>
      </rPr>
      <t xml:space="preserve"> byl posílen účet 648.0300 - čerpání fondů - RF a účet 549.0360 - ostatní náklady z činnosti = Obědy pro děti 01-06/2017</t>
    </r>
  </si>
  <si>
    <t>549.0360</t>
  </si>
  <si>
    <r>
      <t>usnesením RM č. 7072</t>
    </r>
    <r>
      <rPr>
        <sz val="9"/>
        <color indexed="8"/>
        <rFont val="Times New Roman"/>
        <family val="1"/>
        <charset val="238"/>
      </rPr>
      <t xml:space="preserve"> byl posílen účet 649.0310 - ostatní výnosy - DARY a účet 558.0300 - DDHM = úložná sestava a skříňka (MŠ Čechovice)</t>
    </r>
  </si>
  <si>
    <r>
      <t>usnesením RM č. 7391</t>
    </r>
    <r>
      <rPr>
        <sz val="9"/>
        <color indexed="8"/>
        <rFont val="Times New Roman"/>
        <family val="1"/>
        <charset val="238"/>
      </rPr>
      <t xml:space="preserve"> byl posílen účet 649.0310 - ostatní výnosy - DARY a účet 558.0300-DDHM = pohovka (ZŠ Palackého) + účet 501.0430 - OEM = koberec + otočná židle (ZŠ Palackého)</t>
    </r>
  </si>
  <si>
    <r>
      <t xml:space="preserve">usnesením RM č. 7491 </t>
    </r>
    <r>
      <rPr>
        <sz val="9"/>
        <color indexed="8"/>
        <rFont val="Times New Roman"/>
        <family val="1"/>
        <charset val="238"/>
      </rPr>
      <t>bylo schváleno navýšení NIV příspěvku KAP.20 na 1. třídy</t>
    </r>
  </si>
  <si>
    <t>672.0510</t>
  </si>
  <si>
    <t>501.0330</t>
  </si>
  <si>
    <t>snížení SU 511 - opravy nemovitého majetku a posílení SU 549 - technické zhodnocení budoy = výroba a montáž zatemňovacích roletek do tříd ZŠ Čechovice</t>
  </si>
  <si>
    <t>511.0300</t>
  </si>
  <si>
    <t>549.0310</t>
  </si>
  <si>
    <r>
      <t xml:space="preserve">usnesením RM č. 7560 </t>
    </r>
    <r>
      <rPr>
        <sz val="9"/>
        <color indexed="8"/>
        <rFont val="Times New Roman"/>
        <family val="1"/>
        <charset val="238"/>
      </rPr>
      <t>bylo schváleno navýšení NIV příspěvku KAP.20 na opravu zídky ŠD na Dykově ul. a plotu zahrady MŠ Mánesova</t>
    </r>
  </si>
  <si>
    <r>
      <t xml:space="preserve">usnesením RM č. 7439 </t>
    </r>
    <r>
      <rPr>
        <sz val="9"/>
        <color indexed="8"/>
        <rFont val="Times New Roman"/>
        <family val="1"/>
        <charset val="238"/>
      </rPr>
      <t>bylo schváleno navýšení položky 551 - odpisy budov, jedná se o technické zhodnocení budov ZŠ Palackého tř. a ZŠ Skálovo nám. na výrobu a montáž mosazných zábradlí, použili jsme prostředky SU 501 - spotřeba materiálu</t>
    </r>
  </si>
  <si>
    <t>501.0490</t>
  </si>
  <si>
    <r>
      <t xml:space="preserve">usnesením RM č. 7628 </t>
    </r>
    <r>
      <rPr>
        <sz val="9"/>
        <color indexed="8"/>
        <rFont val="Times New Roman"/>
        <family val="1"/>
        <charset val="238"/>
      </rPr>
      <t>bylo schváleno navýšení NIV příspěvku na výměnu oken v tělocvičně školy (480.000,-) a modernizaci kanceláře vedoucí učitelky MŠ Mánesova a nákup nábytku (60.000,- Kč)</t>
    </r>
  </si>
  <si>
    <r>
      <t xml:space="preserve">usnesením RM č. 7888 </t>
    </r>
    <r>
      <rPr>
        <sz val="9"/>
        <color indexed="8"/>
        <rFont val="Times New Roman"/>
        <family val="1"/>
        <charset val="238"/>
      </rPr>
      <t>bylo schváleno přijetí daru WFW Obědy pro děti na školní rok 2017/2018 ve výši 3.960,- Kč (v roce 2017 použito 1.254,- Kč)</t>
    </r>
  </si>
  <si>
    <r>
      <t xml:space="preserve">usnesením RM č. 7950 </t>
    </r>
    <r>
      <rPr>
        <sz val="9"/>
        <color indexed="8"/>
        <rFont val="Times New Roman"/>
        <family val="1"/>
        <charset val="238"/>
      </rPr>
      <t>bylo schváleno přijetí účelově určeného daru pro MŠ Mánesova na hračky pro děti</t>
    </r>
  </si>
  <si>
    <r>
      <t xml:space="preserve">usnesením RM č. 71097 </t>
    </r>
    <r>
      <rPr>
        <sz val="9"/>
        <color indexed="8"/>
        <rFont val="Times New Roman"/>
        <family val="1"/>
        <charset val="238"/>
      </rPr>
      <t>bylo schváleno přijetí věcného daru PC Slimline pro MŠ Mánesova</t>
    </r>
  </si>
  <si>
    <r>
      <t xml:space="preserve">usnesením RM č. 71286 </t>
    </r>
    <r>
      <rPr>
        <sz val="9"/>
        <color indexed="8"/>
        <rFont val="Times New Roman"/>
        <family val="1"/>
        <charset val="238"/>
      </rPr>
      <t>byla schválena úprava FP na SU 551 - odpisy majetku a 549 - jiné ostatní náklady jako posílení odpisů - nákup nového herního prvku</t>
    </r>
  </si>
  <si>
    <t>549.0300</t>
  </si>
  <si>
    <t xml:space="preserve">vedoucím odboru OŠKS byla schváleno posílení SU 502 - spotřeba energií (vyšší kvůli delší topné sezóně) a to posílením SU 602 - úplata v MŠ a ŠD a ponížením SU 558 - nákupy DDHM </t>
  </si>
  <si>
    <t>použití fondu odměny na odměny zaměstnanců (12.500,-), dále použití RF jako účelově určené finance z ZHV 2016 na nákup nábytku (7.029,53) a použití RF na odvody k odměnám z fondu odměn</t>
  </si>
  <si>
    <t>524-527</t>
  </si>
  <si>
    <t>posílením výnosů (především úplaty v MŠ a ŠD díky méně osvobozeným dětem od úplaty a nižším počtem předškoláků) a navýšením SU 649 - výnosy z pojistných událostí jsme posílili SU 518 - ostatní služby (na úpravu pozemku ŠD Dykova)</t>
  </si>
  <si>
    <t>602.0310-320</t>
  </si>
  <si>
    <t>649.0300</t>
  </si>
  <si>
    <t>navýšení výnosových položek 602 - opisy vysvědčení, 649 - výnosy z pojistných událostí, 649 - výnosy ze sběrové soutěže, ostatní výnosy a za poškozené učebnice a ponížení položky 662 - úroky bylo převedeno na položku 558 - nákupy DDHM (nákup nového kontejneru na odpad), dále 501 - spotřeba materiálu (posílení nákupu cartrigde a tonerů), položky 511 - malování budovy (po zatečení ZŠ Skálovo, pojistná událost) a úspora na položkách 512 - cestovné a 513 - reprezentace</t>
  </si>
  <si>
    <t>649.0330</t>
  </si>
  <si>
    <t>649.0400</t>
  </si>
  <si>
    <t>501.0320</t>
  </si>
  <si>
    <t>Z jednání KD za rok 2016 bylo organizaci uloženo, že ZVH z hlavní činnosti ve výši 7.029,53 Kč bude použito na nákup nábytku - částka byla použita na nákup židliček do třídy.</t>
  </si>
  <si>
    <t>1. Účastníci kontrolního dne, vzhledem k provedené analýze výsledku hospodaření, doporučují ponechat organizaci celý výsledek hospodaření ve výši 264.978,29 Kč  pro příděl do peněžních fondů organizace dle zákona č. 250/200 Sb., o rozpočtových pravidlech územních rozpočtů, ve znění pozdějších předpisů a na základě předložených požadavků a potřeb organizace. Do rezervního fondu je navrženo převést částku 239.978,29 Kč a do fondu odměn částku 25.000,- Kč.</t>
  </si>
  <si>
    <t>3.Zřizovateli bylo na odpisech budov dobrovolně odvedeno v roce 2017 více o 14.988,- Kč.</t>
  </si>
  <si>
    <t>Zpracovala: Veronika Kocourková, ekonomka školy, v. r.</t>
  </si>
  <si>
    <t>Schválila: Mgr. Jana Prokopová, ředitelka školy, v. r.</t>
  </si>
  <si>
    <t>Z důvodu dokrytí ztráty z roku 2016 organizace v celém účetním období důsledně sledovala rozpočet, byla nastavena úsporná opatření. Na dokrytí ztráty organizace použije částku 261.536,79 Kč, odvod zřizovateli činí 22.830,65 Kč /mzdy + odpisy/.</t>
  </si>
  <si>
    <t>Výsledku hospodaření organizace dosáhla zejména z pronájmu tělocvičny a služebního bytu. Částka 10.366,78 Kč bude použita na dokrytí ztráty z roku 2016, do fondů bude přiděleno 53.001,39 Kč.</t>
  </si>
  <si>
    <t>Úhrada ztráty z min.let</t>
  </si>
  <si>
    <t>finanční krytí na BÚ</t>
  </si>
  <si>
    <t>Rozdíly mezi účty 243 a 412 je způsoben časovým nesouladem mezi převodem základního přídělu z hrubých mezd za 12/2017.</t>
  </si>
  <si>
    <t>Organizace neeviduje závazky po lhůtě splatnosti.</t>
  </si>
  <si>
    <t>dar na stravu žáků od společnosti WOMEN FOR WOMEN, vyúčtování 1/2018 - vratka 6.369,00 Kč</t>
  </si>
  <si>
    <t>dar KPŠ na dopravu žáků - školní výlet</t>
  </si>
  <si>
    <t>sbírka SIDUS</t>
  </si>
  <si>
    <t>Navýšení neinvestičního příspěvku na provoz  - oprava sociálního zařízení</t>
  </si>
  <si>
    <t>Navýšení položky stavební opravy - oprava sociálního zařízení</t>
  </si>
  <si>
    <t>Navýšení položky ostatní náklady - TZ nemovitého majetku /dle hygienických požadavků zabudování ventilátoru/</t>
  </si>
  <si>
    <t>Ponížení položky materiál (OEM) - úsporná opatření</t>
  </si>
  <si>
    <t>Navýšení neinvestičního příspěvku na provoz - příspěvek na učební pomůcky pro I.třídy</t>
  </si>
  <si>
    <t>Navýšení položky materiál - účelově vázané prostředky na nákup učebních pomůcek pro I.třídu</t>
  </si>
  <si>
    <t>501/0345</t>
  </si>
  <si>
    <t>Navýšení položky cestovné - cestovní náhrady ostatní (porady)</t>
  </si>
  <si>
    <t>Navýšení položky zúčtování fondů - finanční dar KPŠ na dopravu žáků (školní výlet)</t>
  </si>
  <si>
    <t xml:space="preserve">Navýšení položky služby - doprava žáků na školní výlet </t>
  </si>
  <si>
    <t>Navýšení položky mzdy (doplatek ÚP)</t>
  </si>
  <si>
    <t>521/0301</t>
  </si>
  <si>
    <t>Navýšení položky sociální pojištění (doplatek ÚP)</t>
  </si>
  <si>
    <t>524/0301</t>
  </si>
  <si>
    <t>Navýšení položky zdravotní pojištění (doplatek ÚP)</t>
  </si>
  <si>
    <t>524/0311</t>
  </si>
  <si>
    <t xml:space="preserve">Navýšení položky základní sociální náklady </t>
  </si>
  <si>
    <t>Ponížení položky materiál na opravy - úsporná opatření</t>
  </si>
  <si>
    <t>Navýšení položky opravy stavební - oprava dělící příčky</t>
  </si>
  <si>
    <t>Zúčtování fondů - použití IF na opravy</t>
  </si>
  <si>
    <t>648/0800</t>
  </si>
  <si>
    <t>Navýšení položky odpisy - dokrytí chybně stanoveného plánu na odpisy</t>
  </si>
  <si>
    <t>Navýšení položky strava žáci - obědy žáků hrazené z finančního daru</t>
  </si>
  <si>
    <t>518/0520</t>
  </si>
  <si>
    <t>Zúčtování fondů - finanční příspěvek na stravu sociálně znevýhodněných žáků</t>
  </si>
  <si>
    <t xml:space="preserve">Ponížení položky mzdy - zrušení rozvozu prádla na dohodu </t>
  </si>
  <si>
    <t>521/0331</t>
  </si>
  <si>
    <t>Navýšení položky služby - doprava rozvozu prádla zajišťovaná dodavatelsky</t>
  </si>
  <si>
    <t xml:space="preserve">Navýšení položky sociální pojištění </t>
  </si>
  <si>
    <t xml:space="preserve">Navýšení položky zdravotní pojištění </t>
  </si>
  <si>
    <t xml:space="preserve">Navýšení položky zákonné pojištění odpovědnosti </t>
  </si>
  <si>
    <t xml:space="preserve">Ponížení položky odpisy - oprava chyb z minulého období </t>
  </si>
  <si>
    <t>Navýšení položky materiál na opravy</t>
  </si>
  <si>
    <t>Navýšení položky na odpisy - předání TZ budovy a oprava chyb z minulého období</t>
  </si>
  <si>
    <t xml:space="preserve">Navýšení položky ostatní výnosy - pojistná událost </t>
  </si>
  <si>
    <t>649/0300</t>
  </si>
  <si>
    <t>Navýšení položky prodané zboží - čipy</t>
  </si>
  <si>
    <t>504/0300</t>
  </si>
  <si>
    <t>Navýšení položky tržby z prodeje zboží - čipy</t>
  </si>
  <si>
    <t>604/0400</t>
  </si>
  <si>
    <t>Ponížení položky opravy stavební  - úsporná opatření</t>
  </si>
  <si>
    <t>Navýšení položky DDHM - nutná obnova zastaralého vybavení školy</t>
  </si>
  <si>
    <t>Ponížení položky opravy hm.majetku  - úsporná opatření</t>
  </si>
  <si>
    <t>Ponížení položky náklady na reprezentaci - úsporná opatření</t>
  </si>
  <si>
    <t>513/0300</t>
  </si>
  <si>
    <t>Navýšení položky služby ostatní - likvidace pískoviště</t>
  </si>
  <si>
    <t>Navýšení položky tržby vlastní - vyšší příjmy školného</t>
  </si>
  <si>
    <t>Navýšení položky OEM - pořízení koberce z FKSP</t>
  </si>
  <si>
    <t>Zúčtování fondu - pužití FKSP na zlepšení pracovních podmínek (DDHM, OEM)</t>
  </si>
  <si>
    <t>648/0700</t>
  </si>
  <si>
    <t>Navýšení položky ostatní výnosy - pojistná událost, nákup vyhořelých předmětů při úderu blesku</t>
  </si>
  <si>
    <t xml:space="preserve">Navýšení položky DDHM - obnova zastaralého vybavení školy </t>
  </si>
  <si>
    <t>Ponížení položky materiál - OEM (dokrytí DDHM)</t>
  </si>
  <si>
    <t>Navýšení položky jiné daně a poplatky - ověření podpisu</t>
  </si>
  <si>
    <t>Navýšení položky odpisy - přeúčtování z doplňkové činnosti</t>
  </si>
  <si>
    <t>Ponížení položky materiál (na opravy)</t>
  </si>
  <si>
    <t>Navýšení položky mzdy - dokrytí mzdy pradleny z FO</t>
  </si>
  <si>
    <t>521/0309</t>
  </si>
  <si>
    <t>Zúčtování fondů - použití FO</t>
  </si>
  <si>
    <t>Navýšení položky sociální pojištění (odvody z FO)</t>
  </si>
  <si>
    <t>524/0305</t>
  </si>
  <si>
    <t>Navýšení položky zdravotní pojištění (odvody z FO)</t>
  </si>
  <si>
    <t>524/0315</t>
  </si>
  <si>
    <t>Ponížení položky zákonné sociální náklady - úspora</t>
  </si>
  <si>
    <t>Navýšení položky tržby vlastní (školení)</t>
  </si>
  <si>
    <t>602/0040</t>
  </si>
  <si>
    <t>Navýšení položky služby (školení)</t>
  </si>
  <si>
    <t>518/0090</t>
  </si>
  <si>
    <t>Navýšení položky tržby za pronájem (tělocvična, učebny)</t>
  </si>
  <si>
    <t>Navýšení položky materiál (čistící prostředky)</t>
  </si>
  <si>
    <t>Navýšení položky materiál (na opravy)</t>
  </si>
  <si>
    <t>Navýšení položky energie (vodné)</t>
  </si>
  <si>
    <t>502/0001</t>
  </si>
  <si>
    <t>navýšení položky (fond reprezentace)</t>
  </si>
  <si>
    <t>513/0010</t>
  </si>
  <si>
    <t>Ponížení položky opravy (stavební)</t>
  </si>
  <si>
    <t>511/0001</t>
  </si>
  <si>
    <t>Navýšení položky zákonné pojištění odpovědnosti</t>
  </si>
  <si>
    <t>525/0001</t>
  </si>
  <si>
    <t>Ponížení položky sociální pojištění</t>
  </si>
  <si>
    <t>524/0010</t>
  </si>
  <si>
    <t xml:space="preserve">Navýšení položky odpisy </t>
  </si>
  <si>
    <t>Organizace pokryla ztrátu za rok 2016 finančními prostředky určených na provoz roku 2017.</t>
  </si>
  <si>
    <t>Organizace provedla opravu Přílohy č. 1 - Schválený roční plán a srovnatelná skutečnost 2016 ve vztahu ke zřizovateli.</t>
  </si>
  <si>
    <t xml:space="preserve">Organizaci byl stanoven na rok 2017 odvod z odpisů ve výši 491.016,00 Kč. V důsledku chybného propočtu čtvrtletních odvodů organizace odvedla 498.324,00 Kč. Jedná se o chybu organizace, dobrovolně odvedeno o 7.308,00 Kč více. </t>
  </si>
  <si>
    <t>Minimální nedočerpání nákladových účtů v HČ</t>
  </si>
  <si>
    <t>Rezervní fond ze ZVH</t>
  </si>
  <si>
    <t>ZVH v hlavní činnosti požit na nákup IT techniky</t>
  </si>
  <si>
    <t>Akce nezajištěné rozpočtem zřizovatele</t>
  </si>
  <si>
    <t>Rezervní fond z ostat.titulů</t>
  </si>
  <si>
    <t>Prostředky Projektu OP VVV Šablony</t>
  </si>
  <si>
    <t>315 - Pohledávky</t>
  </si>
  <si>
    <t>501/0700</t>
  </si>
  <si>
    <t>513/0700</t>
  </si>
  <si>
    <t>RMP č. 7117-Projekt Zdravé Město</t>
  </si>
  <si>
    <t>RMP č. 7394</t>
  </si>
  <si>
    <t>RMP č. 7496</t>
  </si>
  <si>
    <t>501/0333</t>
  </si>
  <si>
    <t>RMP č. 7491</t>
  </si>
  <si>
    <t>Navýšení neinvestičního příspěvku - usnesení</t>
  </si>
  <si>
    <t>RMP č. 7559</t>
  </si>
  <si>
    <t>RMP č. 7627</t>
  </si>
  <si>
    <t>oprava podlah v malé tělocvičně v ZŠ</t>
  </si>
  <si>
    <t>Čerpání FO- dle usnesení RMP č.7615</t>
  </si>
  <si>
    <t>648/0610</t>
  </si>
  <si>
    <t>Posílení nákl. Účtu Cestovné -úhrady zahran.</t>
  </si>
  <si>
    <t>501/0330</t>
  </si>
  <si>
    <t>stravného při výměnném pobytu</t>
  </si>
  <si>
    <t>Úspora náklad.účtu 549 a posílení nákl. Účtu 518</t>
  </si>
  <si>
    <t>pro úhradu nákladů spojených s VZMR</t>
  </si>
  <si>
    <t xml:space="preserve">Použití RF-ostatní zdroje - sponzorský dar </t>
  </si>
  <si>
    <t>648/0350</t>
  </si>
  <si>
    <t>nákup učební pomůcky</t>
  </si>
  <si>
    <t>558/0700</t>
  </si>
  <si>
    <t>použití RF-financová nákladů -nákup notebook</t>
  </si>
  <si>
    <t>648/0310</t>
  </si>
  <si>
    <t>558/0800</t>
  </si>
  <si>
    <t>Úspora nákladového účtu 502 - Otop a TUV, použití</t>
  </si>
  <si>
    <t>502/0330</t>
  </si>
  <si>
    <t>finančních prostředků na opravy</t>
  </si>
  <si>
    <t>Navýšení neinvestičního příspěvku</t>
  </si>
  <si>
    <t>oprava průchodových dveří</t>
  </si>
  <si>
    <t>Navýšení neinvestičního příspěvku na:</t>
  </si>
  <si>
    <t>opravu obložení v malé tělocvičně, opravu podhledů ve</t>
  </si>
  <si>
    <t>třídě v MŠ,zajištění měření prašnosti,hlučnosti</t>
  </si>
  <si>
    <t>Použití sponzorského daru</t>
  </si>
  <si>
    <t>648/0550</t>
  </si>
  <si>
    <t>Schválení RMP usnesením č. 71283</t>
  </si>
  <si>
    <t>snížení účtu 524 a navýšení účtu 527</t>
  </si>
  <si>
    <t>snížení -úspora účtu 551 Odpisy a navýšení</t>
  </si>
  <si>
    <t>účtu 501</t>
  </si>
  <si>
    <t xml:space="preserve">Použití sponzorského daru </t>
  </si>
  <si>
    <t>501/0649</t>
  </si>
  <si>
    <t>Schválení úpravy finančního plánu , úspora účtu 502</t>
  </si>
  <si>
    <t>502/0310</t>
  </si>
  <si>
    <t>použití na nákup školních židlí</t>
  </si>
  <si>
    <t>Použití RF-sponzorský dar</t>
  </si>
  <si>
    <t>Schválení úpravy FP-úspora účtu 502, použití</t>
  </si>
  <si>
    <t>na opravu podlahových krytin v MŠ</t>
  </si>
  <si>
    <t xml:space="preserve">Převod mezi účty majetku (majetek pořízený </t>
  </si>
  <si>
    <t>do 3000/ks)</t>
  </si>
  <si>
    <t>Přesun úspory PHM pro rozvoz stravy na úhradu</t>
  </si>
  <si>
    <t xml:space="preserve">nákladů na upgrade programu, </t>
  </si>
  <si>
    <t>Přesun úspory za materiál (prádlo) a navýšení účtu</t>
  </si>
  <si>
    <t>518- služby pro web.stránky, instalace PC</t>
  </si>
  <si>
    <t>Úspora na účtu materiál - prádlo a posílení účtu</t>
  </si>
  <si>
    <t>557- Náklady za odepsané pohledávky.</t>
  </si>
  <si>
    <t>557/0300</t>
  </si>
  <si>
    <t>(odpis pohledávky Müllerová)</t>
  </si>
  <si>
    <t>Úspora účtu materiál, posílení účtu 512 - Cestovné</t>
  </si>
  <si>
    <t>tuzemské (převážná část Cestovného hrazena z KÚ)</t>
  </si>
  <si>
    <t>Použití vyšších výnosů za úplatu v MŠ, úplatu v ŠD</t>
  </si>
  <si>
    <t xml:space="preserve">vyšší výnosy za rozvoz stravy pro CMG </t>
  </si>
  <si>
    <t>602/0320</t>
  </si>
  <si>
    <t>a ZŠ Mostkovice na posílení účtu 511 Opravy.</t>
  </si>
  <si>
    <t>Řešení závažnýách oprav v závěru roku.</t>
  </si>
  <si>
    <t>Navýšení účtu 501-Spotřeba potravin</t>
  </si>
  <si>
    <t>plně kryto účtem 602-Výnosy -stravné</t>
  </si>
  <si>
    <t>Použití RF na nákup PC-kabinet cizí jazyky.</t>
  </si>
  <si>
    <t>Organizace splnila úkoly z minulého KD - vyřešeny pohledávky po lhůtě splatnosti.</t>
  </si>
  <si>
    <t>Při dalžím TZ budov - výtahy v MŠ nahlásit p. Burešové změnu ocenění majetku.</t>
  </si>
  <si>
    <t>Zapsala: Tesaříková</t>
  </si>
  <si>
    <t>Jan Krchňavý</t>
  </si>
  <si>
    <t>ředitel školy</t>
  </si>
  <si>
    <t>V HČ vykazujeme výsledek hospodaření ve výši 4.405,52 Kč. Využili jsme všech úspor na všech účtech. Syntetické ukazatele 521, 524, 525, 527, 528 a 551, které jsou pro organizaci závazné, jsme neměnili a neprováděli úpravy fin. plánu (výjimku tvoří schválená mimořádná odměna pro ředitelku školy z fondu odměn a k tomu zákonné odvody). Právě na těchto účtech vznikl uvedený výsledek hospodaření, který navrhujeme celý k odvodu zřizovateli. Výsledek hospodaření do budoucna předpokládáme v podobné výši.</t>
  </si>
  <si>
    <t>Zřizovatelem máme schválený procentní výpočet nákladů doplňkové činnosti, který se odvíjí od výnosů. V roce 2017 jsme naplánovali 30.104,- Kč výsledek hospodaření, kterého jsme ale nedosáhli.</t>
  </si>
  <si>
    <t>Fond bychom rádi využili se souhlasem zřizovatele na dovybavování a obnovu starého nábytku a techniky. Do fondu byla k 31.12.2017 převedena nespotřebovaná dotace ze dvou projektů EU ve výši 565.465,- Kč.</t>
  </si>
  <si>
    <t>Neplánujeme užití fondu v roce 2018.</t>
  </si>
  <si>
    <t>Fond odměn by byl využit v případě, že zřizovatel schválí odměnu pro ředitelku školy za dosažení výsledku hospodaření v doplňkové činnosti za rok 2017 nebo při případném překročení objemu finančních prostředků na platy.</t>
  </si>
  <si>
    <t>Výhledově předpokládáme vše na stejné nebo podobné úrovni.</t>
  </si>
  <si>
    <t>finanční dar od Nadace SOVA na spotřební materiál do školní družiny</t>
  </si>
  <si>
    <t>věcný dar od Smíšeného zboží PAJA - drobné kancelářské potřeby pro školní družinu</t>
  </si>
  <si>
    <t>finanční dar od Nadace SOVA</t>
  </si>
  <si>
    <t>schválené čerpání daru z rezervního fondu</t>
  </si>
  <si>
    <t xml:space="preserve">přijetí věcného daru od dárce Smíšené zboží </t>
  </si>
  <si>
    <t>649/0310</t>
  </si>
  <si>
    <t>spotřební materiál do výtvarných činností ŠD</t>
  </si>
  <si>
    <t>pořízení pomůcek pro žáky 1. tříd - 2017/2018</t>
  </si>
  <si>
    <t>operativní evidence majetku hmotného (úč.902)</t>
  </si>
  <si>
    <t>schválená odměna pro ředitelku školy</t>
  </si>
  <si>
    <t>zákonné a jiné sociální pojištění k odměně z RF</t>
  </si>
  <si>
    <t>odvod do FKSP z vyplacené odměny z RF</t>
  </si>
  <si>
    <t>finanční prostředky za 1. místo ve sběru papíru</t>
  </si>
  <si>
    <t>649/0320</t>
  </si>
  <si>
    <t>nákup textilních nástěnek</t>
  </si>
  <si>
    <t>schválená úprava fin. plánu, úspora energií</t>
  </si>
  <si>
    <t>502/0300, 0310, 0320</t>
  </si>
  <si>
    <t>pořízení kopírky za tyto finance</t>
  </si>
  <si>
    <t>úspora v položce oprav a údržby</t>
  </si>
  <si>
    <t>úspora v položce ostatní služby</t>
  </si>
  <si>
    <t>úspora vpoložce náklady na reprezentaci</t>
  </si>
  <si>
    <t>513/0330</t>
  </si>
  <si>
    <t>úspora na účtě 549 - ostatní náklady z činnosti</t>
  </si>
  <si>
    <t>úspora na účtě 512 - cestovné</t>
  </si>
  <si>
    <t>výnos za zničené nebo poškozené učebnice</t>
  </si>
  <si>
    <t>649/0400</t>
  </si>
  <si>
    <t>ostatní výnosy z činnosti (tržby za želez. šrot)</t>
  </si>
  <si>
    <t>649/0330</t>
  </si>
  <si>
    <t>úplata ve školní družině</t>
  </si>
  <si>
    <t>použití uspořených financí na nákup nástěnek</t>
  </si>
  <si>
    <t>čerpání rezervního fondu</t>
  </si>
  <si>
    <t>použití financí na nákup nástěnek</t>
  </si>
  <si>
    <t>DČ - menší výnosy oproti plánu</t>
  </si>
  <si>
    <t>603/0001, 0002</t>
  </si>
  <si>
    <t>DČ - menší náklady oproti plánu</t>
  </si>
  <si>
    <t>502/0000, 0010, 0020</t>
  </si>
  <si>
    <t>1. Na kontrolním dni k výsledkům hospodaření za I. pololetí roku 2017 nevyplynula pro naši organizaci žádná opatření.</t>
  </si>
  <si>
    <t>2. Organizace na základě schválených usnesení RMP ze dne 9.5.2017 č. 7428 a ZMP č. 17118 ze dne 12. 6. 2017 přidělila trvalým peněžním fondům schválený zlepšený výsledek hospodaření roku 2016 v doplňkové činnosti ve výši 62.730,56 Kč.</t>
  </si>
  <si>
    <t>3. Schválenou částku ve výši 43.355,- Kč odvedla z fondu investic, po předchozím převodu z rezervního fondu, na účet zřizovatele dne 27. 6. 2017.</t>
  </si>
  <si>
    <t>1. Účastníci kontrolního dne, vzhledem k provedené analýze výsledku hospodaření, doporučují ponechat organizaci celý výsledek hospodaření v doplňkové činnosti ve výši 27.576,52 Kč pro příděl do peněžních fondů organizace dle zákona č.250/2000 Sb., o rozpočtových pravidlech územních rozpočtů, ve znění pozdějších předpisů a na základě předložených požadavků a potřeb organizace. Do rezervního fondu je navrženo převést celou částku 27.576,52 Kč.</t>
  </si>
  <si>
    <t>2. Účastníci kontrolního dne, vzhledem k provedené analýze výsledku hospodaření, doporučují odvést zaokrouhlený výsledek hospodaření v hlavní činnosti ve výši 4.406,- Kč na účet zřizovatele v rámci finančního vypořádání roku 2017.</t>
  </si>
  <si>
    <t>3. Příděl fondům a odvod na účet zřizovatele provede organizace na základě vyrozumění Odboru školství, kultury a sportu MMPv.</t>
  </si>
  <si>
    <t>Prostějov 4. 4. 2018</t>
  </si>
  <si>
    <t>Mgr. Martina Rozsypalová</t>
  </si>
  <si>
    <t>Příspěvková organizace: Základní škola Prostějov, ul Dr. Horáka 24</t>
  </si>
  <si>
    <t xml:space="preserve">Výsledek hospodaření v HČ odpovídá situaci v organizaci. V tomto roce probíhaly velmi rozsáhlé opravy podlah, stěn a výmaleb, dále bylo nakoupeno velké množství nového majetku do tříd, kabinetů a do školní jídelny. </t>
  </si>
  <si>
    <t xml:space="preserve">Náklady na DČ jsou přerozdělovány z HČ střediska jídelna do jednotlivých účtů na základě skutečných nákladů potřebných k přípravě stravy, a to % podílu zjištěných na základě porovnání odebraných obědů strávníky HČ a DČ. U pronájmů jsou náklady stanoveny v kalkulační ceně a dle jednotlivých druhů pronájmů násobeny počtem hodin pronájmu a odúčtovány z HČ do DČ. Výsledek hospodaření je nižší než v roce 2016, neboť poklesly výnosy. </t>
  </si>
  <si>
    <t>Rozdíl mezi výší celkového HV za rok 2017 a návrhem jeho rozdělení je vratka zřizovateli (26.193 Kč) za nevyčerpané prostředky na mzdy (279 Kč) a na správu hřiště (25.914 Kč).</t>
  </si>
  <si>
    <t xml:space="preserve">V rezervním fondu jsou prostředky projektu ve výši 987.857,84 Kč, které budou dočerpány v tomto roce. </t>
  </si>
  <si>
    <t>Část prostředků budeme čerpat na pořízení DHM (např. mycí stroj, herní prvky na zahradu apod.).</t>
  </si>
  <si>
    <t>Odměna ředitelce školy.</t>
  </si>
  <si>
    <t>Dotace na obědy zaměstnanců ve výši 5 Kč/ 1 oběd, Den učitelů - občerstvení, kulturní akce (divadlo, muzikál apod.), sportovní akce, výročí - pracovní i životní, rekreace zaměstnanců či jejich dětí, dárkový poukaz do lékárny apod.</t>
  </si>
  <si>
    <t>Dluh za stravné ZŠ Palacká - děti Erlichovi</t>
  </si>
  <si>
    <t>dluh z roku 2015</t>
  </si>
  <si>
    <t>Dlužník je Jaroslav Erlich, zákonný zástupce sourozenců Erlichových, kteří navštěvovali ZŠ Palackou. Způsob, jakým je pohledávka vymáhána: Ředitelka školy zaslala panu Erlichovi 3 dopisy, přičemž poslední se vrátil jako nedoručený. Ustanovená škodní komise doporučila odpis pohledávky. Konzultováno s MaM Prostějova a odepisováno. Zamýšlený postup v dalším období při vymáhání pohledávky: Vše odepsáno - zůstatek z roku 2016 1.533,60 Kč odepsán v r. 2017. Veškeré podklady byly odevzdány právníkovi FO Mgr. Vyškovskému k dalšímu řešení a doposud nemáme zpětnou vazbu. Od roku 2018 bude vedeno na podrozvaze.</t>
  </si>
  <si>
    <t>ŠD nábytek</t>
  </si>
  <si>
    <t>Obědy pro děti</t>
  </si>
  <si>
    <t>Příspěvek SRPŠ na vstupenky na muzikál pro žáky.</t>
  </si>
  <si>
    <t>Nová učebna</t>
  </si>
  <si>
    <t>dosud nečerpáno ...</t>
  </si>
  <si>
    <t>Nadace SOVA. RMP usnesení č. 7150 ze dne 7.2.2017</t>
  </si>
  <si>
    <t>Čerpání IF. RMP usnesení č. 61024 ze dne 8.11.2016</t>
  </si>
  <si>
    <t>Projekt WOMEN FOR WOMEN. Souhlas zřizovatele 18.7.2016 Mgr. Petr Ivánek</t>
  </si>
  <si>
    <t>Navýšení neinvestičního příspěvku. RMP usnesení č. 7494 ze dne 23.5.2017</t>
  </si>
  <si>
    <t>Navýšení neinvestičního příspěvku. RMP usnesení č. 7491 ze dne 23.5.2017</t>
  </si>
  <si>
    <t>Převod mezi nákladovými účty (SU 502 - SU 511). Oznámeno zřizovateli.</t>
  </si>
  <si>
    <t>Projekt WOMEN FOR WOMEN. RMP usnesení č. 7625 ze dne 27.6.2017</t>
  </si>
  <si>
    <t>Finanční dar SRPŠ. RMP usnesení č. 7626 ze dne 27.6.2017</t>
  </si>
  <si>
    <t>Výhra ve sběrové soutěži škol. RMP usnesení č. 7.2.2018</t>
  </si>
  <si>
    <t>Navýšení neinvestičního příspěvku. RMP usnesení č. 7700 ze dne 25.7.2017</t>
  </si>
  <si>
    <t>Dar LIDL. RMP usnesení č. 7764 ze dne 22.8.2017</t>
  </si>
  <si>
    <t>Navýšení neinvestičního příspěvku. RMP usnesení č. 7765 ze dne 22.8.2017</t>
  </si>
  <si>
    <t>Výkup železa. Oznámeno zřizovateli.</t>
  </si>
  <si>
    <t>Pokuta bazén. Oznámeno zřizovateli.</t>
  </si>
  <si>
    <t>Čerpání FO. RMP usnesení č. 7615 ze dne 27.6.2017</t>
  </si>
  <si>
    <t>Dar rodičů. Oznámeno zřizovateli.</t>
  </si>
  <si>
    <t>Přesun odpisů na DDHM. RMP usnesení č. 71288 ze dne 5.12.2017</t>
  </si>
  <si>
    <t>Havárie strop. RMP usnesení č. 71330 ze dne 11.12.2017</t>
  </si>
  <si>
    <t>Převod mezi nákladovými účty (SU 502 - SU 501, 549). Oznámeno zřizovateli.</t>
  </si>
  <si>
    <t>Převod mezi nákladovými účty (SU 518 - SU 511, 558). Oznámeno zřizovateli.</t>
  </si>
  <si>
    <t>nebyla</t>
  </si>
  <si>
    <t>Vratka nevyčerpaného příspěvku na správce hřiště. V roce 2017 proběhla oprava dvorního traktu, kdy se v areálu školy pohybovala stavební technika, a proto nebyl správce hřiště odměňován. Výše nevyčerpaného příspěvku je: 25.914 Kč.</t>
  </si>
  <si>
    <t>Na kontrolním dni bylo rozhodnuto, že organizace vrátí nedočerpané prostředky na mzdy a platy ve výši 279 Kč.</t>
  </si>
  <si>
    <r>
      <t>Škola v roce 2017 hospodařila  v hlavní činnosti se ziskem 67.626,53 Kč. Proti přímému vlivu organizace na tvorbu HV a jednoznačně ziskovým činnostem, např. sběr a ostatní výnosy celkem ve výši 27.128 Kč, stojí</t>
    </r>
    <r>
      <rPr>
        <b/>
        <sz val="8"/>
        <rFont val="Times New Roman"/>
        <family val="1"/>
        <charset val="238"/>
      </rPr>
      <t xml:space="preserve"> úspory nákladů v závazných ukazatelích </t>
    </r>
    <r>
      <rPr>
        <sz val="8"/>
        <rFont val="Times New Roman"/>
        <family val="1"/>
        <charset val="238"/>
      </rPr>
      <t xml:space="preserve">plánu nákladových položek v celkové výši  </t>
    </r>
    <r>
      <rPr>
        <b/>
        <sz val="8"/>
        <rFont val="Times New Roman"/>
        <family val="1"/>
        <charset val="238"/>
      </rPr>
      <t>35.280,93 Kč</t>
    </r>
    <r>
      <rPr>
        <sz val="8"/>
        <rFont val="Times New Roman"/>
        <family val="1"/>
        <charset val="238"/>
      </rPr>
      <t xml:space="preserve">, z toho:                                                                                                                                                           
• 502 ušetřené náklady na energie 3.573,53 Kč proti plánu,                                                                                                                                                    • 551 odpisy –  10.105 Kč – úspora z důvodu pořízení nového majetku v nižší pořizovací ceně a až koncem roku,
• 52x mzdové náklady - 7.400 Kč a ostatní osobní náklady – 14.202,40 Kč - úspory za odvody správce hřiště, příp. dalších pracovníků nedotovaných z přímých nákladů MŠMT.
</t>
    </r>
  </si>
  <si>
    <t xml:space="preserve">Výsledek hospodaření v doplňkové činnosti v částce 144.447,84 Kč je vytvořen rozdílem mezi skutečnými výnosy za vlastní činnost, zejména pronájmů v celkové výši 736.336 Kč a celkovými náklady na tuto činnost ve výši 603.662 Kč. Zisk z pronájmů činí celkem 132.674 Kč. Ztrátový pronájem v roce 2017 byl jen nájem z bufetu, protože jednorázové náklady na jeho zprovoznění z důvodu splnění podmínek hygieniků, požárníků byly vyšší, než příjem za období od září do prosince, kdy byl bufet znovu otevřen. 
Dalším zdrojem příjmu bylo stravování cizích strávníků  a keramický kurz pro dospělé, zisk z těchto činností činí celkem 14.782,54 Kč. 
Meziroční rozdíl v hospodářském výsledku je z velké části způsoben podzimním výpadkem v provozu tělocvičny z důvodu opravy tělocvičny.  </t>
  </si>
  <si>
    <t>Obnova a pořízení 2 ks dataprojektorů do odborných učeben a obnovu drobného ICT ve škole (switche, AP, UPS apod.)</t>
  </si>
  <si>
    <t xml:space="preserve">Obnova a pořízení NTB, příp. PC do kmenových učeben i učeben odborných předmětů. </t>
  </si>
  <si>
    <t xml:space="preserve">Z fondu investic bude potřeba pořídit do školní jídelny průmyslovou velkokapacitní tunelovou myčku, jejíž pořizovací cena se podle předběžných nabídek pohybuje přes 800 tis. Kč podle vybavenosti.  Dále je za hranou životnosti již zmíněná sklopná plynová pánev (149 tis. Kč). </t>
  </si>
  <si>
    <t>Prostředky fondu budou čerpány na odměny zaměstnancům.</t>
  </si>
  <si>
    <t xml:space="preserve">Prostředky z FKSP budou čerpány zejména na příspěvek na stravování, na penzijní připojištění zaměstnanců a na společné kulturní a sportovní aktivity zaměstnanců. </t>
  </si>
  <si>
    <t>K datu vydání rozborové zprávy nebyly ve škole pohledávky po lhůtě splatnosti evidovány.</t>
  </si>
  <si>
    <t>K datu vydání rozborové zprávy nebyly ve škole žádné závazky po lhůtě splatnosti  evidovány.</t>
  </si>
  <si>
    <t>Nadace SOWA_rozvoj žáků reálného gymnázia a základní školy; schváleno usnesením RMP č. 7150 ze dne 7.2.2017; čerpáno na žíněnky pro ŠD</t>
  </si>
  <si>
    <t>ing. Aleš Zajíček, Praha - neúčelový; čerpáno na předplatné AJ časopisu</t>
  </si>
  <si>
    <t xml:space="preserve">Miloslav Hlávek, Vrbátky - neúčelový; čerpáno na "Armilární sféru" (11000 Kč) a doplatek předplatného AJ (109Kč) </t>
  </si>
  <si>
    <t xml:space="preserve">Nadace Women for women; čerpáno na obědy pro děti </t>
  </si>
  <si>
    <t xml:space="preserve">KPŠ při RG a ZŠ; věcný dar - 1x dataprojektor Epson; schváleno usnesením RMP č. 7693 ze dne 25.7.2017 </t>
  </si>
  <si>
    <t xml:space="preserve">KPŠ při RG a ZŠ; věcný dar - uč. pom. do tělocviku; schváleno usnesením RMP č. 71289 ze dne 5.12.2017 </t>
  </si>
  <si>
    <t xml:space="preserve">Zbyněk Zbořil, Prostějov; věcný dar -projekční plátno; schváleno usnesením RMP č. 71289 ze dne 5.12.2017 </t>
  </si>
  <si>
    <t>Účet 672 - Navýšení příspěvku zřizovatele  - na pořízení pomůcek pro žáky prvních tříd ve šk. roce 2017/2018;  RMP rozhodnutí č.7491</t>
  </si>
  <si>
    <t>Účet 501 - Spotřeba materiálu  -  spotřební materiál pro žáky 1. tříd</t>
  </si>
  <si>
    <t xml:space="preserve">Účet 649 - Ostatní výnosy z činnosti - navýšení o úsporu z úroků (výnosy ze sběru, náhrady od fyz. osob, od pojišťovny)  </t>
  </si>
  <si>
    <t>Účet 591 - Daně - srážková daň z úroku na bankovních účtech  a daň z příjmu PO (230 Kč)</t>
  </si>
  <si>
    <t>Účet 512 - Cestovné - pro žáky na turnaje a sportovní utkání, hrazené ze sběru</t>
  </si>
  <si>
    <t>Účet 648 - Čerpání fondů - posílení čerpání fondu rezervního - dary 2017</t>
  </si>
  <si>
    <t>Účet 558 - Pořízení DDHM z darů 2017 na rezervním fondu</t>
  </si>
  <si>
    <t xml:space="preserve">Účet 558 - Pořízení DDHM - obměna ICT, nákup noteboků - snížení položky ve  prospěch revitalizace počítačů v MMU </t>
  </si>
  <si>
    <t>Účet 549 - Ostatní náklady z činnosti - technické zhodnocení 30 ks počítačů v učebně MMU</t>
  </si>
  <si>
    <t>Účet 644 - Prodaný materiál - čipy - snížení položky z důvodu vyřazení 37 ks</t>
  </si>
  <si>
    <t>Účet 544 - Ostatní náklady z činnosti - likvidace poškozených čipů (37 ks)</t>
  </si>
  <si>
    <t>Účet 649 - Dar věcný z KPŠ, schváleno usnesením Rady města Prostějova č. 7696 ze dne 25.7.2017 - dataprojektor do učebny HV</t>
  </si>
  <si>
    <t>Účet 558 - Dar věcný z KPŠ, schváleno usnesením Rady města Prostějova č. 7696 ze dne 25.7.2017 - dataprojektor do učebny HV</t>
  </si>
  <si>
    <t>Účet 602 - Výnosy stravné - zvýšení výnosů za stravné - navýšení ceny oběda o 3 Kč</t>
  </si>
  <si>
    <t xml:space="preserve">Účet 501 - spotřeba materiálu - navýšení položky z důvodu vyšších cen za potraviny, náklady budou kryté navýšenými příjmy za stravné </t>
  </si>
  <si>
    <t>Účet 558 - náklady z dlouhodobého majetku - výroba nábytku školník - kab. Školního psychologaB224 + učebna IVT_F13+ třída 1. stupně B09</t>
  </si>
  <si>
    <t>Účet 501 - spotřeba materiálu - výroba nábytku školník - kab. školního psychologa B224 + učebna IVT_F13+ třída 1. stupně B09</t>
  </si>
  <si>
    <t>Účet 502 - spotřeba energie - snížení z důvodu předpokládané úspory energie za 1.-3. 1/4-letí 2017 -  schváleno  3.11.2017 vedoucím odboru školství, kultury a sportu</t>
  </si>
  <si>
    <t>Účet 511 - opravy dlouhodobého majetku - zvýšená potřeba z důvodu opravy protipožárních dveří, pav. F u ŠD</t>
  </si>
  <si>
    <t>Účet 511 - opravy a údržba dlouhodobého majetku - zvýšená potřeba z důvodu opravy podlahových krytin v odborných a kmenových učebnách</t>
  </si>
  <si>
    <t>Účet 551 - odpisy dlouhodobého majetku (budov)  - snížení z důvodu předpokládané úspory odpisů DHM -  schváleno usnesením Rady města Prostějova č. 71092 ze dne 14.11.2017</t>
  </si>
  <si>
    <t>Účet 511 - opravy a údržba - čerpání na opravu zatékající stříšky nad vchodem do tělocvičny</t>
  </si>
  <si>
    <t xml:space="preserve">Účet 648  - čerpání fondů - čerpání fondu rezervního z darů na soc. náklady zaměstnanců </t>
  </si>
  <si>
    <t>Účet 527 - zákonné sociální náklady na vstupní prohlídky - správci, ved. kroužků, prac. z ÚP apod.</t>
  </si>
  <si>
    <t>Účet 649 - Dar věcný z KPŠ, schváleno usnesením Rady města Prostějova č. 71289 ze dne 5.12.2017 - učební pomůcky do TV 9540Kč + plátno promít. 2500Kč</t>
  </si>
  <si>
    <t>Účet 501 -Dar věcný z KPŠ, schváleno usnesením Rady města Prostějova č. 71289 ze dne 5.12.2017 - učební pomůcky do TV 9540Kč + plátno promít. 2500Kč</t>
  </si>
  <si>
    <t xml:space="preserve">Účet 518 - služby -  úspora za nové licence AVG a NOD (pořízeny z účtu 558), za pronájem bazénu a úspora dalších nákladů na služby proti plánovaným  ve prospěch účtu 501 - spotřeba materiálu </t>
  </si>
  <si>
    <t>Účet 501 - spotřeba materiálu  - nákup materiálu - posílení nad rámec plánu na předplatné 4000 (Legislativa školy), na nákup soc. a hygienického mat. (TP, ZZ ručníky apod.) a na materiál k výrobě nábytku</t>
  </si>
  <si>
    <t xml:space="preserve">Účet 511- opravy a údržba - posílení nad rámec plánu na malování po zatečení </t>
  </si>
  <si>
    <t>Účet 648 - Čerpání fondů - snížení položky - čerpání rezervního fondu na pořízení majetku</t>
  </si>
  <si>
    <t>Účet 558- Pořízení DDHM z rezervního fondu</t>
  </si>
  <si>
    <t>Účet 648 - Čerpání fondů - snížení položky - čerpání fondu odměn</t>
  </si>
  <si>
    <t>Účet 521 - snížení čerpání z FO (navýšení mezd neped. prac.)</t>
  </si>
  <si>
    <t>Účet 558 - pořízení DDHM -úspora nákladů na pořízení majetku</t>
  </si>
  <si>
    <t>Účet 512 - cestovné - posílení položky na cestovné zaměstnanců na služební cesty</t>
  </si>
  <si>
    <t>Účet 549 - náklady na pojištění - cestovní pojištění</t>
  </si>
  <si>
    <t>Účet 511 - opravy a údržba - posílení položky na úkor pořízení majetku na opravu výtahu, malování po opravě v TV</t>
  </si>
  <si>
    <t>Účet 502 - spotřeba energie - snížení z důvodu předpokládané úspory energie za 1.-3. 1/4-letí 2017 -  schváleno  27.12.2017 vedoucím odboru školství, kultury a sportu</t>
  </si>
  <si>
    <t>Účet 511 - opravy dlouhodobého majetku - zvýšená potřeba z důvodu opravy protipožárních dveří, pav.F</t>
  </si>
  <si>
    <t>Výnosy z prodeje služeb - stravné - navýšení - akce Sokolské župy 28.5.</t>
  </si>
  <si>
    <t xml:space="preserve">Výnosy z prodeje služeb - kurz keramika </t>
  </si>
  <si>
    <t xml:space="preserve">Mzdové náklady - OON ve ŠJ </t>
  </si>
  <si>
    <t xml:space="preserve">Mzdové náklady - OON kurz keramiky </t>
  </si>
  <si>
    <t xml:space="preserve">Daně - zaplacená daň z příjmu PO za rok 2016 (230 Kč)  </t>
  </si>
  <si>
    <t>Výnosy z pronájmu - posílení na úkor daně z příjmu</t>
  </si>
  <si>
    <t>Opravy a údržba - snížení nákladů ve prospěch technického zhodnocení budovy</t>
  </si>
  <si>
    <t>Služby - snížení nákladů na úkor technického zhodnocení budovy 610Kč a na doplnění odvodů z mezd</t>
  </si>
  <si>
    <t>Technické zhodnocení nemovitého majetku -navýšení na pořízení venkovních žaluzií - byt školníka</t>
  </si>
  <si>
    <t>Zákonné sociální pojištění - odvody za vyplacené odměny za obědy v DČ</t>
  </si>
  <si>
    <t>Zákonné sociální náklady - odvody vyplacené odměny za obědy v DČ</t>
  </si>
  <si>
    <t xml:space="preserve">Výnosy z pronájmu </t>
  </si>
  <si>
    <t xml:space="preserve">Spotřeba materiálu - snížení nákladů </t>
  </si>
  <si>
    <t>Mzdové náklady na úklid TV haly - snížení - přerušení provozu z důvodu opravy tělocvičny</t>
  </si>
  <si>
    <t xml:space="preserve">Služby - snížení nákladů na odvoz odpadů </t>
  </si>
  <si>
    <t xml:space="preserve">Na minulém kontrolním dnu k hospodaření v 1. pololetí 2017 nebyla organizaci uložena žádná opatření. 
</t>
  </si>
  <si>
    <t>1. Doporučení  pro ponechání výsledku hospodaření organizaci pro příděl do peněžních fondů organizace:
Účastníci kontrolního dne, vzhledem k provedené analýze dosaženého výsledku hospodaření, doporučují ponechat organizaci část výsledku hospodaření ve výši 176.793,44 Kč pro příděl do peněžních fondů organizace dle zákona č. 250/2000 Sb. o rozpočtových pravidlech územních rozpočtů, ve znění pozdějších předpisů a na základě předložených požadavků a potřeb organizace. Do rezervního fondu je navrženo převést 146.793,44 Kč Kč a do fondu odměn částku ve výši 30.000,00 Kč.</t>
  </si>
  <si>
    <t xml:space="preserve">2. Doporučení pro odvod ZVH organizace na účet zřizovatele:
Účastníci KD, vzhledem k provedené analýze dosaženého výsledku hospodaření, doporučují odvést část výsledku hospodaření ve výši 35.280,93 Kč  na účet zřizovatele v rámci finančního vypořádání roku 2017. 
</t>
  </si>
  <si>
    <t xml:space="preserve">3. Termíny pro příděly a odvod:
Příděl  fondům a odvod části výsledku hospodaření na účet zřizovatele provede organizace na základě písemného vyrozumění odborem Odboru školství, kultury a sportu MMPv.
</t>
  </si>
  <si>
    <t xml:space="preserve">4. Ostatní informace pro zřizovatele 
Akce investičního charakteru, vhodné k realizaci, které se škole nedaří provést v rámci každoročně plánovaných výdajů Města (ORI) na investice: 
Pavilon D - WC - zateplení světlíku (velký únik tepla dle energetického auditu) - rozpočet na ORI cca před 8 lety. Odhadovaná částka 600 000 Kč 
Ve školní jídelně překračuje hluk zdravotní limity, proto by bylo vhodné jídelnu odhlučnit. Toto odhlučnění by bylo stavebního charakteru. Požadavek uveden rovněž v plánu investic. Odhadovaná částka 400 000 Kč.
V předchozích letech požadované dokončení montáže termoventilů bylo v letošním roce provedeno jako technické zhodnocení budovy v hodnotě 410.221 Kč na náklady zřizovatele v režii ORI. 
Opravy nemovitého majetku, organizované ORI na rok 2018 - oprava kanalizace v pavilonu F o hlavních prázdninách. 
</t>
  </si>
  <si>
    <t xml:space="preserve">                                                                                                                                                            </t>
  </si>
  <si>
    <t>Výnosem jsou výnosy z pronájmu školního bytu, pronájmu divadla Starost, Telefonica a.s.</t>
  </si>
  <si>
    <t>Finanční prostředky bychom rádi použili na pořízení klimatizace do hudebního sálu v budově na Kravařové ul. V sále je špatný vzduch z důvodu vysokých teplot, množství návštěvníků koncertů a vzhledem k nemožnosti větrání z důvodu hlučné křižovatky.</t>
  </si>
  <si>
    <t>Rádi bychom v příštích letech pokračovali v obnově klavírních křídel.</t>
  </si>
  <si>
    <t>Fond odměn bychom rádi čerpali na mimořádné odměny.</t>
  </si>
  <si>
    <t>Při tvorbě a čerpání FKSP se organizace řídí vyhláškou č. 114/2002 sb., v platném znění a dále Směrnicí k používání FKSP a Směrnicí k závodnímu stravování.</t>
  </si>
  <si>
    <t>Organizace nepřijala v roce 2017 žádné dary.</t>
  </si>
  <si>
    <t>Dechový orchestr se zúčastní koncertního  zájezdu</t>
  </si>
  <si>
    <t>v Norsku. Členové orchestru budou přispívat na</t>
  </si>
  <si>
    <t>náklady zájezdu ve výši 5 000,-Kč.</t>
  </si>
  <si>
    <t>Zájezd Dechového orchestru Norsko - stravné</t>
  </si>
  <si>
    <t>Rada města PV dne 25.7.2017 usnesením č. 7694</t>
  </si>
  <si>
    <t>RF</t>
  </si>
  <si>
    <t>souhlasila s čerpáním RF převodem do FI na opravu</t>
  </si>
  <si>
    <t>svodů a čerpáním RF na nákup digitální kopírky</t>
  </si>
  <si>
    <t>Čerpání FO na mimořádné odměny pro pedagogické</t>
  </si>
  <si>
    <t>FO</t>
  </si>
  <si>
    <t>pracovníky.</t>
  </si>
  <si>
    <t>Čerpání RF na odvody související s čerpáním FO</t>
  </si>
  <si>
    <t>524+525</t>
  </si>
  <si>
    <t>Nákup kontejnerů ke psacím stolům přesáhl 3 000,-</t>
  </si>
  <si>
    <t xml:space="preserve">Kč / kus. Větší požadavek na nákup DDHM. </t>
  </si>
  <si>
    <t>Posílení z důvodu poservisních oprav kotlů</t>
  </si>
  <si>
    <t>Upraven fin. plán podle výhledu spotřeby nákladů</t>
  </si>
  <si>
    <t xml:space="preserve">na reprezentaci. Ostatní služby - archivace AZURO </t>
  </si>
  <si>
    <t>Neustále se snižující úroková sazba</t>
  </si>
  <si>
    <t>Propočet plnění povinného podílu osob se ZPS,</t>
  </si>
  <si>
    <t>navýšení ostaních služeb - účastnické poplatky</t>
  </si>
  <si>
    <t xml:space="preserve">Vyšší pořadvky na nákup DDHM, vyšší ceny, </t>
  </si>
  <si>
    <t>přesahující hranici 3 000,- Kč</t>
  </si>
  <si>
    <t>Kurzové rozdíly - náklady, vzniklé nákupem not ze</t>
  </si>
  <si>
    <t>zahraničí.</t>
  </si>
  <si>
    <t>Rada města Prostějova schválila usnesením č.71292</t>
  </si>
  <si>
    <t xml:space="preserve">snížení závazného ukazatele 527 a navýšení ukazatele </t>
  </si>
  <si>
    <t xml:space="preserve">518, dále schválila navýšení ukazatele 525 a snížení </t>
  </si>
  <si>
    <t>ukazatele 549.  Jedná se o změnu UCT navrženou</t>
  </si>
  <si>
    <t>auditem</t>
  </si>
  <si>
    <t xml:space="preserve">     Přidělené prostředky do rezervního fondu byly vázány na opravu svodů, brány a nákup kopírovacího stroje.</t>
  </si>
  <si>
    <t>Z přidělených prostředků do RF jsme vyčerpali 29 645,- Kč na nákup digitální kopírky a 17 654,- Kč na opravu</t>
  </si>
  <si>
    <t xml:space="preserve">svodů .  Oprava svodů byla v nižší částce, než původně plánovaná částka a bránu se podařilo opravit panu školníkovi. </t>
  </si>
  <si>
    <t xml:space="preserve">Nevyčerpané finanční prostředky bychom rádi využili jako navýšení peněžních prostředků FI určených na financování  </t>
  </si>
  <si>
    <t xml:space="preserve">údržby a oprav majetku, který organizace používá pro svou činnost, na pořízení klimatizace do hudebního sálu v  </t>
  </si>
  <si>
    <t xml:space="preserve">budově na Kravařové ul. V sále je brzy špatný vzduch z důvodu vysokých teplot , množství  návštěvníků koncertů  </t>
  </si>
  <si>
    <t xml:space="preserve">a  vzhledem k nemožnosti větrání z důvodu hlučné křižovatky. </t>
  </si>
  <si>
    <t>Z kontrolního dne nevyplynuly žádné ostatní závěry k výsledkům hospodaření za rok 2017, vztahované k období roku 2018.</t>
  </si>
  <si>
    <t>Sportcentrum - dům dětí a mládeže Prostějov, příspěvková organizace</t>
  </si>
  <si>
    <t>Olympijská 4228/4, Prostějov 796 01</t>
  </si>
  <si>
    <t xml:space="preserve">Hlavní vliv na výsledek hospodaření v hlavní činnosti má rekonstrukce objektu na Vápenici, kdy byly rozpočtovány náklady spojené s touto stěžejní akcí, ale nebyly v plné výši vyčerpány. Dále také stanovené procentní rozdělení fixních nákladů organizace k jednotlivých činnostem mezi hlavní a doplňkovou činností. </t>
  </si>
  <si>
    <t xml:space="preserve">Hlavní vliv na výsledek hospodaření má stanovené procentní rozdělení nákladů v hlavní a doplňkové činnosti a příjmů z pronájmů. </t>
  </si>
  <si>
    <t>Plán užití rezervního fondu je na vybavení nově zrekonstruovaných prostor na ul. Vápenice, částečný převod do investičního fondu na opravu palubovky v objektu na ul. Olympijské.</t>
  </si>
  <si>
    <t>V lednu 2018 byl fond čerpán na nákup nového devítimístného automobilu Peugeot Boxer Minibus v hodnotě 773.914,00 Kč. Další čerpání předpokládáme na opravu palubovky v objektu na Olympijské.</t>
  </si>
  <si>
    <t>Fond odměn bude čerpán na odměny zaměstnanců organizace.</t>
  </si>
  <si>
    <t>Čerpání fondu je plánováno na stravování zaměstnanců, odměny k životnímu jubileu a na vitamínové balíčky pro zaměstnance.</t>
  </si>
  <si>
    <t>311.0100 - Odběratelé/194.0300 - Opravné položky k odběratelům</t>
  </si>
  <si>
    <t xml:space="preserve">Pohledávka vůči firmě Prostějovský basketbal s.r.o. v likvidaci. Dlužník přiznal a odsouhlasil dlužnou částku. Na Dohody o smíru nereagoval. Soudu v Brně byla podána žádost o změnu likvidátora. Dosud nemáme rozhodnutí. </t>
  </si>
  <si>
    <t>311.0100 - Odběratelé/194.0381 - Opravné položky k odběratelům (80.080,60 Kč)</t>
  </si>
  <si>
    <t>Pohledávky vůči firmě Basket Group, s. r. o. byly uhrazeny ve dvou splátkách 4.400,00 Kč 19.1.2018 a 321.858,00 Kč 22.3.2018. Na pohledávky byl podán k soudu návrh na EPR. V současné době řešíme, v součinnosti s právníkem finančního odboru Magistrátu města Prostějova, úroky z prodlení a následné zrušení EPR.</t>
  </si>
  <si>
    <t>311.0100 - Odběratelé/194.0382 - Opravné položky k odběratelům (1.155,00 Kč)</t>
  </si>
  <si>
    <t>Pohledávka vůči firmě Orli Prostějov, spolek byla uhrazena v plné výši dne 22.3.2018. Na pohledávku byl podán k soudu návrh na EPR. V současné době řešíme, v součinnosti s právníkem finančního odboru Magistrátu města Prostějova, úroky z prodlení a následné zrušení EPR.</t>
  </si>
  <si>
    <t>Dar nebyl vázán účelem. Pořízeny byly dvě kárky na DDC.</t>
  </si>
  <si>
    <t>Úprava rozpočtu č. 1 - navýšení mzdových prostředků - schváleno 21.3.2017 RMPV - usnesení 7302</t>
  </si>
  <si>
    <t>úprava rozpočtu č. 2 - tvorba fondu investic - prodej Pianina Petrof</t>
  </si>
  <si>
    <t>úprava rozpočtu č. 3 - čerpání FO</t>
  </si>
  <si>
    <t xml:space="preserve">úprava rozpočtu č. 3 - čerpání RF dar </t>
  </si>
  <si>
    <t>úprava rozpočtu č. 4 - navýšení mzdových prostředků, schváleno Radou MPV 25.7.2017, usnesení č. 7699</t>
  </si>
  <si>
    <t>úprava rozpočtu č. 5 - navýšení příspěvku na opravu osvětlení haly</t>
  </si>
  <si>
    <t>úprava rozpočtu č. 6 - čerpání RF na nosiče reklamních panelů</t>
  </si>
  <si>
    <t>úprava rozpočtu č. 7 - navýšení mzdových prostředků, schválena RMP 17.10.2017, us. č. 71011</t>
  </si>
  <si>
    <t>úprava rozpočtu č. 8 - čerpání FO</t>
  </si>
  <si>
    <t>úprava rozpočtu č. 9 - čerpání FO</t>
  </si>
  <si>
    <t>úprava rozpočtu č. 10 - čerpání FO</t>
  </si>
  <si>
    <t>úprava rozpočtu č. 11 - použití RF na krytí odvodů z mezd, převody v analytickém členění 527</t>
  </si>
  <si>
    <t>úprava rozpočtu č. 11 - převody v analytickém členění 527</t>
  </si>
  <si>
    <t>Úprava rozpočtu č. 12 - převody v analytickém členění 551</t>
  </si>
  <si>
    <t>Úprava rozpočtu č. 12 - převody v analytickém členění 521 - mzdové prostředky</t>
  </si>
  <si>
    <t xml:space="preserve">Úprava rozpočtu č. 13 - Předpis vratky zřizovateli - oprava osvětlení </t>
  </si>
  <si>
    <t>Úprava rozpočtu č. 13 - Předpis vratky zřizovateli - závazný ukazatel 551 - odpisy</t>
  </si>
  <si>
    <t>Úprava rozpočtu č. 13 - Předpis vratky zřizovateli - závazný ukazatel 521 - mzdy</t>
  </si>
  <si>
    <t>úprava rozpočtu č. 14 - převody v analytickém členění 501 - materiál</t>
  </si>
  <si>
    <t>501/0320</t>
  </si>
  <si>
    <t>501/0480</t>
  </si>
  <si>
    <t>úprava rozpočtu č. 14 - převody v analytickém členění 502 - spotřeba energie</t>
  </si>
  <si>
    <t>úprava rozpočtu č. 14 - převody v analytickém členění 511 - opravy a udržování</t>
  </si>
  <si>
    <t>úprava rozpočtu č. 14 - převody v analytickém členění 549 - ostatní náklady z činnosti</t>
  </si>
  <si>
    <t>úprava rozpočtu č. 15 - převody v analytickém členění 518 - ostatní služby</t>
  </si>
  <si>
    <t>518/0310</t>
  </si>
  <si>
    <t>úprava rozpočtu č. 16 - převody mezi nákladovými položkami</t>
  </si>
  <si>
    <t>úprava rozpočtu č. 16 - navýšení výnosů z činnosti souvztažně k nákladům</t>
  </si>
  <si>
    <t>649/0344</t>
  </si>
  <si>
    <t>669/0300</t>
  </si>
  <si>
    <t>662/0300</t>
  </si>
  <si>
    <t>556/0381</t>
  </si>
  <si>
    <t>556/0382</t>
  </si>
  <si>
    <t>úprava rozpočtu č. 17 - DČ - analytické převody mezi nákladovými položkami</t>
  </si>
  <si>
    <t>501/0010</t>
  </si>
  <si>
    <t>501/0100</t>
  </si>
  <si>
    <t>501/0020</t>
  </si>
  <si>
    <t>501/0110</t>
  </si>
  <si>
    <t>511/0040</t>
  </si>
  <si>
    <t>518/0070</t>
  </si>
  <si>
    <t>518/0140</t>
  </si>
  <si>
    <t>518/0190</t>
  </si>
  <si>
    <t>549/0020</t>
  </si>
  <si>
    <t>úprava rozpočtu č. 18 - DČ - navýšení výnosů z činnosti souvztažně k nákladům</t>
  </si>
  <si>
    <t>556/0081</t>
  </si>
  <si>
    <t>Pohledávku po lhůtě splatnosti vůči firmě Prostějovský basketbal v likvidaci ve výši 137.201,00 Kč ponechat v rozvahové evidenci (na účtech 311/194).</t>
  </si>
  <si>
    <t>Nákup nového devítimístného automobilu Peugeot Boxer Minibus byl realizován v lednu 2018 a byl plně financován z investičního fondu organizace.</t>
  </si>
  <si>
    <t xml:space="preserve">V souvislosti s plánovaným rozvojem organizace bylo uloženo zpracovat finanční plány na: vybavení nově rekonstruovaných prostor na ul. Vápenici, palubovku v objektu na ul. Olympijské, osobní vůz a opravu střechy na DDC. </t>
  </si>
  <si>
    <t>Mgr. Ivan Nedvěd</t>
  </si>
  <si>
    <t>Zpracovala: Ing. Vlasta Pavlovská</t>
  </si>
  <si>
    <t>ředitel organizace</t>
  </si>
  <si>
    <t>Sportcentrum - dům dětí a mládeže Prostějov</t>
  </si>
  <si>
    <t>MD vzhledem ke své činnosti potřebuje finanční rezervu k překlenutí případného výkyvu tržeb, většina rezervního fondu byla použita v roce 2017 tak, jak to bylo naplánováno ve FP pro rok 2017.</t>
  </si>
  <si>
    <t>Organizace požádala zřizovatele o snížení fondu investic o 400 000 Kč z důvodu nerealizovaných oprav v kalendářním roce 2017 a celých rok 2017 tento IF nepoužila.</t>
  </si>
  <si>
    <t>Fond odměn byl použit na odměnu ředitelky organizace dle rozhodnutí zřizovatele a na úhradu odměny při odchodu ekonomky do starobního důchodu.</t>
  </si>
  <si>
    <t>Zdrojem FKSP je 2% zálohový příděl schválených mzdových prostředků, je používán na příspěvek na stravné pro zaměstnance v hlavním poměru a na kulturní akce pro tyto zaměstnance.</t>
  </si>
  <si>
    <t>Navýšené tržby použity na neplánovaný nákup drobného</t>
  </si>
  <si>
    <t>DHM z důvodů poruch a neopravitelnosti</t>
  </si>
  <si>
    <t>Navýšení neinvestičního příspěvku od zřizovatele-mzdové</t>
  </si>
  <si>
    <t>RMPV č. 7699</t>
  </si>
  <si>
    <t>nákl. včetně zák.odvodů z důvodu zvyšování tarifů</t>
  </si>
  <si>
    <t>z  25.7.2017</t>
  </si>
  <si>
    <t>RMPV č. 7615</t>
  </si>
  <si>
    <t>z  27.6.2017</t>
  </si>
  <si>
    <t>Čerpání FO na odměnu ekonomky při odchodu do důchodu</t>
  </si>
  <si>
    <t>RMPV č. 71011</t>
  </si>
  <si>
    <t>nákl. včetně zák.odvodů z důvodu úpravy  tarifů</t>
  </si>
  <si>
    <t>z 17.10.2017</t>
  </si>
  <si>
    <t>Navýšené tržby použity na financování pokuty udělené</t>
  </si>
  <si>
    <t>OSSZ na základě kontroly</t>
  </si>
  <si>
    <t xml:space="preserve">Závěrečná úprava nákladových položek plynoucí z přeúčtování komerčních </t>
  </si>
  <si>
    <t xml:space="preserve"> nákladů, jejichž počet a způsob pronájmů není v době sestavení FP zřejmý.</t>
  </si>
  <si>
    <t xml:space="preserve"> Navýšené příjmy generují vyšší náklady a dle chrakteru pronájmů </t>
  </si>
  <si>
    <t>(neziskových) i nižší zisk.</t>
  </si>
  <si>
    <t xml:space="preserve">Závěrečná úprava tržeb plynoucích z provizí prodeje </t>
  </si>
  <si>
    <t>Ticketportal</t>
  </si>
  <si>
    <t xml:space="preserve">Závěrečná úprava nákladových položek plynoucí z přeúčtování </t>
  </si>
  <si>
    <t xml:space="preserve"> komerčních nákladů, jejichž počet a způsob pronájmů není v době sestavení</t>
  </si>
  <si>
    <t xml:space="preserve"> FP zřejmý. Navýšené příjmy generují vyšší náklady dle charakteru pronájmů</t>
  </si>
  <si>
    <t>Úpravy FP v hlavní činnosti  byly oznámeny OŠKS.</t>
  </si>
  <si>
    <t>Úpravy FP v doplňkové činnosti jsou plně v kompetenci organizace.</t>
  </si>
  <si>
    <t>1. Organizace na základě schválení usnesení RMPV č. 7762 z 22. 8. 2017 snížila fond investic o 400 000,-- Kč a tuto částku odvedla na účet zřizovatele.</t>
  </si>
  <si>
    <t>Účastníci kontrolního dne, vzhledem k provedené analýze výledku hospodaření, doporučují ponechat organizaci celý výsledek hospodaření ve výši 91 911,30 Kč pro příděl do peněžních fondů organizace dle zákona č. 250/2000 Sb., o rozpočtových pravidlech územních rozpočtů, ve znění pozdějsích předpisů a na základě předložených požadavků a potřeb organizace. Do rezervního fondu je navrženo převést celou částku 91 911,30 Kč.</t>
  </si>
  <si>
    <t>V Prostějově 27. 3. 2018</t>
  </si>
  <si>
    <t xml:space="preserve">zpracovala </t>
  </si>
  <si>
    <t>Jarmila Jašková, ekonomka</t>
  </si>
  <si>
    <t>PaedDr. Jana Maršálková, ředitelka</t>
  </si>
  <si>
    <t>Jesle Sídliště Svobody v Prostějově, IČO: 479 20 360</t>
  </si>
  <si>
    <t>Výsledek hospodaření v hlavní činnosti ve výši 90.061,55 Kč je tvořen převážně úsporou v položce spotřeba energie - 60.822,00 Kč, dále vyššími výnosy, a také úsporou v nákladových položkách jako, spotřeba materiálu, náklady DDHM aj.</t>
  </si>
  <si>
    <t xml:space="preserve">Tvorba  - rozdělený ZHV roku 2016  ,                                                                                Čerpání - dokrytí zákonných odvodů z mezd(použití FO)                                                                                                                                                                                                                </t>
  </si>
  <si>
    <t>Tvorba - příděl ZHV roku 2016,                                                                                        Čerpání - odměny zaměstnanců</t>
  </si>
  <si>
    <t>Tvorba - zákonný příděl objemu mzdových prostředků                                  Čerpání -  příspěvek na stravu zaměstnanců, příspěvek na kulturní a sportovní vyžití zaměstnanců</t>
  </si>
  <si>
    <t>Navýšení přísp.na provoz-zákonná plat.úprava</t>
  </si>
  <si>
    <t>Navýšení mzdových prostř.- zákonná platová úprava</t>
  </si>
  <si>
    <t>Navýšení sociálního poj. - návaznost na zák.plat.úpr.</t>
  </si>
  <si>
    <t>Navýšení zdravotního poj. - zákonná plat.úprava</t>
  </si>
  <si>
    <t>Navýšení zákonného poj.odpovědnosti - zák.plat.úpr.</t>
  </si>
  <si>
    <t>Navýšení přídělu do FKSP - zák.plat.úprava</t>
  </si>
  <si>
    <t xml:space="preserve">Navýšení výnosů - vyšší tržby za "hlídání dětí"     </t>
  </si>
  <si>
    <t>Navýšení přídělu do FKSP - chybné plánování</t>
  </si>
  <si>
    <t>Ponížení položky spotřeba energie - úsp.za vytápění</t>
  </si>
  <si>
    <t>Navýšení položky opravy a udržování - oprava WC</t>
  </si>
  <si>
    <t>511/0350</t>
  </si>
  <si>
    <t>Použití fondu odměn - odměny zaměstnanců</t>
  </si>
  <si>
    <t>Navýšení mzdových nákladů - odměny zaměstnanců</t>
  </si>
  <si>
    <t>Použití rezervního fondu - odv. z navýš.mzd.prostř.</t>
  </si>
  <si>
    <t>Navýšení sociálního poj. - návaznost na vypl.odměny</t>
  </si>
  <si>
    <t>Navýšení zdravotního poj. - návaz.na vypl.odměny</t>
  </si>
  <si>
    <t>Navýšení zákonného poj.odpovědnosti - vypl.odm.</t>
  </si>
  <si>
    <t>525/307</t>
  </si>
  <si>
    <t>Navýšení přídělu do FKSP - vyplacené odměny</t>
  </si>
  <si>
    <t>527/307</t>
  </si>
  <si>
    <t>Celkem úpravy fin.plánu v Kč</t>
  </si>
  <si>
    <t>V Prostějově dne 27.3.2018</t>
  </si>
  <si>
    <t>ved.sestra jeslí : Marie Bittnerová v.r.</t>
  </si>
  <si>
    <t>Příspěvková organizace: KINO METRO 70 Prostějov, příspěvková organizace, Školní 3694/1, 79601 Prostějov, IČO:05592178</t>
  </si>
  <si>
    <t xml:space="preserve">Výše výsledku hospodaření v roce 2017 byla  způsobena vyšší návštěvností diváků v průběhu celého roku. </t>
  </si>
  <si>
    <t>Výše výsledku hospodaření v roce 2017 byla  způsobena vyšším počtem pronájmu prostor kina (kinosál, foyer, bufet)a prodejem popcornu.</t>
  </si>
  <si>
    <t>DHM (technika) určena k promítání filmů, kávovar a ostatní DHM do kavárny</t>
  </si>
  <si>
    <t>stavné a penzijní pojištění zaměstnanců</t>
  </si>
  <si>
    <t>nebyly žádné</t>
  </si>
  <si>
    <t>Zákonné a jiné sociální pojištění</t>
  </si>
  <si>
    <t>Navýšený výnosy transferů - mzdové prostředky</t>
  </si>
  <si>
    <t>Cestovné</t>
  </si>
  <si>
    <t>Navýšený výnosy transferů - odpis</t>
  </si>
  <si>
    <t>Výnosy z činnosti</t>
  </si>
  <si>
    <t>Drobný dlouhodobý majetek</t>
  </si>
  <si>
    <t>Pojištění</t>
  </si>
  <si>
    <t>Finanční výnosy</t>
  </si>
  <si>
    <t>Zákonné a jiné sociální náklady</t>
  </si>
  <si>
    <t>Navýšený výnos transferů - mzdové prostředky</t>
  </si>
  <si>
    <t xml:space="preserve">Navýšený výnos transferů </t>
  </si>
  <si>
    <t>Nebyly žádné</t>
  </si>
  <si>
    <t xml:space="preserve"> Rozdělení zlepšeného výsledku hospodařeníza rok 2017 na základě jeho projednání bude v roce 2018 použito na zprovoznění kavárny, opravu a výměnu dveří.</t>
  </si>
  <si>
    <t>ZVH vnikl v důsledku hospodárného a účelného vynakládání finančních prostředků v oblasti nákladů a vyššími tržbami v oblasti výnosů.</t>
  </si>
  <si>
    <r>
      <t xml:space="preserve">Po projednání na kontrolním dnu bude do rezervního fondu převedena část zlepšeného výsledku hospodaření za rok 2017 ve výši </t>
    </r>
    <r>
      <rPr>
        <b/>
        <sz val="7"/>
        <rFont val="Times New Roman"/>
        <family val="1"/>
        <charset val="238"/>
      </rPr>
      <t>50.583,16 Kč</t>
    </r>
    <r>
      <rPr>
        <sz val="7"/>
        <rFont val="Times New Roman"/>
        <family val="1"/>
        <charset val="238"/>
      </rPr>
      <t>. Tyto finanční prostředky budou využity pro další rozvoj organizace - nákup výpočetní techniky v rámci pravidlené obnovy a na nákup knihovního fondu.</t>
    </r>
  </si>
  <si>
    <t>V roce 2018 budou finanční prostředky použity dle aktuální potřeby na dovybavení podkrovního sálu nebo na nákup výpočetní techniky potřebné pro zálohování dat.</t>
  </si>
  <si>
    <r>
      <t xml:space="preserve">Po projednání na kontrolním dnu bude do fondu odměn převedena část zlepšeného výsledku hospodaření ve výši </t>
    </r>
    <r>
      <rPr>
        <b/>
        <sz val="7"/>
        <rFont val="Times New Roman"/>
        <family val="1"/>
        <charset val="238"/>
      </rPr>
      <t xml:space="preserve">20.000 Kč </t>
    </r>
    <r>
      <rPr>
        <sz val="7"/>
        <rFont val="Times New Roman"/>
        <family val="1"/>
        <charset val="238"/>
      </rPr>
      <t>na posílení položky mzdové náklady.</t>
    </r>
  </si>
  <si>
    <t>Použití fondu v roce 2018 je plánováno na příspěvek na stravování pro zaměstnance.</t>
  </si>
  <si>
    <t>Pohledávky od čtenářů jsou vymáhány všemi dostupnými prostředky (písemně, elektronickou cestou, telefonicky apod.). Některé byly během roku 2017 uhrazeny, avšak byly zaúčtovány další. I v roce 2018 bude organizace vymáhat tyto pohledávky všemi možnými výše uvedenými dostupnými prostředky.</t>
  </si>
  <si>
    <t>V roce 2017 neobdržela organizace žádné dary.</t>
  </si>
  <si>
    <t>Při kontrolním dnu za 1. pololetí 2017 nebylo organizaci uloženo žádné opatření.</t>
  </si>
  <si>
    <r>
      <t xml:space="preserve">1. Účastníci kontrolního dne, vzhledem k provedené analýze výsledku hospodaření, doporučují rozdělení </t>
    </r>
    <r>
      <rPr>
        <b/>
        <sz val="8"/>
        <color theme="1"/>
        <rFont val="Times New Roman"/>
        <family val="1"/>
        <charset val="238"/>
      </rPr>
      <t>ZVH za rok 2017 ve výši 88.079,16 Kč</t>
    </r>
    <r>
      <rPr>
        <sz val="8"/>
        <color theme="1"/>
        <rFont val="Times New Roman"/>
        <family val="1"/>
        <charset val="238"/>
      </rPr>
      <t xml:space="preserve"> takto:</t>
    </r>
  </si>
  <si>
    <r>
      <t xml:space="preserve"> - ponechat organizaci část zlepšenéo výsledku hospodaření za rok 2017 ve výši </t>
    </r>
    <r>
      <rPr>
        <b/>
        <sz val="8"/>
        <color theme="1"/>
        <rFont val="Times New Roman"/>
        <family val="1"/>
        <charset val="238"/>
      </rPr>
      <t xml:space="preserve">70.583,16 Kč </t>
    </r>
    <r>
      <rPr>
        <sz val="8"/>
        <color theme="1"/>
        <rFont val="Times New Roman"/>
        <family val="1"/>
        <charset val="238"/>
      </rPr>
      <t>pro příděl do fondů následovně:</t>
    </r>
  </si>
  <si>
    <t>50.583,16 Kč - do rezervního fondu - na nákup výpočetní techniky v rámci pravidelné obnovy a na nákup knihovního fondu</t>
  </si>
  <si>
    <t>20.000,00 Kč - do fondu odměn - na posílení položky mzdové náklady</t>
  </si>
  <si>
    <r>
      <t xml:space="preserve"> - odvést zřizovateli část zlepšeného výsledku hospodaření za rok 2017 ve výši </t>
    </r>
    <r>
      <rPr>
        <b/>
        <sz val="8"/>
        <color theme="1"/>
        <rFont val="Times New Roman"/>
        <family val="1"/>
        <charset val="238"/>
      </rPr>
      <t>17.496,00 Kč.</t>
    </r>
  </si>
  <si>
    <t>2. Příděly do fondů a odvod řizovateli provede organizace na základě písemného vyrozumění Odboru školství, kultury a sportu MMP.</t>
  </si>
  <si>
    <t>3. Účastníci kontrolního dne zhodnotili hospodaření organizace v roce 2017 vyplývající z roborové zprávy a konstatovali, že celkovou činnost Městské knihovny Prostějov za uplynulý rok 2017 lze hodnotit pozitivně. Hospodaření po stránce ekonomické bylo shledáno vyrovnané bez výkyvů oproti předcházejícím rokům, což se příznivě projevuje v návštěvnosti knihovny čtenáři i účastníky pořádaných akcí.</t>
  </si>
  <si>
    <r>
      <rPr>
        <u/>
        <sz val="10"/>
        <color theme="1"/>
        <rFont val="Times New Roman"/>
        <family val="1"/>
        <charset val="238"/>
      </rPr>
      <t>Výhled do roku 2018</t>
    </r>
    <r>
      <rPr>
        <sz val="10"/>
        <color theme="1"/>
        <rFont val="Times New Roman"/>
        <family val="1"/>
        <charset val="238"/>
      </rPr>
      <t>: Účastníci kontrolního dne konstatovali, že fungování organizace v roce 2018 se jeví jako perspektivní a knihovna má nastaveny všechny parametry pro každodenní bezproblémový chod v oblasti poskytování knihovnickcých a informačních služeb pro širokou veřejnost.</t>
    </r>
  </si>
  <si>
    <r>
      <rPr>
        <u/>
        <sz val="10"/>
        <color theme="1"/>
        <rFont val="Times New Roman"/>
        <family val="1"/>
        <charset val="238"/>
      </rPr>
      <t xml:space="preserve">Rozborová zpráva, přiložené tabulky a předepsané výkazy </t>
    </r>
    <r>
      <rPr>
        <sz val="10"/>
        <color theme="1"/>
        <rFont val="Times New Roman"/>
        <family val="1"/>
        <charset val="238"/>
      </rPr>
      <t>byly sestaveny v pořádku a předloženy ve stanoveném termínu.</t>
    </r>
  </si>
  <si>
    <t>V Prostějově dne 23.3.2018</t>
  </si>
  <si>
    <t>Schválil: MgA. Aleš Procházka, ředitel Městské knihovny Prostějov</t>
  </si>
  <si>
    <t>Úč. 648 (čerpání fondů) - navýšení dle usnesení RMP č. 7428</t>
  </si>
  <si>
    <t>Úč. 558 (náklady z DDHM) - navýšení dle usn. - nákup výpočetní techniky</t>
  </si>
  <si>
    <t>Úč. 518 (služby ostatní) - navýš.nákladů za stěhovací práce - dětské odd.</t>
  </si>
  <si>
    <t>Úč. 556 (opravné polož.) - sníž.položky, která bude účtována koncem roku</t>
  </si>
  <si>
    <t>Úč. 549 (ost.nákl.z činnosti) - navýšení na pojistné přívěsného vozíku</t>
  </si>
  <si>
    <t>Úč. 672 (výnosy z transferů) - navýšení dle usnesení RMP č. 7699</t>
  </si>
  <si>
    <t>Úč. 521 (mzdové náklady) - navýšení na platy - Nař.vlády č. 168/2017 Sb.</t>
  </si>
  <si>
    <t>Úč. 524,525 (zák.soc.pojištění) - navýšení dle výše uvedeného Nařízení</t>
  </si>
  <si>
    <t>Úč. 527 (zákonné sociální náklady) - navýš.dle výše uvedeného Nařízení</t>
  </si>
  <si>
    <t>Úč. 672 (výnosy z transferů) - navýšení dle usnesení RMP č. 71011</t>
  </si>
  <si>
    <t>Úč. 521 (mzdové náklady) - navýšení na platy - Nař.vlády č. 340/2017 Sb.</t>
  </si>
  <si>
    <t>Úč. 648 (čerpání fondů) - navýšení dle usnesení RMP č. 71095</t>
  </si>
  <si>
    <t>Úč. 501 (spotřeba materiálu) - navýšení na nákup knihovníhofondu</t>
  </si>
  <si>
    <t>Úč. 511 (opravy a údržba) - sníení z důvodu úspory - DO Vápenice</t>
  </si>
  <si>
    <t>Úč. 512 (cestovné) - snížení - menší počet knihovnických školení</t>
  </si>
  <si>
    <t>Úč. 518 (služby ostatní) - úspora z důvodu hospodárného nákupu služeb</t>
  </si>
  <si>
    <t>Úč. 558 (náklady z DDHM) - úspora z důvodu hospodárného nákup DDHM</t>
  </si>
  <si>
    <t>Úč. 501 (spotřeba materiálu) - nákup knihovního fondu a materiálu</t>
  </si>
  <si>
    <t>Úč. 513 (nákl.na reprezentaci) - pro účastníky knihovnickcýh akcí a soutěží</t>
  </si>
  <si>
    <t>Úč. 557 (nákl z vyř.pohledávek) - zaúčtování dle Českých účet.standardů</t>
  </si>
  <si>
    <t>Úč. 648 (čerpání fondů) - čerpání z fondu odměn na posílení mzd.prostředků</t>
  </si>
  <si>
    <t>Úč. 521 (mzdové náklady) - posílení položky z fondu odměn</t>
  </si>
  <si>
    <t xml:space="preserve">ZHV vznikl vlivem úspory prostředků v položce energií a odpisů. </t>
  </si>
  <si>
    <t xml:space="preserve">Jedná se o pronájem bytu. </t>
  </si>
  <si>
    <t xml:space="preserve">Organizace přesune část prostředků  (100 tis.) z RF do fondu investic (na základě schválené žádosti zřizovatelem) a prostředky použije na opravu druhé terasy a cca 80 tis. Použije na nákup mlýnku na maso do ŠJ. </t>
  </si>
  <si>
    <t>Použití prostředků na opravu druhé terasy (cca 400 tis.), dále na částečnou opravu plotu a nákup.</t>
  </si>
  <si>
    <t>Použití fondu - vyplacení odměny za doplňkovou činnost, odměna řidič</t>
  </si>
  <si>
    <t>Finanční stav fondu - 53 994,52. Nepřevedený příděl za 12/17. Organizace fond v roce 2018 použije v souladu se Zásady čerpání prostředků FKSP na rok 2018 (příspěvek strava, příspěvek dovolená, ozdravný program - vitamíny, penežní odměny k životním výročím)</t>
  </si>
  <si>
    <t xml:space="preserve">Organizace nemá pohledávky po lhůtě splatnosti. </t>
  </si>
  <si>
    <t>nákup didaktických pomůcek</t>
  </si>
  <si>
    <t>1. úspora energie</t>
  </si>
  <si>
    <t>1. oprava podlahy</t>
  </si>
  <si>
    <t>2. odměna z FO</t>
  </si>
  <si>
    <t>2. výnosy - použití fondu FO</t>
  </si>
  <si>
    <t>3.náklady SP (odměna z FO)</t>
  </si>
  <si>
    <t>3. náklady ZP (odměna z FO)</t>
  </si>
  <si>
    <t>3. výnosy - použití fondu RF na odvody</t>
  </si>
  <si>
    <t>4. navýšení nákladů na odpisy</t>
  </si>
  <si>
    <t>4. navýšení neinvestičního příspěvku</t>
  </si>
  <si>
    <t>5. odměna z FO</t>
  </si>
  <si>
    <t>5. výnosy - použití fondu FO</t>
  </si>
  <si>
    <t>6.náklady SP (odměna z FO)</t>
  </si>
  <si>
    <t>6. náklady ZP (odměna z FO)</t>
  </si>
  <si>
    <t>6. výnosy - použití fondu RF na odvody</t>
  </si>
  <si>
    <t>7. oprava terasy</t>
  </si>
  <si>
    <t>7. použití fondu investic na opravy</t>
  </si>
  <si>
    <t>8. navýšení nákladů na SP</t>
  </si>
  <si>
    <t>8. navýšení nákladů na ZP</t>
  </si>
  <si>
    <t>8. výnosy - režijní náklady</t>
  </si>
  <si>
    <t>9. zvýšené náklady na služby</t>
  </si>
  <si>
    <t>9. zvýšené náklady na pořízení majetku</t>
  </si>
  <si>
    <t>9. zvýšené náklady na opravy</t>
  </si>
  <si>
    <t>9. výnosy - režijní náklady</t>
  </si>
  <si>
    <t>10. zvýšení nákladů na mzdy</t>
  </si>
  <si>
    <t>10. zvýšení nákladů na SP</t>
  </si>
  <si>
    <t>10. zvýšení nákladů na ZP</t>
  </si>
  <si>
    <t>10. zvýšení nákladů na příděl FKSP</t>
  </si>
  <si>
    <t>10. navýšení výnosů - školné</t>
  </si>
  <si>
    <t>11. přesun v rámci položky 524,525</t>
  </si>
  <si>
    <t>12. úspora v položce materiál</t>
  </si>
  <si>
    <t>12. úspora v položce cestovné</t>
  </si>
  <si>
    <t>12. zvýšené náklady na opravy</t>
  </si>
  <si>
    <t>12. zvýšené náklady na služby</t>
  </si>
  <si>
    <t>13. nákup DDHM</t>
  </si>
  <si>
    <t>13. použití RF</t>
  </si>
  <si>
    <t>14. zvýšené náklady na pořízení majetku</t>
  </si>
  <si>
    <t>14. úspora v položce materiál</t>
  </si>
  <si>
    <t xml:space="preserve">14. mimořádné výnosy </t>
  </si>
  <si>
    <t>Opatření nebyla uložena.</t>
  </si>
  <si>
    <t>Účastníci KD vzhledem k provedené analýze výsledku hospodaření  doporučují ponechat organizaci celý ZVH ve výši 188 402,09 Kč pro příděl do rezervního fondu organizace dle zákona č.250/2000 Sb.,o rozpočtových pravidlech územních rozpočtů ve znění pozdějších předpisů a přidělené prostředky účelově vázat na opravu II.terasy</t>
  </si>
  <si>
    <t>5.4.2018                                                         Zapsala Jana Baarová,ředitelka školy</t>
  </si>
  <si>
    <t>Úspora na učebních pomůckách (papír na VV), dary rodičů.</t>
  </si>
  <si>
    <t>Obnova várnic, pořízení rádia s CD, konstruktivní stavebnice Lego-Duplo.</t>
  </si>
  <si>
    <r>
      <t xml:space="preserve">Komentář, zda byly hlášeny veškeré úpravy finančního plánu řídícímu odboru MMPv:
</t>
    </r>
    <r>
      <rPr>
        <sz val="10"/>
        <rFont val="Times New Roman"/>
        <family val="1"/>
        <charset val="238"/>
      </rPr>
      <t>Žádné úpravy finančního plánu DČ organizace  nebyly provedeny.</t>
    </r>
  </si>
  <si>
    <t>účelový příspěvek na pomůcky pro žáky 1.třídy základní školy</t>
  </si>
  <si>
    <t>neinvestiční příspěvek na opravu plotu</t>
  </si>
  <si>
    <t>snížení položky nákladů (ostatní služby)</t>
  </si>
  <si>
    <t>5180300-5180610</t>
  </si>
  <si>
    <t>navýšení položky nákladů (technické zhodnocení do 40 tis. Kč)</t>
  </si>
  <si>
    <t>navýšení položky nákladů (pořízení materiálu)</t>
  </si>
  <si>
    <t>5010300-5010500</t>
  </si>
  <si>
    <t>snížení položky nákladů (energie)</t>
  </si>
  <si>
    <t>502310-502330</t>
  </si>
  <si>
    <t>navýšení položky opravy a údržby</t>
  </si>
  <si>
    <t>5110300-5110320</t>
  </si>
  <si>
    <t>snížení položky nákladů (cestovné)</t>
  </si>
  <si>
    <t>5120300-5120310</t>
  </si>
  <si>
    <t>snížení položky nákladů (náklady na reprezentaci)</t>
  </si>
  <si>
    <t xml:space="preserve">navýšení položky osobních nákladů </t>
  </si>
  <si>
    <t>521300-5210320, 5240300-5240312,5250300,5270300-5270310</t>
  </si>
  <si>
    <t xml:space="preserve">snížení položky odpisy </t>
  </si>
  <si>
    <t>5510300-5510310</t>
  </si>
  <si>
    <t>navýšení položky pořízení DDHM</t>
  </si>
  <si>
    <t xml:space="preserve">navýšení položky výnosů </t>
  </si>
  <si>
    <t>6020300-6620300</t>
  </si>
  <si>
    <t>navýšení nákladů na spotřebu materiálu</t>
  </si>
  <si>
    <t>501/0010-501/0170</t>
  </si>
  <si>
    <t>snížní nákladů na spotřebu energií</t>
  </si>
  <si>
    <t>5020030-50</t>
  </si>
  <si>
    <t>navýšení nákladů - ostatní služby</t>
  </si>
  <si>
    <t>518/0001-518/0160</t>
  </si>
  <si>
    <t>navýšení nákladů - mzdové náklady</t>
  </si>
  <si>
    <t>521/0033,524/0001-0010,525/0001,521/0001</t>
  </si>
  <si>
    <t>navýšení výnosů - ostatní</t>
  </si>
  <si>
    <t>649/0100</t>
  </si>
  <si>
    <t>navýšení výnosů - dotace ÚP</t>
  </si>
  <si>
    <t>672/0101</t>
  </si>
  <si>
    <t>navýšení nákladů - odpisy</t>
  </si>
  <si>
    <t>551/0100</t>
  </si>
  <si>
    <r>
      <t>Příspěvková organizace:</t>
    </r>
    <r>
      <rPr>
        <b/>
        <sz val="14"/>
        <rFont val="Times New Roman"/>
        <family val="1"/>
        <charset val="238"/>
      </rPr>
      <t xml:space="preserve"> Základní škola a mateřská škola Prostějov, Palackého tř. 14</t>
    </r>
  </si>
  <si>
    <t xml:space="preserve">Prostředky fondu budou použity na obnovu vybavení ve škole, a to zejména na obnovu ICT, dále postupně žákovské lavice a židle do tříd, na vybavení kabinetů dle schváleného plánu.  Na rezervním fondu tvořeném ze zlepšeného výsledku hospodaření (413) je na konci roku zůstatek ve výši 145.316,28 Kč a na rezervním fondu tvořeném z ostatních titulů (dary) je zůstatek  ve výši 1.098.325,19 Kč včetně projektů. </t>
  </si>
  <si>
    <t>Účastníci kontrolního dne, vzhledem k provedené analýze výsledku hospodaření , doporučují ponechat organizaci celý výsledek hospodaření ve výši 90.061,55 pro příděl do peněžních fondů organizace dle zákona č. 250/2000 Sb., o rozpočtových pravidlech územních rozpočtů, ve znění pozdějších předpisů na základě předložených požadavků a potřeb organizace. Do rezervního fondu je navrženo převést částku 70.061,55 Kč a do fondu odměn čásku 20.000,00 Kč.Částka 70.061,55 Kč bude použita na obnovu podlahové krytiny a obložení v přípravně stravy. Příděl fondům provede organizace na základě písemného vyrozumění odboru soc.věcí MMPv.</t>
  </si>
  <si>
    <t>Organizace na základě usnesení RMP a ZMP ze dne 12.6.2017 přidělila zákonným peněžním fondům schválený hospodářský výsledek ve výši 49.868,49 Kč a to rezervnímu fondu částku 24.868,49  a fondu odměn částku 25.000,00 Kč. Organizaci nebylo při pololetním rozboru hospodaření uloženo žádné opatření.</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</si>
</sst>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K_č_-;\-* #,##0.00\ _K_č_-;_-* &quot;-&quot;??\ _K_č_-;_-@_-"/>
    <numFmt numFmtId="164" formatCode="dd/mm/yy;@"/>
    <numFmt numFmtId="165" formatCode="#,##0.00_ ;\-#,##0.00\ "/>
    <numFmt numFmtId="166" formatCode="_-* #,##0\ _K_č_-;\-* #,##0\ _K_č_-;_-* &quot;-&quot;??\ _K_č_-;_-@_-"/>
    <numFmt numFmtId="167" formatCode="#,##0.000"/>
  </numFmts>
  <fonts count="101" x14ac:knownFonts="1">
    <font>
      <sz val="6"/>
      <name val="Times New Roman"/>
      <family val="1"/>
      <charset val="238"/>
    </font>
    <font>
      <sz val="11"/>
      <color theme="1"/>
      <name val="Calibri"/>
      <family val="2"/>
      <charset val="238"/>
      <scheme val="minor"/>
    </font>
    <font>
      <sz val="5"/>
      <name val="Times New Roman"/>
      <family val="1"/>
      <charset val="238"/>
    </font>
    <font>
      <b/>
      <sz val="12"/>
      <name val="Times New Roman"/>
      <family val="1"/>
      <charset val="238"/>
    </font>
    <font>
      <sz val="6"/>
      <name val="Times New Roman"/>
      <family val="1"/>
      <charset val="238"/>
    </font>
    <font>
      <b/>
      <sz val="6"/>
      <name val="Times New Roman"/>
      <family val="1"/>
      <charset val="238"/>
    </font>
    <font>
      <b/>
      <sz val="6"/>
      <name val="Times New Roman CE"/>
      <family val="1"/>
      <charset val="238"/>
    </font>
    <font>
      <b/>
      <i/>
      <sz val="6"/>
      <name val="Times New Roman CE"/>
      <family val="1"/>
      <charset val="238"/>
    </font>
    <font>
      <b/>
      <i/>
      <sz val="6"/>
      <name val="Times New Roman"/>
      <family val="1"/>
      <charset val="238"/>
    </font>
    <font>
      <b/>
      <sz val="6"/>
      <name val="Times New Roman CE"/>
      <charset val="238"/>
    </font>
    <font>
      <b/>
      <sz val="5.5"/>
      <name val="Times New Roman CE"/>
      <family val="1"/>
      <charset val="238"/>
    </font>
    <font>
      <b/>
      <sz val="8"/>
      <name val="Times New Roman"/>
      <family val="1"/>
      <charset val="238"/>
    </font>
    <font>
      <sz val="8"/>
      <name val="Times New Roman"/>
      <family val="1"/>
      <charset val="238"/>
    </font>
    <font>
      <sz val="6"/>
      <color rgb="FFFF0000"/>
      <name val="Times New Roman"/>
      <family val="1"/>
      <charset val="238"/>
    </font>
    <font>
      <b/>
      <sz val="7"/>
      <name val="Times New Roman"/>
      <family val="1"/>
      <charset val="238"/>
    </font>
    <font>
      <i/>
      <sz val="6"/>
      <name val="Times New Roman"/>
      <family val="1"/>
      <charset val="238"/>
    </font>
    <font>
      <b/>
      <sz val="14"/>
      <color theme="1"/>
      <name val="Times New Roman"/>
      <family val="1"/>
      <charset val="238"/>
    </font>
    <font>
      <b/>
      <sz val="8"/>
      <color theme="1"/>
      <name val="Times New Roman"/>
      <family val="1"/>
      <charset val="238"/>
    </font>
    <font>
      <sz val="8"/>
      <color theme="1"/>
      <name val="Times New Roman"/>
      <family val="1"/>
      <charset val="238"/>
    </font>
    <font>
      <b/>
      <sz val="6"/>
      <color theme="1"/>
      <name val="Times New Roman"/>
      <family val="1"/>
      <charset val="238"/>
    </font>
    <font>
      <sz val="6"/>
      <color theme="1"/>
      <name val="Times New Roman"/>
      <family val="1"/>
      <charset val="238"/>
    </font>
    <font>
      <sz val="8"/>
      <color rgb="FFFF0000"/>
      <name val="Times New Roman"/>
      <family val="1"/>
      <charset val="238"/>
    </font>
    <font>
      <sz val="7"/>
      <name val="Times New Roman"/>
      <family val="1"/>
      <charset val="238"/>
    </font>
    <font>
      <sz val="7"/>
      <color rgb="FFFF0000"/>
      <name val="Times New Roman"/>
      <family val="1"/>
      <charset val="238"/>
    </font>
    <font>
      <b/>
      <sz val="7"/>
      <color theme="1"/>
      <name val="Times New Roman"/>
      <family val="1"/>
      <charset val="238"/>
    </font>
    <font>
      <b/>
      <sz val="9"/>
      <color theme="1"/>
      <name val="Times New Roman"/>
      <family val="1"/>
      <charset val="238"/>
    </font>
    <font>
      <sz val="8"/>
      <color indexed="8"/>
      <name val="Arial"/>
      <family val="2"/>
      <charset val="238"/>
    </font>
    <font>
      <b/>
      <sz val="10"/>
      <color rgb="FFFF0000"/>
      <name val="Times New Roman"/>
      <family val="1"/>
      <charset val="238"/>
    </font>
    <font>
      <sz val="10"/>
      <color theme="1"/>
      <name val="Times New Roman"/>
      <family val="1"/>
      <charset val="238"/>
    </font>
    <font>
      <sz val="9"/>
      <color theme="1"/>
      <name val="Times New Roman"/>
      <family val="1"/>
      <charset val="238"/>
    </font>
    <font>
      <sz val="9"/>
      <name val="Times New Roman"/>
      <family val="1"/>
      <charset val="238"/>
    </font>
    <font>
      <b/>
      <sz val="8"/>
      <color rgb="FFFF0000"/>
      <name val="Times New Roman"/>
      <family val="1"/>
      <charset val="238"/>
    </font>
    <font>
      <b/>
      <sz val="6"/>
      <color indexed="8"/>
      <name val="Times New Roman"/>
      <family val="1"/>
      <charset val="238"/>
    </font>
    <font>
      <sz val="11"/>
      <color indexed="8"/>
      <name val="Times New Roman"/>
      <family val="1"/>
      <charset val="238"/>
    </font>
    <font>
      <b/>
      <sz val="8"/>
      <color indexed="8"/>
      <name val="Times New Roman"/>
      <family val="1"/>
      <charset val="238"/>
    </font>
    <font>
      <b/>
      <u/>
      <sz val="9"/>
      <color rgb="FF0070C0"/>
      <name val="Times New Roman"/>
      <family val="1"/>
      <charset val="238"/>
    </font>
    <font>
      <b/>
      <sz val="9"/>
      <color rgb="FF0070C0"/>
      <name val="Times New Roman"/>
      <family val="1"/>
      <charset val="238"/>
    </font>
    <font>
      <sz val="9"/>
      <color indexed="8"/>
      <name val="Times New Roman"/>
      <family val="1"/>
      <charset val="238"/>
    </font>
    <font>
      <b/>
      <u/>
      <sz val="9"/>
      <name val="Times New Roman"/>
      <family val="1"/>
      <charset val="238"/>
    </font>
    <font>
      <b/>
      <u/>
      <sz val="9"/>
      <color indexed="10"/>
      <name val="Times New Roman"/>
      <family val="1"/>
      <charset val="238"/>
    </font>
    <font>
      <b/>
      <sz val="9"/>
      <name val="Times New Roman"/>
      <family val="1"/>
      <charset val="238"/>
    </font>
    <font>
      <b/>
      <sz val="9"/>
      <color indexed="8"/>
      <name val="Times New Roman"/>
      <family val="1"/>
      <charset val="238"/>
    </font>
    <font>
      <b/>
      <sz val="9"/>
      <color indexed="10"/>
      <name val="Times New Roman"/>
      <family val="1"/>
      <charset val="238"/>
    </font>
    <font>
      <sz val="9"/>
      <color indexed="10"/>
      <name val="Times New Roman"/>
      <family val="1"/>
      <charset val="238"/>
    </font>
    <font>
      <sz val="9"/>
      <color rgb="FFFF0000"/>
      <name val="Times New Roman"/>
      <family val="1"/>
      <charset val="238"/>
    </font>
    <font>
      <b/>
      <sz val="9"/>
      <color rgb="FFFF0000"/>
      <name val="Times New Roman"/>
      <family val="1"/>
      <charset val="238"/>
    </font>
    <font>
      <b/>
      <u/>
      <sz val="9"/>
      <color indexed="8"/>
      <name val="Times New Roman"/>
      <family val="1"/>
      <charset val="238"/>
    </font>
    <font>
      <b/>
      <u/>
      <sz val="9"/>
      <color rgb="FF00B050"/>
      <name val="Times New Roman"/>
      <family val="1"/>
      <charset val="238"/>
    </font>
    <font>
      <b/>
      <sz val="9"/>
      <color rgb="FF00B050"/>
      <name val="Times New Roman"/>
      <family val="1"/>
      <charset val="238"/>
    </font>
    <font>
      <sz val="9"/>
      <color indexed="12"/>
      <name val="Times New Roman"/>
      <family val="1"/>
      <charset val="238"/>
    </font>
    <font>
      <b/>
      <sz val="9"/>
      <color indexed="12"/>
      <name val="Times New Roman"/>
      <family val="1"/>
      <charset val="238"/>
    </font>
    <font>
      <sz val="8"/>
      <name val="Arial"/>
      <family val="2"/>
      <charset val="238"/>
    </font>
    <font>
      <i/>
      <sz val="9"/>
      <name val="Times New Roman"/>
      <family val="1"/>
      <charset val="238"/>
    </font>
    <font>
      <sz val="8"/>
      <color indexed="8"/>
      <name val="Times New Roman"/>
      <family val="1"/>
      <charset val="238"/>
    </font>
    <font>
      <b/>
      <u/>
      <sz val="14"/>
      <name val="Times New Roman"/>
      <family val="1"/>
      <charset val="238"/>
    </font>
    <font>
      <b/>
      <sz val="14"/>
      <color indexed="8"/>
      <name val="Times New Roman"/>
      <family val="1"/>
      <charset val="238"/>
    </font>
    <font>
      <sz val="6"/>
      <color indexed="8"/>
      <name val="Times New Roman"/>
      <family val="1"/>
      <charset val="238"/>
    </font>
    <font>
      <sz val="8"/>
      <color indexed="10"/>
      <name val="Times New Roman"/>
      <family val="1"/>
      <charset val="238"/>
    </font>
    <font>
      <i/>
      <sz val="9"/>
      <color indexed="8"/>
      <name val="Times New Roman"/>
      <family val="1"/>
      <charset val="238"/>
    </font>
    <font>
      <sz val="7"/>
      <color indexed="10"/>
      <name val="Times New Roman"/>
      <family val="1"/>
      <charset val="238"/>
    </font>
    <font>
      <b/>
      <sz val="7"/>
      <color indexed="8"/>
      <name val="Times New Roman"/>
      <family val="1"/>
      <charset val="238"/>
    </font>
    <font>
      <sz val="11"/>
      <color indexed="8"/>
      <name val="Calibri"/>
      <family val="2"/>
      <charset val="238"/>
    </font>
    <font>
      <sz val="10"/>
      <color indexed="8"/>
      <name val="Times New Roman"/>
      <family val="1"/>
      <charset val="238"/>
    </font>
    <font>
      <sz val="7"/>
      <color theme="1"/>
      <name val="Times New Roman"/>
      <family val="1"/>
      <charset val="238"/>
    </font>
    <font>
      <b/>
      <sz val="10"/>
      <color indexed="10"/>
      <name val="Times New Roman"/>
      <family val="1"/>
      <charset val="238"/>
    </font>
    <font>
      <i/>
      <sz val="9"/>
      <color theme="1"/>
      <name val="Times New Roman"/>
      <family val="1"/>
      <charset val="238"/>
    </font>
    <font>
      <sz val="10"/>
      <name val="Times New Roman"/>
      <family val="1"/>
      <charset val="238"/>
    </font>
    <font>
      <b/>
      <sz val="10"/>
      <color theme="1"/>
      <name val="Times New Roman"/>
      <family val="1"/>
      <charset val="238"/>
    </font>
    <font>
      <i/>
      <sz val="8"/>
      <color theme="1"/>
      <name val="Times New Roman"/>
      <family val="1"/>
      <charset val="238"/>
    </font>
    <font>
      <b/>
      <sz val="8"/>
      <name val="Times New Roman CE"/>
      <family val="1"/>
      <charset val="238"/>
    </font>
    <font>
      <b/>
      <sz val="8"/>
      <name val="Times New Roman CE"/>
      <charset val="238"/>
    </font>
    <font>
      <b/>
      <i/>
      <sz val="8"/>
      <name val="Times New Roman"/>
      <family val="1"/>
      <charset val="238"/>
    </font>
    <font>
      <b/>
      <i/>
      <sz val="8"/>
      <name val="Times New Roman CE"/>
      <family val="1"/>
      <charset val="238"/>
    </font>
    <font>
      <i/>
      <sz val="8"/>
      <name val="Times New Roman"/>
      <family val="1"/>
      <charset val="238"/>
    </font>
    <font>
      <sz val="12"/>
      <color rgb="FFFF0000"/>
      <name val="Times New Roman"/>
      <family val="1"/>
      <charset val="238"/>
    </font>
    <font>
      <sz val="12"/>
      <name val="Times New Roman"/>
      <family val="1"/>
      <charset val="238"/>
    </font>
    <font>
      <b/>
      <i/>
      <sz val="6"/>
      <color rgb="FFFF0000"/>
      <name val="Times New Roman CE"/>
      <family val="1"/>
      <charset val="238"/>
    </font>
    <font>
      <sz val="6"/>
      <name val="Times New Roman CE"/>
      <charset val="238"/>
    </font>
    <font>
      <b/>
      <sz val="9"/>
      <color indexed="81"/>
      <name val="Tahoma"/>
      <family val="2"/>
      <charset val="238"/>
    </font>
    <font>
      <sz val="9"/>
      <color indexed="81"/>
      <name val="Tahoma"/>
      <family val="2"/>
      <charset val="238"/>
    </font>
    <font>
      <b/>
      <u/>
      <sz val="8"/>
      <name val="Times New Roman"/>
      <family val="1"/>
      <charset val="238"/>
    </font>
    <font>
      <b/>
      <sz val="10"/>
      <name val="Times New Roman"/>
      <family val="1"/>
      <charset val="238"/>
    </font>
    <font>
      <b/>
      <sz val="11"/>
      <color theme="1"/>
      <name val="Times New Roman"/>
      <family val="1"/>
      <charset val="238"/>
    </font>
    <font>
      <b/>
      <sz val="11"/>
      <color rgb="FFFF0000"/>
      <name val="Times New Roman"/>
      <family val="1"/>
      <charset val="238"/>
    </font>
    <font>
      <b/>
      <u/>
      <sz val="9"/>
      <color rgb="FFFF0000"/>
      <name val="Times New Roman"/>
      <family val="1"/>
      <charset val="238"/>
    </font>
    <font>
      <u/>
      <sz val="9"/>
      <name val="Times New Roman"/>
      <family val="1"/>
      <charset val="238"/>
    </font>
    <font>
      <b/>
      <u/>
      <sz val="12"/>
      <color indexed="8"/>
      <name val="Times New Roman"/>
      <family val="1"/>
      <charset val="238"/>
    </font>
    <font>
      <b/>
      <u/>
      <sz val="7"/>
      <color indexed="8"/>
      <name val="Times New Roman"/>
      <family val="1"/>
      <charset val="238"/>
    </font>
    <font>
      <b/>
      <u/>
      <sz val="10"/>
      <color indexed="10"/>
      <name val="Times New Roman"/>
      <family val="1"/>
      <charset val="238"/>
    </font>
    <font>
      <b/>
      <sz val="10"/>
      <color indexed="8"/>
      <name val="Times New Roman"/>
      <family val="1"/>
      <charset val="238"/>
    </font>
    <font>
      <sz val="11"/>
      <color theme="1"/>
      <name val="Times New Roman"/>
      <family val="1"/>
      <charset val="238"/>
    </font>
    <font>
      <sz val="8"/>
      <color theme="1"/>
      <name val="Arial"/>
      <family val="2"/>
      <charset val="238"/>
    </font>
    <font>
      <sz val="8"/>
      <color rgb="FF000000"/>
      <name val="Times New Roman"/>
      <family val="1"/>
      <charset val="238"/>
    </font>
    <font>
      <sz val="11"/>
      <name val="Calibri"/>
      <family val="2"/>
      <charset val="238"/>
      <scheme val="minor"/>
    </font>
    <font>
      <b/>
      <sz val="12"/>
      <color theme="1"/>
      <name val="Times New Roman"/>
      <family val="1"/>
      <charset val="238"/>
    </font>
    <font>
      <b/>
      <sz val="9"/>
      <color rgb="FF000000"/>
      <name val="Times New Roman"/>
      <family val="1"/>
      <charset val="238"/>
    </font>
    <font>
      <sz val="11"/>
      <name val="Calibri"/>
      <family val="2"/>
      <charset val="238"/>
    </font>
    <font>
      <b/>
      <sz val="7"/>
      <color rgb="FF000000"/>
      <name val="Times New Roman"/>
      <family val="1"/>
      <charset val="238"/>
    </font>
    <font>
      <b/>
      <sz val="13.5"/>
      <color theme="1"/>
      <name val="Times New Roman"/>
      <family val="1"/>
      <charset val="238"/>
    </font>
    <font>
      <u/>
      <sz val="10"/>
      <color theme="1"/>
      <name val="Times New Roman"/>
      <family val="1"/>
      <charset val="238"/>
    </font>
    <font>
      <b/>
      <sz val="14"/>
      <name val="Times New Roman"/>
      <family val="1"/>
      <charset val="238"/>
    </font>
  </fonts>
  <fills count="1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1"/>
        <bgColor indexed="64"/>
      </patternFill>
    </fill>
    <fill>
      <patternFill patternType="solid">
        <fgColor theme="0"/>
        <bgColor indexed="64"/>
      </patternFill>
    </fill>
    <fill>
      <patternFill patternType="solid">
        <fgColor indexed="13"/>
        <bgColor indexed="64"/>
      </patternFill>
    </fill>
    <fill>
      <patternFill patternType="solid">
        <fgColor indexed="51"/>
        <bgColor indexed="64"/>
      </patternFill>
    </fill>
    <fill>
      <patternFill patternType="solid">
        <fgColor indexed="8"/>
        <bgColor indexed="64"/>
      </patternFill>
    </fill>
    <fill>
      <patternFill patternType="solid">
        <fgColor theme="6" tint="0.79998168889431442"/>
        <bgColor indexed="64"/>
      </patternFill>
    </fill>
    <fill>
      <patternFill patternType="solid">
        <fgColor rgb="FFFFC000"/>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indexed="9"/>
        <bgColor indexed="64"/>
      </patternFill>
    </fill>
    <fill>
      <patternFill patternType="solid">
        <fgColor indexed="50"/>
        <bgColor indexed="64"/>
      </patternFill>
    </fill>
    <fill>
      <patternFill patternType="solid">
        <fgColor indexed="23"/>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indexed="30"/>
        <bgColor indexed="64"/>
      </patternFill>
    </fill>
  </fills>
  <borders count="91">
    <border>
      <left/>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auto="1"/>
      </right>
      <top style="thin">
        <color indexed="64"/>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style="hair">
        <color auto="1"/>
      </left>
      <right/>
      <top/>
      <bottom/>
      <diagonal/>
    </border>
    <border>
      <left style="hair">
        <color auto="1"/>
      </left>
      <right style="hair">
        <color auto="1"/>
      </right>
      <top/>
      <bottom/>
      <diagonal/>
    </border>
    <border>
      <left/>
      <right/>
      <top style="thin">
        <color indexed="64"/>
      </top>
      <bottom style="hair">
        <color indexed="64"/>
      </bottom>
      <diagonal/>
    </border>
    <border>
      <left/>
      <right style="hair">
        <color auto="1"/>
      </right>
      <top style="thin">
        <color indexed="64"/>
      </top>
      <bottom style="hair">
        <color auto="1"/>
      </bottom>
      <diagonal/>
    </border>
    <border>
      <left/>
      <right/>
      <top style="hair">
        <color auto="1"/>
      </top>
      <bottom style="thin">
        <color indexed="64"/>
      </bottom>
      <diagonal/>
    </border>
    <border>
      <left/>
      <right style="hair">
        <color auto="1"/>
      </right>
      <top style="hair">
        <color auto="1"/>
      </top>
      <bottom style="thin">
        <color indexed="64"/>
      </bottom>
      <diagonal/>
    </border>
    <border>
      <left style="hair">
        <color auto="1"/>
      </left>
      <right/>
      <top style="thin">
        <color indexed="64"/>
      </top>
      <bottom/>
      <diagonal/>
    </border>
    <border>
      <left/>
      <right/>
      <top style="thin">
        <color indexed="64"/>
      </top>
      <bottom/>
      <diagonal/>
    </border>
    <border>
      <left/>
      <right style="hair">
        <color auto="1"/>
      </right>
      <top/>
      <bottom/>
      <diagonal/>
    </border>
    <border>
      <left style="hair">
        <color auto="1"/>
      </left>
      <right/>
      <top style="hair">
        <color auto="1"/>
      </top>
      <bottom/>
      <diagonal/>
    </border>
    <border>
      <left style="hair">
        <color auto="1"/>
      </left>
      <right/>
      <top/>
      <bottom style="thin">
        <color indexed="64"/>
      </bottom>
      <diagonal/>
    </border>
    <border>
      <left/>
      <right style="hair">
        <color auto="1"/>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top/>
      <bottom style="hair">
        <color indexed="64"/>
      </bottom>
      <diagonal/>
    </border>
    <border>
      <left/>
      <right style="hair">
        <color auto="1"/>
      </right>
      <top style="hair">
        <color auto="1"/>
      </top>
      <bottom/>
      <diagonal/>
    </border>
    <border>
      <left/>
      <right/>
      <top style="hair">
        <color auto="1"/>
      </top>
      <bottom/>
      <diagonal/>
    </border>
    <border>
      <left style="hair">
        <color indexed="64"/>
      </left>
      <right style="thin">
        <color indexed="64"/>
      </right>
      <top style="thin">
        <color indexed="64"/>
      </top>
      <bottom/>
      <diagonal/>
    </border>
    <border>
      <left style="thin">
        <color indexed="64"/>
      </left>
      <right/>
      <top/>
      <bottom style="hair">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style="thin">
        <color indexed="64"/>
      </right>
      <top style="hair">
        <color indexed="64"/>
      </top>
      <bottom/>
      <diagonal/>
    </border>
    <border>
      <left style="thin">
        <color indexed="64"/>
      </left>
      <right/>
      <top style="thin">
        <color rgb="FF000000"/>
      </top>
      <bottom style="hair">
        <color rgb="FF000000"/>
      </bottom>
      <diagonal/>
    </border>
    <border>
      <left/>
      <right style="thin">
        <color rgb="FF000000"/>
      </right>
      <top style="thin">
        <color rgb="FF000000"/>
      </top>
      <bottom style="hair">
        <color rgb="FF000000"/>
      </bottom>
      <diagonal/>
    </border>
    <border>
      <left style="hair">
        <color rgb="FF000000"/>
      </left>
      <right/>
      <top/>
      <bottom style="hair">
        <color rgb="FF000000"/>
      </bottom>
      <diagonal/>
    </border>
    <border>
      <left style="thin">
        <color indexed="64"/>
      </left>
      <right style="thin">
        <color indexed="64"/>
      </right>
      <top/>
      <bottom style="hair">
        <color rgb="FF000000"/>
      </bottom>
      <diagonal/>
    </border>
    <border>
      <left style="hair">
        <color rgb="FF000000"/>
      </left>
      <right style="thin">
        <color indexed="64"/>
      </right>
      <top/>
      <bottom style="hair">
        <color rgb="FF000000"/>
      </bottom>
      <diagonal/>
    </border>
    <border>
      <left style="hair">
        <color rgb="FF000000"/>
      </left>
      <right style="hair">
        <color rgb="FF000000"/>
      </right>
      <top/>
      <bottom style="hair">
        <color rgb="FF000000"/>
      </bottom>
      <diagonal/>
    </border>
    <border>
      <left style="thin">
        <color indexed="64"/>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indexed="64"/>
      </left>
      <right/>
      <top style="hair">
        <color rgb="FF000000"/>
      </top>
      <bottom style="thin">
        <color indexed="64"/>
      </bottom>
      <diagonal/>
    </border>
    <border>
      <left/>
      <right style="thin">
        <color rgb="FF000000"/>
      </right>
      <top style="hair">
        <color rgb="FF000000"/>
      </top>
      <bottom style="thin">
        <color indexed="64"/>
      </bottom>
      <diagonal/>
    </border>
    <border>
      <left style="hair">
        <color rgb="FF000000"/>
      </left>
      <right/>
      <top/>
      <bottom style="thin">
        <color indexed="64"/>
      </bottom>
      <diagonal/>
    </border>
    <border>
      <left style="hair">
        <color rgb="FF000000"/>
      </left>
      <right style="thin">
        <color indexed="64"/>
      </right>
      <top/>
      <bottom style="thin">
        <color indexed="64"/>
      </bottom>
      <diagonal/>
    </border>
  </borders>
  <cellStyleXfs count="4">
    <xf numFmtId="4" fontId="0" fillId="0" borderId="0">
      <alignment vertical="top"/>
    </xf>
    <xf numFmtId="3" fontId="2" fillId="0" borderId="0"/>
    <xf numFmtId="43" fontId="4" fillId="0" borderId="0" applyFont="0" applyFill="0" applyBorder="0" applyAlignment="0" applyProtection="0"/>
    <xf numFmtId="0" fontId="1" fillId="0" borderId="0"/>
  </cellStyleXfs>
  <cellXfs count="1584">
    <xf numFmtId="4" fontId="0" fillId="0" borderId="0" xfId="0">
      <alignment vertical="top"/>
    </xf>
    <xf numFmtId="4" fontId="0" fillId="0" borderId="0" xfId="0" applyAlignment="1">
      <alignment horizontal="center" vertical="top"/>
    </xf>
    <xf numFmtId="4" fontId="3" fillId="0" borderId="0" xfId="0" applyFont="1" applyAlignment="1">
      <alignment horizontal="center" vertical="top"/>
    </xf>
    <xf numFmtId="3" fontId="5" fillId="0" borderId="0" xfId="1" applyFont="1" applyFill="1" applyBorder="1"/>
    <xf numFmtId="3" fontId="5" fillId="0" borderId="0" xfId="1" applyFont="1" applyFill="1" applyBorder="1" applyAlignment="1">
      <alignment horizontal="center"/>
    </xf>
    <xf numFmtId="49" fontId="5" fillId="0" borderId="0" xfId="1" applyNumberFormat="1" applyFont="1" applyFill="1" applyBorder="1" applyAlignment="1">
      <alignment horizontal="center"/>
    </xf>
    <xf numFmtId="4" fontId="5" fillId="0" borderId="2" xfId="1" applyNumberFormat="1" applyFont="1" applyFill="1" applyBorder="1"/>
    <xf numFmtId="4" fontId="5" fillId="0" borderId="3" xfId="1" applyNumberFormat="1" applyFont="1" applyFill="1" applyBorder="1"/>
    <xf numFmtId="3" fontId="5" fillId="0" borderId="0" xfId="1" applyFont="1" applyFill="1" applyBorder="1" applyAlignment="1"/>
    <xf numFmtId="4" fontId="8" fillId="0" borderId="2" xfId="1" applyNumberFormat="1" applyFont="1" applyFill="1" applyBorder="1"/>
    <xf numFmtId="3" fontId="8" fillId="0" borderId="0" xfId="1" applyFont="1" applyFill="1" applyBorder="1"/>
    <xf numFmtId="4" fontId="8" fillId="0" borderId="3" xfId="1" applyNumberFormat="1" applyFont="1" applyFill="1" applyBorder="1"/>
    <xf numFmtId="4" fontId="8" fillId="0" borderId="0" xfId="1" applyNumberFormat="1" applyFont="1" applyFill="1" applyBorder="1"/>
    <xf numFmtId="4" fontId="8" fillId="0" borderId="4" xfId="1" applyNumberFormat="1" applyFont="1" applyFill="1" applyBorder="1"/>
    <xf numFmtId="49" fontId="5" fillId="2" borderId="5" xfId="1" applyNumberFormat="1" applyFont="1" applyFill="1" applyBorder="1" applyAlignment="1">
      <alignment horizontal="center"/>
    </xf>
    <xf numFmtId="49" fontId="5" fillId="2" borderId="6" xfId="1" applyNumberFormat="1" applyFont="1" applyFill="1" applyBorder="1" applyAlignment="1">
      <alignment horizontal="center"/>
    </xf>
    <xf numFmtId="3" fontId="6" fillId="3" borderId="7" xfId="1" applyFont="1" applyFill="1" applyBorder="1" applyAlignment="1">
      <alignment horizontal="center"/>
    </xf>
    <xf numFmtId="49" fontId="6" fillId="3" borderId="8" xfId="1" applyNumberFormat="1" applyFont="1" applyFill="1" applyBorder="1" applyAlignment="1">
      <alignment horizontal="center"/>
    </xf>
    <xf numFmtId="4" fontId="5" fillId="3" borderId="5" xfId="1" applyNumberFormat="1" applyFont="1" applyFill="1" applyBorder="1"/>
    <xf numFmtId="3" fontId="6" fillId="0" borderId="9" xfId="1" applyFont="1" applyBorder="1" applyAlignment="1">
      <alignment horizontal="center"/>
    </xf>
    <xf numFmtId="3" fontId="9" fillId="0" borderId="10" xfId="1" applyFont="1" applyBorder="1" applyAlignment="1">
      <alignment horizontal="center"/>
    </xf>
    <xf numFmtId="3" fontId="9" fillId="0" borderId="11" xfId="1" applyFont="1" applyBorder="1" applyAlignment="1">
      <alignment horizontal="center"/>
    </xf>
    <xf numFmtId="3" fontId="10" fillId="0" borderId="12" xfId="1" applyFont="1" applyBorder="1" applyAlignment="1">
      <alignment horizontal="left"/>
    </xf>
    <xf numFmtId="3" fontId="9" fillId="0" borderId="13" xfId="1" applyFont="1" applyBorder="1" applyAlignment="1">
      <alignment horizontal="left"/>
    </xf>
    <xf numFmtId="4" fontId="5" fillId="0" borderId="4" xfId="1" applyNumberFormat="1" applyFont="1" applyFill="1" applyBorder="1"/>
    <xf numFmtId="49" fontId="6" fillId="3" borderId="5" xfId="1" applyNumberFormat="1" applyFont="1" applyFill="1" applyBorder="1" applyAlignment="1">
      <alignment horizontal="center"/>
    </xf>
    <xf numFmtId="3" fontId="6" fillId="0" borderId="9" xfId="1" applyFont="1" applyFill="1" applyBorder="1" applyAlignment="1">
      <alignment horizontal="center"/>
    </xf>
    <xf numFmtId="3" fontId="6" fillId="0" borderId="10" xfId="1" applyFont="1" applyBorder="1" applyAlignment="1">
      <alignment horizontal="center"/>
    </xf>
    <xf numFmtId="3" fontId="6" fillId="0" borderId="10" xfId="1" applyFont="1" applyFill="1" applyBorder="1" applyAlignment="1">
      <alignment horizontal="center"/>
    </xf>
    <xf numFmtId="3" fontId="6" fillId="0" borderId="14" xfId="1" applyFont="1" applyFill="1" applyBorder="1" applyAlignment="1">
      <alignment horizontal="left"/>
    </xf>
    <xf numFmtId="3" fontId="6" fillId="0" borderId="15" xfId="1" applyFont="1" applyFill="1" applyBorder="1" applyAlignment="1">
      <alignment horizontal="left"/>
    </xf>
    <xf numFmtId="4" fontId="5" fillId="0" borderId="0" xfId="0" applyFont="1">
      <alignment vertical="top"/>
    </xf>
    <xf numFmtId="4" fontId="8" fillId="3" borderId="1" xfId="1" applyNumberFormat="1" applyFont="1" applyFill="1" applyBorder="1"/>
    <xf numFmtId="4" fontId="5" fillId="3" borderId="1" xfId="1" applyNumberFormat="1" applyFont="1" applyFill="1" applyBorder="1"/>
    <xf numFmtId="3" fontId="6" fillId="3" borderId="16" xfId="1" applyFont="1" applyFill="1" applyBorder="1" applyAlignment="1">
      <alignment horizontal="left"/>
    </xf>
    <xf numFmtId="3" fontId="6" fillId="3" borderId="17" xfId="1" applyFont="1" applyFill="1" applyBorder="1" applyAlignment="1">
      <alignment horizontal="left"/>
    </xf>
    <xf numFmtId="3" fontId="7" fillId="0" borderId="9" xfId="1" applyFont="1" applyBorder="1" applyAlignment="1">
      <alignment horizontal="center"/>
    </xf>
    <xf numFmtId="4" fontId="4" fillId="0" borderId="0" xfId="0" applyFont="1">
      <alignment vertical="top"/>
    </xf>
    <xf numFmtId="4" fontId="7" fillId="0" borderId="10" xfId="1" applyNumberFormat="1" applyFont="1" applyBorder="1" applyAlignment="1">
      <alignment horizontal="center"/>
    </xf>
    <xf numFmtId="3" fontId="7" fillId="0" borderId="11" xfId="1" applyFont="1" applyBorder="1" applyAlignment="1">
      <alignment horizontal="center"/>
    </xf>
    <xf numFmtId="3" fontId="4" fillId="0" borderId="18" xfId="0" applyNumberFormat="1" applyFont="1" applyBorder="1">
      <alignment vertical="top"/>
    </xf>
    <xf numFmtId="3" fontId="4" fillId="0" borderId="19" xfId="0" applyNumberFormat="1" applyFont="1" applyBorder="1">
      <alignment vertical="top"/>
    </xf>
    <xf numFmtId="3" fontId="4" fillId="0" borderId="12" xfId="0" applyNumberFormat="1" applyFont="1" applyBorder="1">
      <alignment vertical="top"/>
    </xf>
    <xf numFmtId="3" fontId="4" fillId="0" borderId="4" xfId="0" applyNumberFormat="1" applyFont="1" applyBorder="1">
      <alignment vertical="top"/>
    </xf>
    <xf numFmtId="3" fontId="4" fillId="0" borderId="20" xfId="0" applyNumberFormat="1" applyFont="1" applyBorder="1">
      <alignment vertical="top"/>
    </xf>
    <xf numFmtId="3" fontId="4" fillId="0" borderId="15" xfId="0" applyNumberFormat="1" applyFont="1" applyBorder="1">
      <alignment vertical="top"/>
    </xf>
    <xf numFmtId="3" fontId="4" fillId="0" borderId="13" xfId="0" applyNumberFormat="1" applyFont="1" applyBorder="1">
      <alignment vertical="top"/>
    </xf>
    <xf numFmtId="49" fontId="6" fillId="3" borderId="21" xfId="1" applyNumberFormat="1" applyFont="1" applyFill="1" applyBorder="1" applyAlignment="1">
      <alignment horizontal="center"/>
    </xf>
    <xf numFmtId="49" fontId="6" fillId="3" borderId="22" xfId="1" applyNumberFormat="1" applyFont="1" applyFill="1" applyBorder="1" applyAlignment="1">
      <alignment horizontal="center"/>
    </xf>
    <xf numFmtId="49" fontId="6" fillId="3" borderId="23" xfId="1" applyNumberFormat="1" applyFont="1" applyFill="1" applyBorder="1" applyAlignment="1">
      <alignment horizontal="center"/>
    </xf>
    <xf numFmtId="49" fontId="6" fillId="3" borderId="24" xfId="1" applyNumberFormat="1" applyFont="1" applyFill="1" applyBorder="1" applyAlignment="1">
      <alignment horizontal="center"/>
    </xf>
    <xf numFmtId="49" fontId="6" fillId="3" borderId="25" xfId="1" applyNumberFormat="1" applyFont="1" applyFill="1" applyBorder="1" applyAlignment="1">
      <alignment horizontal="center"/>
    </xf>
    <xf numFmtId="3" fontId="6" fillId="3" borderId="5" xfId="1" applyNumberFormat="1" applyFont="1" applyFill="1" applyBorder="1"/>
    <xf numFmtId="3" fontId="5" fillId="0" borderId="26" xfId="1" applyNumberFormat="1" applyFont="1" applyBorder="1" applyAlignment="1">
      <alignment horizontal="right"/>
    </xf>
    <xf numFmtId="3" fontId="5" fillId="0" borderId="2" xfId="1" applyNumberFormat="1" applyFont="1" applyBorder="1" applyAlignment="1">
      <alignment horizontal="right"/>
    </xf>
    <xf numFmtId="3" fontId="5" fillId="0" borderId="14" xfId="1" applyNumberFormat="1" applyFont="1" applyBorder="1" applyAlignment="1">
      <alignment horizontal="right"/>
    </xf>
    <xf numFmtId="3" fontId="5" fillId="0" borderId="3" xfId="1" applyNumberFormat="1" applyFont="1" applyBorder="1" applyAlignment="1">
      <alignment horizontal="right"/>
    </xf>
    <xf numFmtId="3" fontId="5" fillId="0" borderId="12" xfId="1" applyNumberFormat="1" applyFont="1" applyBorder="1" applyAlignment="1">
      <alignment horizontal="right"/>
    </xf>
    <xf numFmtId="3" fontId="5" fillId="0" borderId="4" xfId="1" applyNumberFormat="1" applyFont="1" applyBorder="1" applyAlignment="1">
      <alignment horizontal="right"/>
    </xf>
    <xf numFmtId="3" fontId="5" fillId="3" borderId="5" xfId="1" applyNumberFormat="1" applyFont="1" applyFill="1" applyBorder="1" applyAlignment="1">
      <alignment horizontal="right"/>
    </xf>
    <xf numFmtId="3" fontId="5" fillId="0" borderId="27" xfId="1" applyNumberFormat="1" applyFont="1" applyBorder="1" applyAlignment="1">
      <alignment horizontal="right"/>
    </xf>
    <xf numFmtId="3" fontId="6" fillId="0" borderId="26" xfId="1" applyNumberFormat="1" applyFont="1" applyBorder="1"/>
    <xf numFmtId="3" fontId="5" fillId="0" borderId="2" xfId="1" applyNumberFormat="1" applyFont="1" applyBorder="1"/>
    <xf numFmtId="3" fontId="5" fillId="0" borderId="28" xfId="1" applyNumberFormat="1" applyFont="1" applyBorder="1" applyAlignment="1">
      <alignment horizontal="right"/>
    </xf>
    <xf numFmtId="3" fontId="9" fillId="0" borderId="14" xfId="1" applyNumberFormat="1" applyFont="1" applyBorder="1" applyAlignment="1">
      <alignment horizontal="right"/>
    </xf>
    <xf numFmtId="3" fontId="5" fillId="0" borderId="29" xfId="1" applyNumberFormat="1" applyFont="1" applyBorder="1" applyAlignment="1">
      <alignment horizontal="right"/>
    </xf>
    <xf numFmtId="3" fontId="9" fillId="0" borderId="12" xfId="1" applyNumberFormat="1" applyFont="1" applyBorder="1" applyAlignment="1">
      <alignment horizontal="right"/>
    </xf>
    <xf numFmtId="3" fontId="5" fillId="3" borderId="7" xfId="1" applyNumberFormat="1" applyFont="1" applyFill="1" applyBorder="1" applyAlignment="1">
      <alignment horizontal="right"/>
    </xf>
    <xf numFmtId="3" fontId="6" fillId="3" borderId="5" xfId="1" applyNumberFormat="1" applyFont="1" applyFill="1" applyBorder="1" applyAlignment="1">
      <alignment horizontal="right"/>
    </xf>
    <xf numFmtId="3" fontId="6" fillId="3" borderId="7" xfId="1" applyNumberFormat="1" applyFont="1" applyFill="1" applyBorder="1"/>
    <xf numFmtId="3" fontId="6" fillId="0" borderId="26" xfId="1" applyNumberFormat="1" applyFont="1" applyBorder="1" applyAlignment="1">
      <alignment horizontal="right"/>
    </xf>
    <xf numFmtId="3" fontId="5" fillId="0" borderId="2" xfId="1" applyNumberFormat="1" applyFont="1" applyFill="1" applyBorder="1"/>
    <xf numFmtId="3" fontId="6" fillId="0" borderId="14" xfId="1" applyNumberFormat="1" applyFont="1" applyBorder="1" applyAlignment="1">
      <alignment horizontal="right"/>
    </xf>
    <xf numFmtId="3" fontId="6" fillId="0" borderId="14" xfId="1" applyNumberFormat="1" applyFont="1" applyBorder="1" applyAlignment="1"/>
    <xf numFmtId="3" fontId="5" fillId="0" borderId="3" xfId="1" applyNumberFormat="1" applyFont="1" applyFill="1" applyBorder="1"/>
    <xf numFmtId="3" fontId="5" fillId="0" borderId="3" xfId="1" applyNumberFormat="1" applyFont="1" applyFill="1" applyBorder="1" applyAlignment="1">
      <alignment horizontal="right"/>
    </xf>
    <xf numFmtId="3" fontId="5" fillId="0" borderId="27" xfId="1" applyNumberFormat="1" applyFont="1" applyBorder="1"/>
    <xf numFmtId="3" fontId="5" fillId="0" borderId="26" xfId="1" applyNumberFormat="1" applyFont="1" applyBorder="1"/>
    <xf numFmtId="3" fontId="5" fillId="0" borderId="27" xfId="1" applyNumberFormat="1" applyFont="1" applyFill="1" applyBorder="1" applyAlignment="1">
      <alignment horizontal="right"/>
    </xf>
    <xf numFmtId="3" fontId="5" fillId="0" borderId="26" xfId="1" applyNumberFormat="1" applyFont="1" applyFill="1" applyBorder="1"/>
    <xf numFmtId="3" fontId="5" fillId="0" borderId="28" xfId="1" applyNumberFormat="1" applyFont="1" applyFill="1" applyBorder="1" applyAlignment="1">
      <alignment horizontal="right"/>
    </xf>
    <xf numFmtId="3" fontId="5" fillId="0" borderId="14" xfId="1" applyNumberFormat="1" applyFont="1" applyFill="1" applyBorder="1"/>
    <xf numFmtId="3" fontId="5" fillId="0" borderId="14" xfId="1" applyNumberFormat="1" applyFont="1" applyFill="1" applyBorder="1" applyAlignment="1">
      <alignment horizontal="right"/>
    </xf>
    <xf numFmtId="3" fontId="5" fillId="0" borderId="27" xfId="1" applyNumberFormat="1" applyFont="1" applyFill="1" applyBorder="1"/>
    <xf numFmtId="3" fontId="5" fillId="0" borderId="14" xfId="1" applyNumberFormat="1" applyFont="1" applyBorder="1" applyAlignment="1"/>
    <xf numFmtId="3" fontId="5" fillId="0" borderId="3" xfId="1" applyNumberFormat="1" applyFont="1" applyBorder="1" applyAlignment="1"/>
    <xf numFmtId="3" fontId="5" fillId="0" borderId="28" xfId="1" applyNumberFormat="1" applyFont="1" applyFill="1" applyBorder="1"/>
    <xf numFmtId="3" fontId="8" fillId="0" borderId="14" xfId="1" applyNumberFormat="1" applyFont="1" applyFill="1" applyBorder="1" applyAlignment="1">
      <alignment horizontal="center"/>
    </xf>
    <xf numFmtId="3" fontId="8" fillId="0" borderId="3" xfId="1" applyNumberFormat="1" applyFont="1" applyFill="1" applyBorder="1" applyAlignment="1">
      <alignment horizontal="center"/>
    </xf>
    <xf numFmtId="3" fontId="5" fillId="0" borderId="12" xfId="0" applyNumberFormat="1" applyFont="1" applyBorder="1">
      <alignment vertical="top"/>
    </xf>
    <xf numFmtId="3" fontId="5" fillId="0" borderId="4" xfId="0" applyNumberFormat="1" applyFont="1" applyBorder="1">
      <alignment vertical="top"/>
    </xf>
    <xf numFmtId="3" fontId="5" fillId="0" borderId="30" xfId="1" applyNumberFormat="1" applyFont="1" applyBorder="1"/>
    <xf numFmtId="3" fontId="5" fillId="0" borderId="15" xfId="1" applyNumberFormat="1" applyFont="1" applyBorder="1" applyAlignment="1">
      <alignment horizontal="right"/>
    </xf>
    <xf numFmtId="3" fontId="5" fillId="0" borderId="13" xfId="1" applyNumberFormat="1" applyFont="1" applyBorder="1" applyAlignment="1">
      <alignment horizontal="right"/>
    </xf>
    <xf numFmtId="3" fontId="5" fillId="0" borderId="30" xfId="1" applyNumberFormat="1" applyFont="1" applyFill="1" applyBorder="1" applyAlignment="1">
      <alignment horizontal="right"/>
    </xf>
    <xf numFmtId="3" fontId="5" fillId="0" borderId="15" xfId="1" applyNumberFormat="1" applyFont="1" applyBorder="1" applyAlignment="1"/>
    <xf numFmtId="3" fontId="5" fillId="0" borderId="15" xfId="1" applyNumberFormat="1" applyFont="1" applyFill="1" applyBorder="1"/>
    <xf numFmtId="3" fontId="8" fillId="0" borderId="15" xfId="1" applyNumberFormat="1" applyFont="1" applyFill="1" applyBorder="1" applyAlignment="1">
      <alignment horizontal="center"/>
    </xf>
    <xf numFmtId="3" fontId="5" fillId="0" borderId="13" xfId="0" applyNumberFormat="1" applyFont="1" applyBorder="1">
      <alignment vertical="top"/>
    </xf>
    <xf numFmtId="49" fontId="7" fillId="3" borderId="25" xfId="1" applyNumberFormat="1" applyFont="1" applyFill="1" applyBorder="1" applyAlignment="1">
      <alignment horizontal="center"/>
    </xf>
    <xf numFmtId="4" fontId="7" fillId="3" borderId="22" xfId="1" applyNumberFormat="1" applyFont="1" applyFill="1" applyBorder="1" applyAlignment="1">
      <alignment horizontal="center"/>
    </xf>
    <xf numFmtId="49" fontId="7" fillId="3" borderId="23" xfId="1" applyNumberFormat="1" applyFont="1" applyFill="1" applyBorder="1" applyAlignment="1">
      <alignment horizontal="center"/>
    </xf>
    <xf numFmtId="3" fontId="10" fillId="0" borderId="14" xfId="1" applyFont="1" applyBorder="1" applyAlignment="1">
      <alignment horizontal="left"/>
    </xf>
    <xf numFmtId="3" fontId="10" fillId="0" borderId="15" xfId="1" applyFont="1" applyBorder="1" applyAlignment="1">
      <alignment horizontal="left"/>
    </xf>
    <xf numFmtId="3" fontId="5" fillId="0" borderId="3" xfId="0" applyNumberFormat="1" applyFont="1" applyBorder="1" applyAlignment="1">
      <alignment horizontal="right" vertical="top"/>
    </xf>
    <xf numFmtId="3" fontId="5" fillId="0" borderId="28" xfId="0" applyNumberFormat="1" applyFont="1" applyBorder="1" applyAlignment="1">
      <alignment horizontal="right" vertical="top"/>
    </xf>
    <xf numFmtId="3" fontId="5" fillId="0" borderId="14" xfId="0" applyNumberFormat="1" applyFont="1" applyBorder="1" applyAlignment="1">
      <alignment horizontal="right" vertical="top"/>
    </xf>
    <xf numFmtId="3" fontId="5" fillId="0" borderId="14" xfId="0" applyNumberFormat="1" applyFont="1" applyBorder="1">
      <alignment vertical="top"/>
    </xf>
    <xf numFmtId="3" fontId="5" fillId="0" borderId="3" xfId="0" applyNumberFormat="1" applyFont="1" applyBorder="1">
      <alignment vertical="top"/>
    </xf>
    <xf numFmtId="3" fontId="5" fillId="0" borderId="15" xfId="0" applyNumberFormat="1" applyFont="1" applyBorder="1">
      <alignment vertical="top"/>
    </xf>
    <xf numFmtId="3" fontId="6" fillId="0" borderId="11" xfId="1" applyFont="1" applyFill="1" applyBorder="1" applyAlignment="1">
      <alignment horizontal="center"/>
    </xf>
    <xf numFmtId="3" fontId="6" fillId="0" borderId="12" xfId="1" applyFont="1" applyFill="1" applyBorder="1" applyAlignment="1">
      <alignment horizontal="left"/>
    </xf>
    <xf numFmtId="3" fontId="6" fillId="0" borderId="13" xfId="1" applyFont="1" applyFill="1" applyBorder="1" applyAlignment="1">
      <alignment horizontal="left"/>
    </xf>
    <xf numFmtId="3" fontId="6" fillId="0" borderId="12" xfId="1" applyNumberFormat="1" applyFont="1" applyFill="1" applyBorder="1"/>
    <xf numFmtId="3" fontId="5" fillId="0" borderId="29" xfId="0" applyNumberFormat="1" applyFont="1" applyBorder="1">
      <alignment vertical="top"/>
    </xf>
    <xf numFmtId="4" fontId="4" fillId="0" borderId="14" xfId="0" applyNumberFormat="1" applyFont="1" applyBorder="1">
      <alignment vertical="top"/>
    </xf>
    <xf numFmtId="4" fontId="4" fillId="0" borderId="3" xfId="0" applyNumberFormat="1" applyFont="1" applyBorder="1">
      <alignment vertical="top"/>
    </xf>
    <xf numFmtId="3" fontId="5" fillId="0" borderId="3" xfId="1" applyNumberFormat="1" applyFont="1" applyFill="1" applyBorder="1" applyAlignment="1">
      <alignment horizontal="center"/>
    </xf>
    <xf numFmtId="3" fontId="4" fillId="0" borderId="14" xfId="0" applyNumberFormat="1" applyFont="1" applyBorder="1">
      <alignment vertical="top"/>
    </xf>
    <xf numFmtId="3" fontId="4" fillId="0" borderId="3" xfId="0" applyNumberFormat="1" applyFont="1" applyBorder="1">
      <alignment vertical="top"/>
    </xf>
    <xf numFmtId="3" fontId="11" fillId="0" borderId="0" xfId="1" applyFont="1" applyFill="1" applyBorder="1"/>
    <xf numFmtId="4" fontId="11" fillId="0" borderId="0" xfId="0" applyFont="1">
      <alignment vertical="top"/>
    </xf>
    <xf numFmtId="4" fontId="12" fillId="0" borderId="0" xfId="0" applyFont="1">
      <alignment vertical="top"/>
    </xf>
    <xf numFmtId="4" fontId="13" fillId="0" borderId="0" xfId="0" applyFont="1">
      <alignment vertical="top"/>
    </xf>
    <xf numFmtId="4" fontId="4" fillId="0" borderId="15" xfId="0" applyNumberFormat="1" applyFont="1" applyBorder="1">
      <alignment vertical="top"/>
    </xf>
    <xf numFmtId="4" fontId="4" fillId="0" borderId="4" xfId="0" applyNumberFormat="1" applyFont="1" applyBorder="1">
      <alignment vertical="top"/>
    </xf>
    <xf numFmtId="4" fontId="4" fillId="0" borderId="13" xfId="0" applyNumberFormat="1" applyFont="1" applyBorder="1">
      <alignment vertical="top"/>
    </xf>
    <xf numFmtId="3" fontId="15" fillId="0" borderId="14" xfId="0" applyNumberFormat="1" applyFont="1" applyBorder="1">
      <alignment vertical="top"/>
    </xf>
    <xf numFmtId="3" fontId="15" fillId="0" borderId="3" xfId="0" applyNumberFormat="1" applyFont="1" applyBorder="1">
      <alignment vertical="top"/>
    </xf>
    <xf numFmtId="3" fontId="15" fillId="0" borderId="12" xfId="0" applyNumberFormat="1" applyFont="1" applyBorder="1">
      <alignment vertical="top"/>
    </xf>
    <xf numFmtId="3" fontId="15" fillId="0" borderId="4" xfId="0" applyNumberFormat="1" applyFont="1" applyBorder="1">
      <alignment vertical="top"/>
    </xf>
    <xf numFmtId="3" fontId="15" fillId="0" borderId="13" xfId="0" applyNumberFormat="1" applyFont="1" applyBorder="1">
      <alignment vertical="top"/>
    </xf>
    <xf numFmtId="3" fontId="5" fillId="0" borderId="2" xfId="1" applyNumberFormat="1" applyFont="1" applyFill="1" applyBorder="1" applyAlignment="1">
      <alignment horizontal="right"/>
    </xf>
    <xf numFmtId="3" fontId="5" fillId="0" borderId="30" xfId="1" applyNumberFormat="1" applyFont="1" applyFill="1" applyBorder="1"/>
    <xf numFmtId="3" fontId="5" fillId="0" borderId="15" xfId="1" applyNumberFormat="1" applyFont="1" applyFill="1" applyBorder="1" applyAlignment="1">
      <alignment horizontal="right"/>
    </xf>
    <xf numFmtId="3" fontId="5" fillId="0" borderId="4" xfId="1" applyNumberFormat="1" applyFont="1" applyFill="1" applyBorder="1" applyAlignment="1">
      <alignment horizontal="right"/>
    </xf>
    <xf numFmtId="3" fontId="5" fillId="0" borderId="29" xfId="1" applyNumberFormat="1" applyFont="1" applyFill="1" applyBorder="1" applyAlignment="1">
      <alignment horizontal="right"/>
    </xf>
    <xf numFmtId="3" fontId="5" fillId="0" borderId="13" xfId="1" applyNumberFormat="1" applyFont="1" applyFill="1" applyBorder="1" applyAlignment="1">
      <alignment horizontal="right"/>
    </xf>
    <xf numFmtId="3" fontId="6" fillId="0" borderId="26" xfId="1" applyNumberFormat="1" applyFont="1" applyFill="1" applyBorder="1" applyAlignment="1">
      <alignment horizontal="right"/>
    </xf>
    <xf numFmtId="3" fontId="6" fillId="0" borderId="14" xfId="1" applyNumberFormat="1" applyFont="1" applyFill="1" applyBorder="1" applyAlignment="1">
      <alignment horizontal="right"/>
    </xf>
    <xf numFmtId="3" fontId="6" fillId="0" borderId="14" xfId="1" applyNumberFormat="1" applyFont="1" applyFill="1" applyBorder="1" applyAlignment="1"/>
    <xf numFmtId="3" fontId="5" fillId="0" borderId="3" xfId="1" applyNumberFormat="1" applyFont="1" applyFill="1" applyBorder="1" applyAlignment="1"/>
    <xf numFmtId="3" fontId="5" fillId="0" borderId="15" xfId="1" applyNumberFormat="1" applyFont="1" applyFill="1" applyBorder="1" applyAlignment="1"/>
    <xf numFmtId="3" fontId="5" fillId="0" borderId="3" xfId="0" applyNumberFormat="1" applyFont="1" applyFill="1" applyBorder="1">
      <alignment vertical="top"/>
    </xf>
    <xf numFmtId="3" fontId="5" fillId="0" borderId="15" xfId="0" applyNumberFormat="1" applyFont="1" applyFill="1" applyBorder="1">
      <alignment vertical="top"/>
    </xf>
    <xf numFmtId="3" fontId="5" fillId="0" borderId="4" xfId="0" applyNumberFormat="1" applyFont="1" applyFill="1" applyBorder="1">
      <alignment vertical="top"/>
    </xf>
    <xf numFmtId="3" fontId="5" fillId="0" borderId="13" xfId="0" applyNumberFormat="1" applyFont="1" applyFill="1" applyBorder="1">
      <alignment vertical="top"/>
    </xf>
    <xf numFmtId="49" fontId="5" fillId="6" borderId="5" xfId="1" applyNumberFormat="1" applyFont="1" applyFill="1" applyBorder="1" applyAlignment="1">
      <alignment horizontal="center"/>
    </xf>
    <xf numFmtId="49" fontId="5" fillId="6" borderId="6" xfId="1" applyNumberFormat="1" applyFont="1" applyFill="1" applyBorder="1" applyAlignment="1">
      <alignment horizontal="center"/>
    </xf>
    <xf numFmtId="3" fontId="6" fillId="7" borderId="7" xfId="1" applyFont="1" applyFill="1" applyBorder="1" applyAlignment="1">
      <alignment horizontal="center"/>
    </xf>
    <xf numFmtId="49" fontId="6" fillId="7" borderId="8" xfId="1" applyNumberFormat="1" applyFont="1" applyFill="1" applyBorder="1" applyAlignment="1">
      <alignment horizontal="center"/>
    </xf>
    <xf numFmtId="3" fontId="6" fillId="7" borderId="5" xfId="1" applyNumberFormat="1" applyFont="1" applyFill="1" applyBorder="1"/>
    <xf numFmtId="4" fontId="5" fillId="7" borderId="5" xfId="1" applyNumberFormat="1" applyFont="1" applyFill="1" applyBorder="1"/>
    <xf numFmtId="3" fontId="6" fillId="7" borderId="7" xfId="1" applyNumberFormat="1" applyFont="1" applyFill="1" applyBorder="1"/>
    <xf numFmtId="49" fontId="6" fillId="7" borderId="21" xfId="1" applyNumberFormat="1" applyFont="1" applyFill="1" applyBorder="1" applyAlignment="1">
      <alignment horizontal="center"/>
    </xf>
    <xf numFmtId="49" fontId="6" fillId="7" borderId="22" xfId="1" applyNumberFormat="1" applyFont="1" applyFill="1" applyBorder="1" applyAlignment="1">
      <alignment horizontal="center"/>
    </xf>
    <xf numFmtId="49" fontId="6" fillId="7" borderId="24" xfId="1" applyNumberFormat="1" applyFont="1" applyFill="1" applyBorder="1" applyAlignment="1">
      <alignment horizontal="center"/>
    </xf>
    <xf numFmtId="49" fontId="6" fillId="7" borderId="5" xfId="1" applyNumberFormat="1" applyFont="1" applyFill="1" applyBorder="1" applyAlignment="1">
      <alignment horizontal="center"/>
    </xf>
    <xf numFmtId="3" fontId="5" fillId="7" borderId="5" xfId="1" applyNumberFormat="1" applyFont="1" applyFill="1" applyBorder="1" applyAlignment="1">
      <alignment horizontal="right"/>
    </xf>
    <xf numFmtId="3" fontId="5" fillId="7" borderId="7" xfId="1" applyNumberFormat="1" applyFont="1" applyFill="1" applyBorder="1" applyAlignment="1">
      <alignment horizontal="right"/>
    </xf>
    <xf numFmtId="3" fontId="6" fillId="7" borderId="5" xfId="1" applyNumberFormat="1" applyFont="1" applyFill="1" applyBorder="1" applyAlignment="1">
      <alignment horizontal="right"/>
    </xf>
    <xf numFmtId="49" fontId="6" fillId="7" borderId="25" xfId="1" applyNumberFormat="1" applyFont="1" applyFill="1" applyBorder="1" applyAlignment="1">
      <alignment horizontal="center"/>
    </xf>
    <xf numFmtId="3" fontId="5" fillId="0" borderId="19" xfId="1" applyNumberFormat="1" applyFont="1" applyBorder="1" applyAlignment="1">
      <alignment horizontal="right"/>
    </xf>
    <xf numFmtId="49" fontId="6" fillId="7" borderId="23" xfId="1" applyNumberFormat="1" applyFont="1" applyFill="1" applyBorder="1" applyAlignment="1">
      <alignment horizontal="center"/>
    </xf>
    <xf numFmtId="3" fontId="6" fillId="7" borderId="16" xfId="1" applyFont="1" applyFill="1" applyBorder="1" applyAlignment="1">
      <alignment horizontal="left"/>
    </xf>
    <xf numFmtId="3" fontId="6" fillId="7" borderId="17" xfId="1" applyFont="1" applyFill="1" applyBorder="1" applyAlignment="1">
      <alignment horizontal="left"/>
    </xf>
    <xf numFmtId="4" fontId="5" fillId="7" borderId="1" xfId="1" applyNumberFormat="1" applyFont="1" applyFill="1" applyBorder="1"/>
    <xf numFmtId="49" fontId="7" fillId="7" borderId="25" xfId="1" applyNumberFormat="1" applyFont="1" applyFill="1" applyBorder="1" applyAlignment="1">
      <alignment horizontal="center"/>
    </xf>
    <xf numFmtId="4" fontId="7" fillId="7" borderId="22" xfId="1" applyNumberFormat="1" applyFont="1" applyFill="1" applyBorder="1" applyAlignment="1">
      <alignment horizontal="center"/>
    </xf>
    <xf numFmtId="49" fontId="7" fillId="7" borderId="23" xfId="1" applyNumberFormat="1" applyFont="1" applyFill="1" applyBorder="1" applyAlignment="1">
      <alignment horizontal="center"/>
    </xf>
    <xf numFmtId="3" fontId="5" fillId="0" borderId="3" xfId="0" applyNumberFormat="1" applyFont="1" applyFill="1" applyBorder="1" applyAlignment="1">
      <alignment horizontal="right" vertical="top"/>
    </xf>
    <xf numFmtId="4" fontId="8" fillId="7" borderId="1" xfId="1" applyNumberFormat="1" applyFont="1" applyFill="1" applyBorder="1"/>
    <xf numFmtId="4" fontId="5" fillId="0" borderId="5" xfId="1" applyNumberFormat="1" applyFont="1" applyFill="1" applyBorder="1"/>
    <xf numFmtId="4" fontId="8" fillId="0" borderId="5" xfId="1" applyNumberFormat="1" applyFont="1" applyFill="1" applyBorder="1"/>
    <xf numFmtId="3" fontId="7" fillId="0" borderId="5" xfId="1" applyFont="1" applyBorder="1" applyAlignment="1">
      <alignment horizontal="center"/>
    </xf>
    <xf numFmtId="3" fontId="4" fillId="0" borderId="5" xfId="0" applyNumberFormat="1" applyFont="1" applyBorder="1">
      <alignment vertical="top"/>
    </xf>
    <xf numFmtId="4" fontId="7" fillId="0" borderId="5" xfId="1" applyNumberFormat="1" applyFont="1" applyBorder="1" applyAlignment="1">
      <alignment horizontal="center"/>
    </xf>
    <xf numFmtId="3" fontId="5" fillId="0" borderId="4" xfId="0" applyNumberFormat="1" applyFont="1" applyBorder="1" applyAlignment="1">
      <alignment horizontal="right" vertical="top"/>
    </xf>
    <xf numFmtId="4" fontId="5" fillId="0" borderId="1" xfId="1" applyNumberFormat="1" applyFont="1" applyFill="1" applyBorder="1"/>
    <xf numFmtId="3" fontId="5" fillId="0" borderId="28" xfId="0" applyNumberFormat="1" applyFont="1" applyFill="1" applyBorder="1" applyAlignment="1">
      <alignment horizontal="right" vertical="top"/>
    </xf>
    <xf numFmtId="4" fontId="17" fillId="0" borderId="0" xfId="0" applyFont="1" applyAlignment="1"/>
    <xf numFmtId="4" fontId="18" fillId="0" borderId="0" xfId="0" applyFont="1" applyAlignment="1"/>
    <xf numFmtId="4" fontId="19" fillId="0" borderId="0" xfId="0" applyFont="1" applyAlignment="1">
      <alignment horizontal="center"/>
    </xf>
    <xf numFmtId="4" fontId="17" fillId="2" borderId="5" xfId="0" applyNumberFormat="1" applyFont="1" applyFill="1" applyBorder="1" applyAlignment="1">
      <alignment vertical="center"/>
    </xf>
    <xf numFmtId="4" fontId="17" fillId="2" borderId="19" xfId="0" applyNumberFormat="1" applyFont="1" applyFill="1" applyBorder="1" applyAlignment="1">
      <alignment vertical="center"/>
    </xf>
    <xf numFmtId="4" fontId="17" fillId="2" borderId="3" xfId="0" applyNumberFormat="1" applyFont="1" applyFill="1" applyBorder="1" applyAlignment="1">
      <alignment vertical="center"/>
    </xf>
    <xf numFmtId="4" fontId="18" fillId="0" borderId="0" xfId="0" applyNumberFormat="1" applyFont="1" applyAlignment="1"/>
    <xf numFmtId="4" fontId="18" fillId="0" borderId="0" xfId="0" applyFont="1" applyBorder="1" applyAlignment="1"/>
    <xf numFmtId="4" fontId="19" fillId="0" borderId="35" xfId="0" applyFont="1" applyFill="1" applyBorder="1" applyAlignment="1"/>
    <xf numFmtId="4" fontId="19" fillId="0" borderId="0" xfId="0" applyFont="1" applyFill="1" applyBorder="1" applyAlignment="1"/>
    <xf numFmtId="4" fontId="20" fillId="0" borderId="0" xfId="0" applyFont="1" applyAlignment="1"/>
    <xf numFmtId="4" fontId="17" fillId="2" borderId="2" xfId="0" applyFont="1" applyFill="1" applyBorder="1" applyAlignment="1">
      <alignment vertical="center"/>
    </xf>
    <xf numFmtId="4" fontId="17" fillId="12" borderId="2" xfId="0" applyFont="1" applyFill="1" applyBorder="1" applyAlignment="1">
      <alignment vertical="center"/>
    </xf>
    <xf numFmtId="4" fontId="17" fillId="0" borderId="2" xfId="0" applyNumberFormat="1" applyFont="1" applyBorder="1" applyAlignment="1">
      <alignment vertical="center"/>
    </xf>
    <xf numFmtId="4" fontId="21" fillId="0" borderId="50" xfId="0" applyFont="1" applyFill="1" applyBorder="1" applyAlignment="1"/>
    <xf numFmtId="4" fontId="21" fillId="0" borderId="0" xfId="0" applyFont="1" applyFill="1" applyBorder="1" applyAlignment="1"/>
    <xf numFmtId="4" fontId="17" fillId="0" borderId="3" xfId="0" applyFont="1" applyBorder="1" applyAlignment="1">
      <alignment vertical="center"/>
    </xf>
    <xf numFmtId="4" fontId="17" fillId="0" borderId="3" xfId="0" applyNumberFormat="1" applyFont="1" applyFill="1" applyBorder="1" applyAlignment="1">
      <alignment horizontal="right" vertical="center"/>
    </xf>
    <xf numFmtId="4" fontId="18" fillId="0" borderId="50" xfId="0" applyNumberFormat="1" applyFont="1" applyFill="1" applyBorder="1" applyAlignment="1">
      <alignment horizontal="left"/>
    </xf>
    <xf numFmtId="4" fontId="18" fillId="0" borderId="0" xfId="0" applyNumberFormat="1" applyFont="1" applyFill="1" applyBorder="1" applyAlignment="1">
      <alignment horizontal="left"/>
    </xf>
    <xf numFmtId="4" fontId="17" fillId="0" borderId="42" xfId="0" applyFont="1" applyBorder="1" applyAlignment="1">
      <alignment vertical="center"/>
    </xf>
    <xf numFmtId="4" fontId="17" fillId="0" borderId="42" xfId="0" applyNumberFormat="1" applyFont="1" applyFill="1" applyBorder="1" applyAlignment="1">
      <alignment horizontal="right" vertical="center"/>
    </xf>
    <xf numFmtId="4" fontId="17" fillId="0" borderId="42" xfId="0" applyNumberFormat="1" applyFont="1" applyBorder="1" applyAlignment="1">
      <alignment vertical="center"/>
    </xf>
    <xf numFmtId="4" fontId="21" fillId="0" borderId="50" xfId="0" applyFont="1" applyFill="1" applyBorder="1" applyAlignment="1">
      <alignment vertical="center" wrapText="1"/>
    </xf>
    <xf numFmtId="4" fontId="21" fillId="0" borderId="0" xfId="0" applyFont="1" applyFill="1" applyBorder="1" applyAlignment="1">
      <alignment vertical="center" wrapText="1"/>
    </xf>
    <xf numFmtId="4" fontId="17" fillId="12" borderId="5" xfId="0" applyFont="1" applyFill="1" applyBorder="1" applyAlignment="1">
      <alignment vertical="center"/>
    </xf>
    <xf numFmtId="4" fontId="17" fillId="0" borderId="5" xfId="0" applyNumberFormat="1" applyFont="1" applyBorder="1" applyAlignment="1">
      <alignment vertical="center"/>
    </xf>
    <xf numFmtId="4" fontId="21" fillId="0" borderId="0" xfId="0" applyFont="1" applyFill="1" applyBorder="1" applyAlignment="1">
      <alignment horizontal="left" vertical="center" wrapText="1"/>
    </xf>
    <xf numFmtId="4" fontId="17" fillId="0" borderId="0" xfId="0" applyFont="1" applyFill="1" applyBorder="1" applyAlignment="1">
      <alignment vertical="center"/>
    </xf>
    <xf numFmtId="4" fontId="18" fillId="0" borderId="0" xfId="0" applyFont="1" applyFill="1" applyAlignment="1"/>
    <xf numFmtId="4" fontId="18" fillId="0" borderId="0" xfId="0" applyNumberFormat="1" applyFont="1" applyFill="1" applyAlignment="1"/>
    <xf numFmtId="4" fontId="18" fillId="0" borderId="0" xfId="0" applyFont="1" applyFill="1" applyBorder="1" applyAlignment="1"/>
    <xf numFmtId="4" fontId="19" fillId="0" borderId="0" xfId="0" applyFont="1" applyFill="1" applyAlignment="1">
      <alignment horizontal="center"/>
    </xf>
    <xf numFmtId="4" fontId="17" fillId="0" borderId="19" xfId="0" applyFont="1" applyBorder="1" applyAlignment="1">
      <alignment vertical="center"/>
    </xf>
    <xf numFmtId="4" fontId="18" fillId="0" borderId="19" xfId="0" applyNumberFormat="1" applyFont="1" applyBorder="1" applyAlignment="1">
      <alignment vertical="center"/>
    </xf>
    <xf numFmtId="4" fontId="18" fillId="0" borderId="3" xfId="0" applyNumberFormat="1" applyFont="1" applyBorder="1" applyAlignment="1">
      <alignment vertical="center"/>
    </xf>
    <xf numFmtId="4" fontId="18" fillId="0" borderId="42" xfId="0" applyNumberFormat="1" applyFont="1" applyBorder="1" applyAlignment="1">
      <alignment vertical="center"/>
    </xf>
    <xf numFmtId="4" fontId="17" fillId="2" borderId="5" xfId="0" applyFont="1" applyFill="1" applyBorder="1" applyAlignment="1">
      <alignment vertical="center"/>
    </xf>
    <xf numFmtId="4" fontId="12" fillId="0" borderId="19" xfId="0" applyFont="1" applyBorder="1" applyAlignment="1">
      <alignment vertical="center"/>
    </xf>
    <xf numFmtId="0" fontId="18" fillId="0" borderId="2" xfId="0" applyNumberFormat="1" applyFont="1" applyBorder="1" applyAlignment="1">
      <alignment vertical="center"/>
    </xf>
    <xf numFmtId="4" fontId="18" fillId="0" borderId="42" xfId="0" applyFont="1" applyBorder="1" applyAlignment="1">
      <alignment vertical="center"/>
    </xf>
    <xf numFmtId="0" fontId="18" fillId="0" borderId="42" xfId="0" applyNumberFormat="1" applyFont="1" applyBorder="1" applyAlignment="1">
      <alignment vertical="center"/>
    </xf>
    <xf numFmtId="0" fontId="18" fillId="0" borderId="59" xfId="0" applyNumberFormat="1" applyFont="1" applyBorder="1" applyAlignment="1">
      <alignment vertical="center"/>
    </xf>
    <xf numFmtId="4" fontId="12" fillId="0" borderId="3" xfId="0" applyFont="1" applyBorder="1" applyAlignment="1">
      <alignment vertical="center"/>
    </xf>
    <xf numFmtId="0" fontId="18" fillId="0" borderId="3" xfId="0" applyNumberFormat="1" applyFont="1" applyBorder="1" applyAlignment="1">
      <alignment vertical="center"/>
    </xf>
    <xf numFmtId="4" fontId="12" fillId="0" borderId="51" xfId="0" applyFont="1" applyBorder="1" applyAlignment="1">
      <alignment vertical="center"/>
    </xf>
    <xf numFmtId="4" fontId="18" fillId="0" borderId="51" xfId="0" applyNumberFormat="1" applyFont="1" applyBorder="1" applyAlignment="1">
      <alignment vertical="center"/>
    </xf>
    <xf numFmtId="0" fontId="18" fillId="0" borderId="51" xfId="0" applyNumberFormat="1" applyFont="1" applyBorder="1" applyAlignment="1">
      <alignment vertical="center"/>
    </xf>
    <xf numFmtId="4" fontId="18" fillId="0" borderId="2" xfId="0" applyNumberFormat="1" applyFont="1" applyBorder="1" applyAlignment="1">
      <alignment vertical="center"/>
    </xf>
    <xf numFmtId="4" fontId="18" fillId="0" borderId="43" xfId="0" applyNumberFormat="1" applyFont="1" applyBorder="1" applyAlignment="1">
      <alignment vertical="center"/>
    </xf>
    <xf numFmtId="4" fontId="18" fillId="0" borderId="61" xfId="0" applyNumberFormat="1" applyFont="1" applyBorder="1" applyAlignment="1">
      <alignment vertical="center"/>
    </xf>
    <xf numFmtId="4" fontId="18" fillId="0" borderId="64" xfId="0" applyNumberFormat="1" applyFont="1" applyBorder="1" applyAlignment="1">
      <alignment vertical="center"/>
    </xf>
    <xf numFmtId="4" fontId="17" fillId="0" borderId="0" xfId="0" applyFont="1" applyAlignment="1">
      <alignment horizontal="center"/>
    </xf>
    <xf numFmtId="4" fontId="26" fillId="13" borderId="43" xfId="0" applyFont="1" applyFill="1" applyBorder="1" applyAlignment="1">
      <alignment horizontal="left" vertical="center"/>
    </xf>
    <xf numFmtId="4" fontId="26" fillId="13" borderId="3" xfId="0" applyFont="1" applyFill="1" applyBorder="1" applyAlignment="1">
      <alignment horizontal="left" vertical="center"/>
    </xf>
    <xf numFmtId="14" fontId="26" fillId="13" borderId="3" xfId="0" applyNumberFormat="1" applyFont="1" applyFill="1" applyBorder="1" applyAlignment="1">
      <alignment horizontal="left" vertical="center"/>
    </xf>
    <xf numFmtId="43" fontId="26" fillId="13" borderId="43" xfId="0" applyNumberFormat="1" applyFont="1" applyFill="1" applyBorder="1" applyAlignment="1">
      <alignment horizontal="left" vertical="center"/>
    </xf>
    <xf numFmtId="4" fontId="18" fillId="0" borderId="0" xfId="0" applyNumberFormat="1" applyFont="1" applyBorder="1" applyAlignment="1">
      <alignment horizontal="center" vertical="center" wrapText="1"/>
    </xf>
    <xf numFmtId="4" fontId="18" fillId="0" borderId="0" xfId="0" applyNumberFormat="1" applyFont="1" applyBorder="1" applyAlignment="1">
      <alignment vertical="center" wrapText="1"/>
    </xf>
    <xf numFmtId="4" fontId="27" fillId="0" borderId="0" xfId="0" applyFont="1" applyAlignment="1"/>
    <xf numFmtId="4" fontId="28" fillId="0" borderId="0" xfId="0" applyFont="1" applyAlignment="1"/>
    <xf numFmtId="14" fontId="24" fillId="0" borderId="19" xfId="0" applyNumberFormat="1" applyFont="1" applyBorder="1" applyAlignment="1">
      <alignment horizontal="center" vertical="center" wrapText="1"/>
    </xf>
    <xf numFmtId="4" fontId="26" fillId="13" borderId="51" xfId="0" applyFont="1" applyFill="1" applyBorder="1" applyAlignment="1">
      <alignment horizontal="left" vertical="center"/>
    </xf>
    <xf numFmtId="4" fontId="26" fillId="13" borderId="58" xfId="0" applyFont="1" applyFill="1" applyBorder="1" applyAlignment="1">
      <alignment horizontal="left" vertical="center"/>
    </xf>
    <xf numFmtId="14" fontId="24" fillId="0" borderId="51" xfId="0" applyNumberFormat="1" applyFont="1" applyBorder="1" applyAlignment="1">
      <alignment horizontal="center" vertical="center" wrapText="1"/>
    </xf>
    <xf numFmtId="4" fontId="26" fillId="13" borderId="5" xfId="0" applyFont="1" applyFill="1" applyBorder="1" applyAlignment="1">
      <alignment horizontal="left" vertical="center"/>
    </xf>
    <xf numFmtId="4" fontId="26" fillId="13" borderId="53" xfId="0" applyFont="1" applyFill="1" applyBorder="1" applyAlignment="1">
      <alignment horizontal="left" vertical="center"/>
    </xf>
    <xf numFmtId="14" fontId="26" fillId="13" borderId="2" xfId="0" applyNumberFormat="1" applyFont="1" applyFill="1" applyBorder="1" applyAlignment="1">
      <alignment horizontal="left" vertical="center"/>
    </xf>
    <xf numFmtId="43" fontId="26" fillId="13" borderId="53" xfId="0" applyNumberFormat="1" applyFont="1" applyFill="1" applyBorder="1" applyAlignment="1">
      <alignment horizontal="left" vertical="center"/>
    </xf>
    <xf numFmtId="14" fontId="26" fillId="13" borderId="51" xfId="0" applyNumberFormat="1" applyFont="1" applyFill="1" applyBorder="1" applyAlignment="1">
      <alignment horizontal="left" vertical="center"/>
    </xf>
    <xf numFmtId="43" fontId="26" fillId="13" borderId="58" xfId="0" applyNumberFormat="1" applyFont="1" applyFill="1" applyBorder="1" applyAlignment="1">
      <alignment horizontal="left" vertical="center"/>
    </xf>
    <xf numFmtId="4" fontId="26" fillId="13" borderId="49" xfId="0" applyFont="1" applyFill="1" applyBorder="1" applyAlignment="1">
      <alignment horizontal="left" vertical="center"/>
    </xf>
    <xf numFmtId="43" fontId="26" fillId="13" borderId="3" xfId="0" applyNumberFormat="1" applyFont="1" applyFill="1" applyBorder="1" applyAlignment="1">
      <alignment horizontal="left" vertical="center"/>
    </xf>
    <xf numFmtId="14" fontId="26" fillId="13" borderId="5" xfId="0" applyNumberFormat="1" applyFont="1" applyFill="1" applyBorder="1" applyAlignment="1">
      <alignment horizontal="left" vertical="center"/>
    </xf>
    <xf numFmtId="43" fontId="26" fillId="13" borderId="5" xfId="0" applyNumberFormat="1" applyFont="1" applyFill="1" applyBorder="1" applyAlignment="1">
      <alignment horizontal="left" vertical="center"/>
    </xf>
    <xf numFmtId="4" fontId="26" fillId="13" borderId="0" xfId="0" applyFont="1" applyFill="1" applyBorder="1" applyAlignment="1">
      <alignment horizontal="left" vertical="center"/>
    </xf>
    <xf numFmtId="4" fontId="12" fillId="0" borderId="50" xfId="0" applyFont="1" applyFill="1" applyBorder="1" applyAlignment="1">
      <alignment vertical="center" wrapText="1"/>
    </xf>
    <xf numFmtId="4" fontId="12" fillId="0" borderId="0" xfId="0" applyFont="1" applyFill="1" applyBorder="1" applyAlignment="1">
      <alignment vertical="center" wrapText="1"/>
    </xf>
    <xf numFmtId="4" fontId="31" fillId="0" borderId="19" xfId="0" applyFont="1" applyBorder="1" applyAlignment="1">
      <alignment vertical="center"/>
    </xf>
    <xf numFmtId="4" fontId="32" fillId="0" borderId="0" xfId="0" applyFont="1" applyAlignment="1">
      <alignment vertical="center"/>
    </xf>
    <xf numFmtId="4" fontId="33" fillId="0" borderId="0" xfId="0" applyFont="1" applyAlignment="1"/>
    <xf numFmtId="4" fontId="34" fillId="6" borderId="5" xfId="0" applyFont="1" applyFill="1" applyBorder="1" applyAlignment="1">
      <alignment horizontal="center" vertical="center" wrapText="1"/>
    </xf>
    <xf numFmtId="4" fontId="37" fillId="0" borderId="0" xfId="0" applyFont="1" applyAlignment="1"/>
    <xf numFmtId="4" fontId="40" fillId="0" borderId="42" xfId="0" applyFont="1" applyBorder="1" applyAlignment="1">
      <alignment horizontal="center" vertical="center" wrapText="1"/>
    </xf>
    <xf numFmtId="4" fontId="40" fillId="0" borderId="42" xfId="0" applyNumberFormat="1" applyFont="1" applyBorder="1" applyAlignment="1">
      <alignment horizontal="center" vertical="center" wrapText="1"/>
    </xf>
    <xf numFmtId="14" fontId="40" fillId="0" borderId="42" xfId="0" applyNumberFormat="1" applyFont="1" applyBorder="1" applyAlignment="1">
      <alignment horizontal="center" vertical="center" wrapText="1"/>
    </xf>
    <xf numFmtId="4" fontId="37" fillId="0" borderId="0" xfId="0" applyFont="1" applyBorder="1" applyAlignment="1">
      <alignment horizontal="left" vertical="center" wrapText="1"/>
    </xf>
    <xf numFmtId="4" fontId="41" fillId="0" borderId="42" xfId="0" applyFont="1" applyBorder="1" applyAlignment="1">
      <alignment horizontal="center" vertical="center" wrapText="1"/>
    </xf>
    <xf numFmtId="4" fontId="41" fillId="0" borderId="42" xfId="0" applyNumberFormat="1" applyFont="1" applyBorder="1" applyAlignment="1">
      <alignment horizontal="center" vertical="center" wrapText="1"/>
    </xf>
    <xf numFmtId="14" fontId="41" fillId="0" borderId="42" xfId="0" applyNumberFormat="1" applyFont="1" applyBorder="1" applyAlignment="1">
      <alignment horizontal="center" vertical="center" wrapText="1"/>
    </xf>
    <xf numFmtId="4" fontId="41" fillId="0" borderId="3" xfId="0" applyFont="1" applyBorder="1" applyAlignment="1">
      <alignment horizontal="center" vertical="center" wrapText="1"/>
    </xf>
    <xf numFmtId="4" fontId="41" fillId="0" borderId="3" xfId="0" applyNumberFormat="1" applyFont="1" applyBorder="1" applyAlignment="1">
      <alignment horizontal="center" vertical="center" wrapText="1"/>
    </xf>
    <xf numFmtId="14" fontId="41" fillId="0" borderId="3" xfId="0" applyNumberFormat="1" applyFont="1" applyBorder="1" applyAlignment="1">
      <alignment horizontal="center" vertical="center" wrapText="1"/>
    </xf>
    <xf numFmtId="4" fontId="42" fillId="0" borderId="3" xfId="0" applyFont="1" applyBorder="1" applyAlignment="1">
      <alignment horizontal="center" vertical="center" wrapText="1"/>
    </xf>
    <xf numFmtId="4" fontId="42" fillId="0" borderId="3" xfId="0" applyNumberFormat="1" applyFont="1" applyBorder="1" applyAlignment="1">
      <alignment horizontal="center" vertical="center" wrapText="1"/>
    </xf>
    <xf numFmtId="14" fontId="42" fillId="0" borderId="3" xfId="0" applyNumberFormat="1" applyFont="1" applyBorder="1" applyAlignment="1">
      <alignment horizontal="center" vertical="center" wrapText="1"/>
    </xf>
    <xf numFmtId="4" fontId="40" fillId="0" borderId="3" xfId="0" applyFont="1" applyBorder="1" applyAlignment="1">
      <alignment horizontal="center" vertical="center" wrapText="1"/>
    </xf>
    <xf numFmtId="4" fontId="40" fillId="0" borderId="3" xfId="0" applyNumberFormat="1" applyFont="1" applyBorder="1" applyAlignment="1">
      <alignment horizontal="center" vertical="center" wrapText="1"/>
    </xf>
    <xf numFmtId="14" fontId="40" fillId="0" borderId="3" xfId="0" applyNumberFormat="1" applyFont="1" applyBorder="1" applyAlignment="1">
      <alignment horizontal="center" vertical="center" wrapText="1"/>
    </xf>
    <xf numFmtId="4" fontId="45" fillId="0" borderId="3" xfId="0" applyFont="1" applyBorder="1" applyAlignment="1">
      <alignment horizontal="center" vertical="center" wrapText="1"/>
    </xf>
    <xf numFmtId="4" fontId="45" fillId="0" borderId="3" xfId="0" applyNumberFormat="1" applyFont="1" applyBorder="1" applyAlignment="1">
      <alignment horizontal="center" vertical="center" wrapText="1"/>
    </xf>
    <xf numFmtId="14" fontId="45" fillId="0" borderId="3" xfId="0" applyNumberFormat="1" applyFont="1" applyBorder="1" applyAlignment="1">
      <alignment horizontal="center" vertical="center" wrapText="1"/>
    </xf>
    <xf numFmtId="4" fontId="43" fillId="0" borderId="0" xfId="0" applyFont="1" applyAlignment="1"/>
    <xf numFmtId="4" fontId="48" fillId="0" borderId="3" xfId="0" applyFont="1" applyBorder="1" applyAlignment="1">
      <alignment horizontal="center" vertical="center" wrapText="1"/>
    </xf>
    <xf numFmtId="4" fontId="48" fillId="0" borderId="3" xfId="0" applyNumberFormat="1" applyFont="1" applyBorder="1" applyAlignment="1">
      <alignment horizontal="center" vertical="center" wrapText="1"/>
    </xf>
    <xf numFmtId="14" fontId="48" fillId="0" borderId="3" xfId="0" applyNumberFormat="1" applyFont="1" applyBorder="1" applyAlignment="1">
      <alignment horizontal="center" vertical="center" wrapText="1"/>
    </xf>
    <xf numFmtId="4" fontId="44" fillId="0" borderId="0" xfId="0" applyFont="1" applyAlignment="1"/>
    <xf numFmtId="4" fontId="41" fillId="0" borderId="64" xfId="0" applyFont="1" applyBorder="1" applyAlignment="1">
      <alignment horizontal="center" vertical="center" wrapText="1"/>
    </xf>
    <xf numFmtId="4" fontId="41" fillId="0" borderId="64" xfId="0" applyNumberFormat="1" applyFont="1" applyBorder="1" applyAlignment="1">
      <alignment horizontal="center" vertical="center" wrapText="1"/>
    </xf>
    <xf numFmtId="14" fontId="41" fillId="0" borderId="64" xfId="0" applyNumberFormat="1" applyFont="1" applyBorder="1" applyAlignment="1">
      <alignment horizontal="center" vertical="center" wrapText="1"/>
    </xf>
    <xf numFmtId="4" fontId="41" fillId="8" borderId="5" xfId="0" applyFont="1" applyFill="1" applyBorder="1" applyAlignment="1">
      <alignment vertical="center" wrapText="1"/>
    </xf>
    <xf numFmtId="4" fontId="41" fillId="6" borderId="5" xfId="0" applyNumberFormat="1" applyFont="1" applyFill="1" applyBorder="1" applyAlignment="1">
      <alignment horizontal="right" vertical="center" wrapText="1"/>
    </xf>
    <xf numFmtId="4" fontId="19" fillId="3" borderId="31" xfId="0" applyNumberFormat="1" applyFont="1" applyFill="1" applyBorder="1" applyAlignment="1">
      <alignment horizontal="center"/>
    </xf>
    <xf numFmtId="14" fontId="26" fillId="13" borderId="0" xfId="0" applyNumberFormat="1" applyFont="1" applyFill="1" applyBorder="1" applyAlignment="1">
      <alignment horizontal="left" vertical="center"/>
    </xf>
    <xf numFmtId="43" fontId="26" fillId="13" borderId="0" xfId="0" applyNumberFormat="1" applyFont="1" applyFill="1" applyBorder="1" applyAlignment="1">
      <alignment horizontal="left" vertical="center"/>
    </xf>
    <xf numFmtId="4" fontId="26" fillId="13" borderId="2" xfId="0" applyFont="1" applyFill="1" applyBorder="1" applyAlignment="1">
      <alignment horizontal="left" vertical="center"/>
    </xf>
    <xf numFmtId="4" fontId="5" fillId="3" borderId="5" xfId="0" applyFont="1" applyFill="1" applyBorder="1" applyAlignment="1">
      <alignment horizontal="center" vertical="center" wrapText="1"/>
    </xf>
    <xf numFmtId="4" fontId="52" fillId="0" borderId="3" xfId="0" applyNumberFormat="1" applyFont="1" applyFill="1" applyBorder="1" applyAlignment="1">
      <alignment horizontal="right" vertical="center" wrapText="1"/>
    </xf>
    <xf numFmtId="4" fontId="52" fillId="0" borderId="19" xfId="0" applyNumberFormat="1" applyFont="1" applyFill="1" applyBorder="1" applyAlignment="1">
      <alignment horizontal="right" vertical="center" wrapText="1"/>
    </xf>
    <xf numFmtId="49" fontId="30" fillId="0" borderId="15" xfId="0" applyNumberFormat="1" applyFont="1" applyFill="1" applyBorder="1" applyAlignment="1">
      <alignment horizontal="center" vertical="center" wrapText="1"/>
    </xf>
    <xf numFmtId="4" fontId="52" fillId="0" borderId="42" xfId="0" applyNumberFormat="1" applyFont="1" applyFill="1" applyBorder="1" applyAlignment="1">
      <alignment horizontal="right" vertical="center" wrapText="1"/>
    </xf>
    <xf numFmtId="4" fontId="55" fillId="0" borderId="0" xfId="0" applyFont="1" applyAlignment="1"/>
    <xf numFmtId="4" fontId="34" fillId="0" borderId="0" xfId="0" applyFont="1" applyAlignment="1"/>
    <xf numFmtId="4" fontId="53" fillId="0" borderId="0" xfId="0" applyFont="1" applyAlignment="1"/>
    <xf numFmtId="4" fontId="32" fillId="0" borderId="0" xfId="0" applyFont="1" applyAlignment="1">
      <alignment horizontal="center"/>
    </xf>
    <xf numFmtId="4" fontId="34" fillId="6" borderId="5" xfId="0" applyNumberFormat="1" applyFont="1" applyFill="1" applyBorder="1" applyAlignment="1">
      <alignment vertical="center"/>
    </xf>
    <xf numFmtId="4" fontId="34" fillId="6" borderId="19" xfId="0" applyNumberFormat="1" applyFont="1" applyFill="1" applyBorder="1" applyAlignment="1">
      <alignment vertical="center"/>
    </xf>
    <xf numFmtId="4" fontId="34" fillId="6" borderId="3" xfId="0" applyNumberFormat="1" applyFont="1" applyFill="1" applyBorder="1" applyAlignment="1">
      <alignment vertical="center"/>
    </xf>
    <xf numFmtId="4" fontId="53" fillId="0" borderId="0" xfId="0" applyNumberFormat="1" applyFont="1" applyAlignment="1"/>
    <xf numFmtId="4" fontId="53" fillId="0" borderId="0" xfId="0" applyFont="1" applyBorder="1" applyAlignment="1"/>
    <xf numFmtId="4" fontId="32" fillId="0" borderId="35" xfId="0" applyFont="1" applyFill="1" applyBorder="1" applyAlignment="1"/>
    <xf numFmtId="4" fontId="32" fillId="0" borderId="0" xfId="0" applyFont="1" applyFill="1" applyBorder="1" applyAlignment="1"/>
    <xf numFmtId="4" fontId="56" fillId="0" borderId="0" xfId="0" applyFont="1" applyAlignment="1"/>
    <xf numFmtId="4" fontId="34" fillId="6" borderId="2" xfId="0" applyFont="1" applyFill="1" applyBorder="1" applyAlignment="1">
      <alignment vertical="center"/>
    </xf>
    <xf numFmtId="4" fontId="34" fillId="15" borderId="2" xfId="0" applyFont="1" applyFill="1" applyBorder="1" applyAlignment="1">
      <alignment vertical="center"/>
    </xf>
    <xf numFmtId="4" fontId="34" fillId="0" borderId="2" xfId="0" applyNumberFormat="1" applyFont="1" applyBorder="1" applyAlignment="1">
      <alignment vertical="center"/>
    </xf>
    <xf numFmtId="4" fontId="57" fillId="0" borderId="50" xfId="0" applyFont="1" applyFill="1" applyBorder="1" applyAlignment="1"/>
    <xf numFmtId="4" fontId="57" fillId="0" borderId="0" xfId="0" applyFont="1" applyFill="1" applyBorder="1" applyAlignment="1"/>
    <xf numFmtId="4" fontId="34" fillId="0" borderId="3" xfId="0" applyFont="1" applyBorder="1" applyAlignment="1">
      <alignment vertical="center"/>
    </xf>
    <xf numFmtId="4" fontId="34" fillId="0" borderId="3" xfId="0" applyNumberFormat="1" applyFont="1" applyFill="1" applyBorder="1" applyAlignment="1">
      <alignment horizontal="right" vertical="center"/>
    </xf>
    <xf numFmtId="4" fontId="53" fillId="0" borderId="50" xfId="0" applyNumberFormat="1" applyFont="1" applyFill="1" applyBorder="1" applyAlignment="1">
      <alignment horizontal="left"/>
    </xf>
    <xf numFmtId="4" fontId="53" fillId="0" borderId="0" xfId="0" applyNumberFormat="1" applyFont="1" applyFill="1" applyBorder="1" applyAlignment="1">
      <alignment horizontal="left"/>
    </xf>
    <xf numFmtId="4" fontId="34" fillId="0" borderId="42" xfId="0" applyFont="1" applyBorder="1" applyAlignment="1">
      <alignment vertical="center"/>
    </xf>
    <xf numFmtId="4" fontId="34" fillId="0" borderId="42" xfId="0" applyNumberFormat="1" applyFont="1" applyFill="1" applyBorder="1" applyAlignment="1">
      <alignment horizontal="right" vertical="center"/>
    </xf>
    <xf numFmtId="4" fontId="34" fillId="0" borderId="42" xfId="0" applyNumberFormat="1" applyFont="1" applyBorder="1" applyAlignment="1">
      <alignment vertical="center"/>
    </xf>
    <xf numFmtId="4" fontId="57" fillId="0" borderId="50" xfId="0" applyFont="1" applyFill="1" applyBorder="1" applyAlignment="1">
      <alignment vertical="center" wrapText="1"/>
    </xf>
    <xf numFmtId="4" fontId="34" fillId="15" borderId="5" xfId="0" applyFont="1" applyFill="1" applyBorder="1" applyAlignment="1">
      <alignment vertical="center"/>
    </xf>
    <xf numFmtId="4" fontId="34" fillId="0" borderId="5" xfId="0" applyNumberFormat="1" applyFont="1" applyBorder="1" applyAlignment="1">
      <alignment vertical="center"/>
    </xf>
    <xf numFmtId="4" fontId="57" fillId="0" borderId="0" xfId="0" applyFont="1" applyFill="1" applyBorder="1" applyAlignment="1">
      <alignment horizontal="left" vertical="center" wrapText="1"/>
    </xf>
    <xf numFmtId="4" fontId="34" fillId="0" borderId="0" xfId="0" applyFont="1" applyFill="1" applyBorder="1" applyAlignment="1">
      <alignment vertical="center"/>
    </xf>
    <xf numFmtId="4" fontId="53" fillId="0" borderId="0" xfId="0" applyFont="1" applyFill="1" applyAlignment="1"/>
    <xf numFmtId="4" fontId="53" fillId="0" borderId="0" xfId="0" applyNumberFormat="1" applyFont="1" applyFill="1" applyAlignment="1"/>
    <xf numFmtId="4" fontId="53" fillId="0" borderId="0" xfId="0" applyFont="1" applyFill="1" applyBorder="1" applyAlignment="1"/>
    <xf numFmtId="4" fontId="32" fillId="0" borderId="0" xfId="0" applyFont="1" applyFill="1" applyAlignment="1">
      <alignment horizontal="center"/>
    </xf>
    <xf numFmtId="4" fontId="34" fillId="0" borderId="19" xfId="0" applyFont="1" applyBorder="1" applyAlignment="1">
      <alignment vertical="center"/>
    </xf>
    <xf numFmtId="4" fontId="34" fillId="6" borderId="5" xfId="0" applyFont="1" applyFill="1" applyBorder="1" applyAlignment="1">
      <alignment vertical="center"/>
    </xf>
    <xf numFmtId="4" fontId="53" fillId="0" borderId="42" xfId="0" applyNumberFormat="1" applyFont="1" applyBorder="1" applyAlignment="1">
      <alignment vertical="center"/>
    </xf>
    <xf numFmtId="4" fontId="53" fillId="0" borderId="2" xfId="0" applyNumberFormat="1" applyFont="1" applyBorder="1" applyAlignment="1">
      <alignment vertical="top"/>
    </xf>
    <xf numFmtId="4" fontId="34" fillId="14" borderId="5" xfId="0" applyFont="1" applyFill="1" applyBorder="1" applyAlignment="1">
      <alignment horizontal="center" vertical="center" wrapText="1"/>
    </xf>
    <xf numFmtId="4" fontId="34" fillId="0" borderId="0" xfId="0" applyFont="1" applyAlignment="1">
      <alignment horizontal="center"/>
    </xf>
    <xf numFmtId="4" fontId="37" fillId="0" borderId="19" xfId="0" applyFont="1" applyBorder="1" applyAlignment="1">
      <alignment horizontal="center" vertical="center" wrapText="1"/>
    </xf>
    <xf numFmtId="4" fontId="41" fillId="0" borderId="19" xfId="0" applyNumberFormat="1" applyFont="1" applyBorder="1" applyAlignment="1">
      <alignment horizontal="right" vertical="center" wrapText="1"/>
    </xf>
    <xf numFmtId="4" fontId="41" fillId="0" borderId="19" xfId="0" applyFont="1" applyBorder="1" applyAlignment="1">
      <alignment horizontal="right" vertical="center" wrapText="1"/>
    </xf>
    <xf numFmtId="4" fontId="37" fillId="0" borderId="4" xfId="0" applyFont="1" applyBorder="1" applyAlignment="1">
      <alignment horizontal="center" vertical="center" wrapText="1"/>
    </xf>
    <xf numFmtId="4" fontId="41" fillId="0" borderId="4" xfId="0" applyNumberFormat="1" applyFont="1" applyBorder="1" applyAlignment="1">
      <alignment horizontal="right" vertical="center" wrapText="1"/>
    </xf>
    <xf numFmtId="4" fontId="37" fillId="0" borderId="64" xfId="0" applyFont="1" applyBorder="1" applyAlignment="1">
      <alignment horizontal="center" vertical="center" wrapText="1"/>
    </xf>
    <xf numFmtId="4" fontId="41" fillId="0" borderId="64" xfId="0" applyNumberFormat="1" applyFont="1" applyBorder="1" applyAlignment="1">
      <alignment horizontal="right" vertical="center" wrapText="1"/>
    </xf>
    <xf numFmtId="4" fontId="37" fillId="0" borderId="2" xfId="0" applyFont="1" applyBorder="1" applyAlignment="1">
      <alignment horizontal="center" vertical="center" wrapText="1"/>
    </xf>
    <xf numFmtId="4" fontId="41" fillId="0" borderId="2" xfId="0" applyNumberFormat="1" applyFont="1" applyBorder="1" applyAlignment="1">
      <alignment horizontal="right" vertical="center" wrapText="1"/>
    </xf>
    <xf numFmtId="4" fontId="41" fillId="14" borderId="5" xfId="0" applyNumberFormat="1" applyFont="1" applyFill="1" applyBorder="1" applyAlignment="1">
      <alignment horizontal="right" vertical="center" wrapText="1"/>
    </xf>
    <xf numFmtId="4" fontId="62" fillId="0" borderId="0" xfId="0" applyFont="1" applyAlignment="1"/>
    <xf numFmtId="4" fontId="26" fillId="13" borderId="51" xfId="0" applyFont="1" applyFill="1" applyBorder="1" applyAlignment="1">
      <alignment horizontal="center" vertical="center"/>
    </xf>
    <xf numFmtId="164" fontId="37" fillId="0" borderId="2" xfId="0" applyNumberFormat="1" applyFont="1" applyBorder="1" applyAlignment="1">
      <alignment horizontal="center" vertical="center" wrapText="1"/>
    </xf>
    <xf numFmtId="164" fontId="37" fillId="0" borderId="51" xfId="0" applyNumberFormat="1" applyFont="1" applyBorder="1" applyAlignment="1">
      <alignment horizontal="center" vertical="center" wrapText="1"/>
    </xf>
    <xf numFmtId="164" fontId="37" fillId="0" borderId="4" xfId="0" applyNumberFormat="1" applyFont="1" applyBorder="1" applyAlignment="1">
      <alignment horizontal="center" vertical="center" wrapText="1"/>
    </xf>
    <xf numFmtId="164" fontId="37" fillId="0" borderId="42" xfId="0" applyNumberFormat="1" applyFont="1" applyBorder="1" applyAlignment="1">
      <alignment horizontal="center" vertical="center" wrapText="1"/>
    </xf>
    <xf numFmtId="164" fontId="37" fillId="0" borderId="44" xfId="0" applyNumberFormat="1" applyFont="1" applyBorder="1" applyAlignment="1">
      <alignment horizontal="center" vertical="center" wrapText="1"/>
    </xf>
    <xf numFmtId="164" fontId="37" fillId="0" borderId="3" xfId="0" applyNumberFormat="1" applyFont="1" applyBorder="1" applyAlignment="1">
      <alignment horizontal="center" vertical="center" wrapText="1"/>
    </xf>
    <xf numFmtId="164" fontId="37" fillId="0" borderId="64" xfId="0" applyNumberFormat="1" applyFont="1" applyBorder="1" applyAlignment="1">
      <alignment horizontal="center" vertical="center" wrapText="1"/>
    </xf>
    <xf numFmtId="164" fontId="37" fillId="0" borderId="19" xfId="0" applyNumberFormat="1" applyFont="1" applyBorder="1" applyAlignment="1">
      <alignment horizontal="center" vertical="center" wrapText="1"/>
    </xf>
    <xf numFmtId="164" fontId="41" fillId="0" borderId="42" xfId="0" applyNumberFormat="1" applyFont="1" applyBorder="1" applyAlignment="1">
      <alignment horizontal="center" vertical="center" wrapText="1"/>
    </xf>
    <xf numFmtId="164" fontId="41" fillId="0" borderId="64" xfId="0" applyNumberFormat="1" applyFont="1" applyBorder="1" applyAlignment="1">
      <alignment horizontal="center" vertical="center" wrapText="1"/>
    </xf>
    <xf numFmtId="164" fontId="29" fillId="0" borderId="3" xfId="0" applyNumberFormat="1" applyFont="1" applyBorder="1" applyAlignment="1">
      <alignment horizontal="center" vertical="center" wrapText="1"/>
    </xf>
    <xf numFmtId="164" fontId="29" fillId="0" borderId="4" xfId="0" applyNumberFormat="1" applyFont="1" applyBorder="1" applyAlignment="1">
      <alignment horizontal="center" vertical="center" wrapText="1"/>
    </xf>
    <xf numFmtId="164" fontId="29" fillId="0" borderId="19" xfId="0" applyNumberFormat="1" applyFont="1" applyBorder="1" applyAlignment="1">
      <alignment horizontal="center" vertical="center" wrapText="1"/>
    </xf>
    <xf numFmtId="164" fontId="29" fillId="0" borderId="64" xfId="0" applyNumberFormat="1" applyFont="1" applyBorder="1" applyAlignment="1">
      <alignment horizontal="center" vertical="center" wrapText="1"/>
    </xf>
    <xf numFmtId="4" fontId="26" fillId="13" borderId="6" xfId="0" applyFont="1" applyFill="1" applyBorder="1" applyAlignment="1">
      <alignment horizontal="left" vertical="center"/>
    </xf>
    <xf numFmtId="4" fontId="53" fillId="0" borderId="19" xfId="0" applyNumberFormat="1" applyFont="1" applyBorder="1" applyAlignment="1">
      <alignment vertical="center"/>
    </xf>
    <xf numFmtId="4" fontId="53" fillId="0" borderId="3" xfId="0" applyNumberFormat="1" applyFont="1" applyBorder="1" applyAlignment="1">
      <alignment vertical="center"/>
    </xf>
    <xf numFmtId="0" fontId="53" fillId="0" borderId="2" xfId="0" applyNumberFormat="1" applyFont="1" applyBorder="1" applyAlignment="1">
      <alignment vertical="center"/>
    </xf>
    <xf numFmtId="4" fontId="53" fillId="0" borderId="43" xfId="0" applyNumberFormat="1" applyFont="1" applyBorder="1" applyAlignment="1">
      <alignment vertical="center"/>
    </xf>
    <xf numFmtId="4" fontId="53" fillId="0" borderId="61" xfId="0" applyNumberFormat="1" applyFont="1" applyBorder="1" applyAlignment="1">
      <alignment vertical="center"/>
    </xf>
    <xf numFmtId="4" fontId="53" fillId="0" borderId="64" xfId="0" applyNumberFormat="1" applyFont="1" applyBorder="1" applyAlignment="1">
      <alignment vertical="center"/>
    </xf>
    <xf numFmtId="4" fontId="64" fillId="0" borderId="0" xfId="0" applyFont="1" applyAlignment="1"/>
    <xf numFmtId="4" fontId="65" fillId="0" borderId="19" xfId="0" applyNumberFormat="1" applyFont="1" applyBorder="1" applyAlignment="1">
      <alignment horizontal="right" vertical="center" wrapText="1"/>
    </xf>
    <xf numFmtId="4" fontId="65" fillId="0" borderId="3" xfId="0" applyNumberFormat="1" applyFont="1" applyBorder="1" applyAlignment="1">
      <alignment horizontal="right" vertical="center" wrapText="1"/>
    </xf>
    <xf numFmtId="4" fontId="65" fillId="0" borderId="42" xfId="0" applyNumberFormat="1" applyFont="1" applyBorder="1" applyAlignment="1">
      <alignment horizontal="right" vertical="center" wrapText="1"/>
    </xf>
    <xf numFmtId="4" fontId="12" fillId="0" borderId="0" xfId="0" applyFont="1" applyAlignment="1"/>
    <xf numFmtId="4" fontId="34" fillId="13" borderId="45" xfId="0" applyFont="1" applyFill="1" applyBorder="1" applyAlignment="1">
      <alignment horizontal="left" vertical="center"/>
    </xf>
    <xf numFmtId="4" fontId="26" fillId="13" borderId="1" xfId="0" applyFont="1" applyFill="1" applyBorder="1" applyAlignment="1">
      <alignment horizontal="left" vertical="center"/>
    </xf>
    <xf numFmtId="14" fontId="26" fillId="13" borderId="1" xfId="0" applyNumberFormat="1" applyFont="1" applyFill="1" applyBorder="1" applyAlignment="1">
      <alignment horizontal="left" vertical="center"/>
    </xf>
    <xf numFmtId="43" fontId="26" fillId="13" borderId="33" xfId="0" applyNumberFormat="1" applyFont="1" applyFill="1" applyBorder="1" applyAlignment="1">
      <alignment horizontal="left" vertical="center"/>
    </xf>
    <xf numFmtId="4" fontId="17" fillId="2" borderId="5" xfId="0" applyFont="1" applyFill="1" applyBorder="1" applyAlignment="1">
      <alignment horizontal="center" vertical="center" wrapText="1"/>
    </xf>
    <xf numFmtId="4" fontId="25" fillId="0" borderId="2" xfId="0" applyFont="1" applyBorder="1" applyAlignment="1">
      <alignment vertical="center" wrapText="1"/>
    </xf>
    <xf numFmtId="4" fontId="25" fillId="0" borderId="19" xfId="0" applyNumberFormat="1" applyFont="1" applyBorder="1" applyAlignment="1">
      <alignment horizontal="right" vertical="center" wrapText="1"/>
    </xf>
    <xf numFmtId="4" fontId="24" fillId="0" borderId="19" xfId="0" applyNumberFormat="1" applyFont="1" applyBorder="1" applyAlignment="1">
      <alignment horizontal="right" vertical="center" wrapText="1"/>
    </xf>
    <xf numFmtId="4" fontId="25" fillId="0" borderId="51" xfId="0" applyFont="1" applyBorder="1" applyAlignment="1">
      <alignment vertical="center" wrapText="1"/>
    </xf>
    <xf numFmtId="4" fontId="25" fillId="0" borderId="51" xfId="0" applyNumberFormat="1" applyFont="1" applyBorder="1" applyAlignment="1">
      <alignment horizontal="right" vertical="center" wrapText="1"/>
    </xf>
    <xf numFmtId="4" fontId="24" fillId="0" borderId="51" xfId="0" applyNumberFormat="1" applyFont="1" applyBorder="1" applyAlignment="1">
      <alignment horizontal="right" vertical="center" wrapText="1"/>
    </xf>
    <xf numFmtId="14" fontId="24" fillId="0" borderId="4" xfId="0" applyNumberFormat="1" applyFont="1" applyBorder="1" applyAlignment="1">
      <alignment horizontal="center" vertical="center" wrapText="1"/>
    </xf>
    <xf numFmtId="4" fontId="25" fillId="4" borderId="5" xfId="0" applyFont="1" applyFill="1" applyBorder="1" applyAlignment="1">
      <alignment vertical="center" wrapText="1"/>
    </xf>
    <xf numFmtId="4" fontId="25" fillId="2" borderId="5" xfId="0" applyNumberFormat="1" applyFont="1" applyFill="1" applyBorder="1" applyAlignment="1">
      <alignment horizontal="right" vertical="center" wrapText="1"/>
    </xf>
    <xf numFmtId="4" fontId="25" fillId="0" borderId="51" xfId="0" applyFont="1" applyBorder="1" applyAlignment="1">
      <alignment horizontal="right" vertical="center" wrapText="1"/>
    </xf>
    <xf numFmtId="4" fontId="30" fillId="0" borderId="44" xfId="0" applyFont="1" applyBorder="1" applyAlignment="1">
      <alignment vertical="center" wrapText="1"/>
    </xf>
    <xf numFmtId="4" fontId="30" fillId="0" borderId="44" xfId="0" applyNumberFormat="1" applyFont="1" applyBorder="1" applyAlignment="1">
      <alignment horizontal="right" vertical="center" wrapText="1"/>
    </xf>
    <xf numFmtId="14" fontId="30" fillId="0" borderId="44" xfId="0" applyNumberFormat="1" applyFont="1" applyBorder="1" applyAlignment="1">
      <alignment horizontal="center" vertical="center" wrapText="1"/>
    </xf>
    <xf numFmtId="4" fontId="30" fillId="0" borderId="51" xfId="0" applyFont="1" applyBorder="1" applyAlignment="1">
      <alignment vertical="center" wrapText="1"/>
    </xf>
    <xf numFmtId="4" fontId="30" fillId="0" borderId="51" xfId="0" applyNumberFormat="1" applyFont="1" applyBorder="1" applyAlignment="1">
      <alignment horizontal="right" vertical="center" wrapText="1"/>
    </xf>
    <xf numFmtId="14" fontId="30" fillId="0" borderId="51" xfId="0" applyNumberFormat="1" applyFont="1" applyBorder="1" applyAlignment="1">
      <alignment horizontal="center" vertical="center" wrapText="1"/>
    </xf>
    <xf numFmtId="4" fontId="30" fillId="0" borderId="19" xfId="0" applyFont="1" applyBorder="1" applyAlignment="1">
      <alignment vertical="center" wrapText="1"/>
    </xf>
    <xf numFmtId="4" fontId="30" fillId="0" borderId="19" xfId="0" applyNumberFormat="1" applyFont="1" applyBorder="1" applyAlignment="1">
      <alignment horizontal="right" vertical="center" wrapText="1"/>
    </xf>
    <xf numFmtId="14" fontId="30" fillId="0" borderId="19" xfId="0" applyNumberFormat="1" applyFont="1" applyBorder="1" applyAlignment="1">
      <alignment horizontal="center" vertical="center" wrapText="1"/>
    </xf>
    <xf numFmtId="4" fontId="30" fillId="0" borderId="42" xfId="0" applyFont="1" applyBorder="1" applyAlignment="1">
      <alignment vertical="center" wrapText="1"/>
    </xf>
    <xf numFmtId="4" fontId="30" fillId="0" borderId="42" xfId="0" applyNumberFormat="1" applyFont="1" applyBorder="1" applyAlignment="1">
      <alignment horizontal="right" vertical="center" wrapText="1"/>
    </xf>
    <xf numFmtId="14" fontId="30" fillId="0" borderId="42" xfId="0" applyNumberFormat="1" applyFont="1" applyBorder="1" applyAlignment="1">
      <alignment horizontal="center" vertical="center" wrapText="1"/>
    </xf>
    <xf numFmtId="4" fontId="30" fillId="0" borderId="51" xfId="0" applyFont="1" applyBorder="1" applyAlignment="1">
      <alignment horizontal="left" vertical="center" wrapText="1"/>
    </xf>
    <xf numFmtId="4" fontId="30" fillId="0" borderId="19" xfId="0" applyFont="1" applyBorder="1" applyAlignment="1">
      <alignment horizontal="left" vertical="center" wrapText="1"/>
    </xf>
    <xf numFmtId="4" fontId="40" fillId="4" borderId="5" xfId="0" applyFont="1" applyFill="1" applyBorder="1" applyAlignment="1">
      <alignment vertical="center" wrapText="1"/>
    </xf>
    <xf numFmtId="14" fontId="26" fillId="13" borderId="2" xfId="0" applyNumberFormat="1" applyFont="1" applyFill="1" applyBorder="1" applyAlignment="1">
      <alignment horizontal="center" vertical="center"/>
    </xf>
    <xf numFmtId="14" fontId="26" fillId="13" borderId="51" xfId="0" applyNumberFormat="1" applyFont="1" applyFill="1" applyBorder="1" applyAlignment="1">
      <alignment horizontal="center" vertical="center"/>
    </xf>
    <xf numFmtId="14" fontId="26" fillId="13" borderId="3" xfId="0" applyNumberFormat="1" applyFont="1" applyFill="1" applyBorder="1" applyAlignment="1">
      <alignment horizontal="center" vertical="center"/>
    </xf>
    <xf numFmtId="4" fontId="66" fillId="0" borderId="0" xfId="0" applyFont="1" applyAlignment="1"/>
    <xf numFmtId="4" fontId="17" fillId="0" borderId="0" xfId="0" applyFont="1" applyFill="1" applyAlignment="1">
      <alignment horizontal="left"/>
    </xf>
    <xf numFmtId="4" fontId="25" fillId="2" borderId="5" xfId="0" applyFont="1" applyFill="1" applyBorder="1" applyAlignment="1">
      <alignment vertical="center"/>
    </xf>
    <xf numFmtId="4" fontId="30" fillId="5" borderId="8" xfId="0" applyFont="1" applyFill="1" applyBorder="1" applyAlignment="1">
      <alignment horizontal="center"/>
    </xf>
    <xf numFmtId="14" fontId="29" fillId="0" borderId="5" xfId="0" applyNumberFormat="1" applyFont="1" applyBorder="1" applyAlignment="1">
      <alignment horizontal="center" vertical="center" wrapText="1"/>
    </xf>
    <xf numFmtId="4" fontId="25" fillId="17" borderId="5" xfId="0" applyNumberFormat="1" applyFont="1" applyFill="1" applyBorder="1" applyAlignment="1">
      <alignment horizontal="right" vertical="center" wrapText="1"/>
    </xf>
    <xf numFmtId="4" fontId="40" fillId="17" borderId="5" xfId="0" applyNumberFormat="1" applyFont="1" applyFill="1" applyBorder="1" applyAlignment="1">
      <alignment horizontal="right" vertical="center" wrapText="1"/>
    </xf>
    <xf numFmtId="3" fontId="6" fillId="0" borderId="14" xfId="1" applyFont="1" applyBorder="1" applyAlignment="1">
      <alignment horizontal="left"/>
    </xf>
    <xf numFmtId="3" fontId="6" fillId="0" borderId="15" xfId="1" applyFont="1" applyBorder="1" applyAlignment="1">
      <alignment horizontal="left"/>
    </xf>
    <xf numFmtId="4" fontId="19" fillId="3" borderId="5" xfId="0" applyFont="1" applyFill="1" applyBorder="1" applyAlignment="1">
      <alignment horizontal="center"/>
    </xf>
    <xf numFmtId="4" fontId="17" fillId="2" borderId="5" xfId="0" applyFont="1" applyFill="1" applyBorder="1" applyAlignment="1">
      <alignment horizontal="left" vertical="center"/>
    </xf>
    <xf numFmtId="4" fontId="19" fillId="3" borderId="31" xfId="0" applyFont="1" applyFill="1" applyBorder="1" applyAlignment="1">
      <alignment horizontal="center"/>
    </xf>
    <xf numFmtId="4" fontId="19" fillId="3" borderId="5" xfId="0" applyNumberFormat="1" applyFont="1" applyFill="1" applyBorder="1" applyAlignment="1">
      <alignment horizontal="center"/>
    </xf>
    <xf numFmtId="4" fontId="40" fillId="0" borderId="43" xfId="0" applyFont="1" applyBorder="1" applyAlignment="1">
      <alignment horizontal="left" vertical="center" wrapText="1"/>
    </xf>
    <xf numFmtId="4" fontId="16" fillId="0" borderId="0" xfId="0" applyFont="1" applyAlignment="1"/>
    <xf numFmtId="4" fontId="18" fillId="0" borderId="0" xfId="0" applyFont="1" applyBorder="1" applyAlignment="1">
      <alignment horizontal="left" vertical="center" wrapText="1"/>
    </xf>
    <xf numFmtId="4" fontId="32" fillId="14" borderId="5" xfId="0" applyFont="1" applyFill="1" applyBorder="1" applyAlignment="1">
      <alignment horizontal="center"/>
    </xf>
    <xf numFmtId="4" fontId="34" fillId="6" borderId="5" xfId="0" applyFont="1" applyFill="1" applyBorder="1" applyAlignment="1">
      <alignment horizontal="left" vertical="center"/>
    </xf>
    <xf numFmtId="4" fontId="32" fillId="14" borderId="5" xfId="0" applyNumberFormat="1" applyFont="1" applyFill="1" applyBorder="1" applyAlignment="1">
      <alignment horizontal="center"/>
    </xf>
    <xf numFmtId="4" fontId="37" fillId="0" borderId="35" xfId="0" applyFont="1" applyBorder="1" applyAlignment="1">
      <alignment horizontal="left" vertical="center" wrapText="1"/>
    </xf>
    <xf numFmtId="4" fontId="18" fillId="0" borderId="3" xfId="0" applyFont="1" applyBorder="1" applyAlignment="1">
      <alignment horizontal="left" vertical="center" wrapText="1"/>
    </xf>
    <xf numFmtId="4" fontId="29" fillId="0" borderId="0" xfId="0" applyFont="1" applyBorder="1" applyAlignment="1">
      <alignment horizontal="left" vertical="center" wrapText="1"/>
    </xf>
    <xf numFmtId="4" fontId="0" fillId="0" borderId="0" xfId="0" applyBorder="1" applyAlignment="1">
      <alignment horizontal="left" vertical="center" wrapText="1"/>
    </xf>
    <xf numFmtId="4" fontId="25" fillId="0" borderId="35" xfId="0" applyFont="1" applyBorder="1" applyAlignment="1">
      <alignment horizontal="left" vertical="center" wrapText="1"/>
    </xf>
    <xf numFmtId="4" fontId="25" fillId="0" borderId="58" xfId="0" applyFont="1" applyBorder="1" applyAlignment="1">
      <alignment horizontal="left" vertical="center" wrapText="1"/>
    </xf>
    <xf numFmtId="4" fontId="25" fillId="0" borderId="70" xfId="0" applyFont="1" applyBorder="1" applyAlignment="1">
      <alignment horizontal="left" vertical="center" wrapText="1"/>
    </xf>
    <xf numFmtId="4" fontId="25" fillId="0" borderId="48" xfId="0" applyFont="1" applyBorder="1" applyAlignment="1">
      <alignment horizontal="left" vertical="center" wrapText="1"/>
    </xf>
    <xf numFmtId="4" fontId="24" fillId="4" borderId="33" xfId="0" applyFont="1" applyFill="1" applyBorder="1" applyAlignment="1">
      <alignment horizontal="center" vertical="center" wrapText="1"/>
    </xf>
    <xf numFmtId="4" fontId="25" fillId="0" borderId="0" xfId="0" applyFont="1" applyBorder="1" applyAlignment="1">
      <alignment horizontal="left" vertical="center" wrapText="1"/>
    </xf>
    <xf numFmtId="4" fontId="28" fillId="0" borderId="0" xfId="0" applyFont="1" applyAlignment="1">
      <alignment horizontal="center"/>
    </xf>
    <xf numFmtId="3" fontId="4" fillId="5" borderId="18" xfId="0" applyNumberFormat="1" applyFont="1" applyFill="1" applyBorder="1">
      <alignment vertical="top"/>
    </xf>
    <xf numFmtId="3" fontId="4" fillId="5" borderId="19" xfId="0" applyNumberFormat="1" applyFont="1" applyFill="1" applyBorder="1">
      <alignment vertical="top"/>
    </xf>
    <xf numFmtId="4" fontId="8" fillId="5" borderId="2" xfId="1" applyNumberFormat="1" applyFont="1" applyFill="1" applyBorder="1"/>
    <xf numFmtId="3" fontId="7" fillId="0" borderId="5" xfId="1" applyNumberFormat="1" applyFont="1" applyFill="1" applyBorder="1" applyAlignment="1"/>
    <xf numFmtId="3" fontId="4" fillId="5" borderId="14" xfId="0" applyNumberFormat="1" applyFont="1" applyFill="1" applyBorder="1">
      <alignment vertical="top"/>
    </xf>
    <xf numFmtId="3" fontId="4" fillId="5" borderId="3" xfId="0" applyNumberFormat="1" applyFont="1" applyFill="1" applyBorder="1">
      <alignment vertical="top"/>
    </xf>
    <xf numFmtId="4" fontId="8" fillId="5" borderId="3" xfId="1" applyNumberFormat="1" applyFont="1" applyFill="1" applyBorder="1"/>
    <xf numFmtId="3" fontId="4" fillId="5" borderId="12" xfId="0" applyNumberFormat="1" applyFont="1" applyFill="1" applyBorder="1">
      <alignment vertical="top"/>
    </xf>
    <xf numFmtId="3" fontId="4" fillId="5" borderId="4" xfId="0" applyNumberFormat="1" applyFont="1" applyFill="1" applyBorder="1">
      <alignment vertical="top"/>
    </xf>
    <xf numFmtId="4" fontId="8" fillId="5" borderId="4" xfId="1" applyNumberFormat="1" applyFont="1" applyFill="1" applyBorder="1"/>
    <xf numFmtId="4" fontId="12" fillId="0" borderId="0" xfId="0" applyFont="1" applyAlignment="1">
      <alignment horizontal="center" vertical="top"/>
    </xf>
    <xf numFmtId="49" fontId="11" fillId="2" borderId="5" xfId="1" applyNumberFormat="1" applyFont="1" applyFill="1" applyBorder="1" applyAlignment="1">
      <alignment horizontal="center"/>
    </xf>
    <xf numFmtId="3" fontId="69" fillId="3" borderId="5" xfId="1" applyFont="1" applyFill="1" applyBorder="1" applyAlignment="1">
      <alignment horizontal="center"/>
    </xf>
    <xf numFmtId="49" fontId="69" fillId="3" borderId="5" xfId="1" applyNumberFormat="1" applyFont="1" applyFill="1" applyBorder="1" applyAlignment="1">
      <alignment horizontal="center"/>
    </xf>
    <xf numFmtId="3" fontId="69" fillId="3" borderId="5" xfId="1" applyNumberFormat="1" applyFont="1" applyFill="1" applyBorder="1"/>
    <xf numFmtId="4" fontId="11" fillId="3" borderId="5" xfId="1" applyNumberFormat="1" applyFont="1" applyFill="1" applyBorder="1"/>
    <xf numFmtId="3" fontId="69" fillId="0" borderId="5" xfId="1" applyFont="1" applyBorder="1" applyAlignment="1">
      <alignment horizontal="center"/>
    </xf>
    <xf numFmtId="49" fontId="69" fillId="0" borderId="5" xfId="1" applyNumberFormat="1" applyFont="1" applyFill="1" applyBorder="1" applyAlignment="1">
      <alignment horizontal="center"/>
    </xf>
    <xf numFmtId="3" fontId="11" fillId="0" borderId="5" xfId="1" applyNumberFormat="1" applyFont="1" applyBorder="1" applyAlignment="1">
      <alignment horizontal="right"/>
    </xf>
    <xf numFmtId="4" fontId="11" fillId="0" borderId="5" xfId="1" applyNumberFormat="1" applyFont="1" applyFill="1" applyBorder="1"/>
    <xf numFmtId="3" fontId="69" fillId="0" borderId="5" xfId="1" applyNumberFormat="1" applyFont="1" applyBorder="1"/>
    <xf numFmtId="3" fontId="11" fillId="0" borderId="5" xfId="1" applyNumberFormat="1" applyFont="1" applyBorder="1"/>
    <xf numFmtId="3" fontId="70" fillId="0" borderId="5" xfId="1" applyFont="1" applyBorder="1" applyAlignment="1">
      <alignment horizontal="center"/>
    </xf>
    <xf numFmtId="3" fontId="70" fillId="0" borderId="5" xfId="1" applyNumberFormat="1" applyFont="1" applyBorder="1" applyAlignment="1">
      <alignment horizontal="right"/>
    </xf>
    <xf numFmtId="3" fontId="69" fillId="0" borderId="5" xfId="1" applyFont="1" applyBorder="1" applyAlignment="1">
      <alignment horizontal="left"/>
    </xf>
    <xf numFmtId="3" fontId="70" fillId="0" borderId="5" xfId="1" applyFont="1" applyBorder="1" applyAlignment="1">
      <alignment horizontal="left"/>
    </xf>
    <xf numFmtId="3" fontId="11" fillId="3" borderId="5" xfId="1" applyNumberFormat="1" applyFont="1" applyFill="1" applyBorder="1" applyAlignment="1">
      <alignment horizontal="right"/>
    </xf>
    <xf numFmtId="3" fontId="69" fillId="3" borderId="5" xfId="1" applyNumberFormat="1" applyFont="1" applyFill="1" applyBorder="1" applyAlignment="1">
      <alignment horizontal="right"/>
    </xf>
    <xf numFmtId="3" fontId="69" fillId="0" borderId="5" xfId="1" applyNumberFormat="1" applyFont="1" applyBorder="1" applyAlignment="1">
      <alignment horizontal="right"/>
    </xf>
    <xf numFmtId="3" fontId="11" fillId="0" borderId="5" xfId="1" applyNumberFormat="1" applyFont="1" applyFill="1" applyBorder="1"/>
    <xf numFmtId="3" fontId="11" fillId="0" borderId="5" xfId="1" applyNumberFormat="1" applyFont="1" applyFill="1" applyBorder="1" applyAlignment="1">
      <alignment horizontal="right"/>
    </xf>
    <xf numFmtId="3" fontId="69" fillId="0" borderId="5" xfId="1" applyNumberFormat="1" applyFont="1" applyBorder="1" applyAlignment="1"/>
    <xf numFmtId="3" fontId="11" fillId="0" borderId="5" xfId="1" applyNumberFormat="1" applyFont="1" applyBorder="1" applyAlignment="1"/>
    <xf numFmtId="4" fontId="71" fillId="0" borderId="5" xfId="1" applyNumberFormat="1" applyFont="1" applyFill="1" applyBorder="1"/>
    <xf numFmtId="3" fontId="71" fillId="0" borderId="5" xfId="1" applyNumberFormat="1" applyFont="1" applyFill="1" applyBorder="1" applyAlignment="1">
      <alignment horizontal="center"/>
    </xf>
    <xf numFmtId="3" fontId="11" fillId="0" borderId="5" xfId="0" applyNumberFormat="1" applyFont="1" applyBorder="1" applyAlignment="1">
      <alignment horizontal="right" vertical="top"/>
    </xf>
    <xf numFmtId="3" fontId="11" fillId="0" borderId="5" xfId="0" applyNumberFormat="1" applyFont="1" applyBorder="1">
      <alignment vertical="top"/>
    </xf>
    <xf numFmtId="3" fontId="69" fillId="0" borderId="5" xfId="1" applyNumberFormat="1" applyFont="1" applyFill="1" applyBorder="1"/>
    <xf numFmtId="3" fontId="69" fillId="3" borderId="5" xfId="1" applyFont="1" applyFill="1" applyBorder="1" applyAlignment="1">
      <alignment horizontal="left"/>
    </xf>
    <xf numFmtId="4" fontId="71" fillId="3" borderId="5" xfId="1" applyNumberFormat="1" applyFont="1" applyFill="1" applyBorder="1"/>
    <xf numFmtId="3" fontId="72" fillId="0" borderId="5" xfId="1" applyFont="1" applyBorder="1" applyAlignment="1">
      <alignment horizontal="center"/>
    </xf>
    <xf numFmtId="49" fontId="72" fillId="0" borderId="5" xfId="1" applyNumberFormat="1" applyFont="1" applyBorder="1" applyAlignment="1">
      <alignment horizontal="center"/>
    </xf>
    <xf numFmtId="3" fontId="73" fillId="0" borderId="5" xfId="0" applyNumberFormat="1" applyFont="1" applyBorder="1">
      <alignment vertical="top"/>
    </xf>
    <xf numFmtId="3" fontId="72" fillId="5" borderId="5" xfId="1" applyNumberFormat="1" applyFont="1" applyFill="1" applyBorder="1" applyAlignment="1"/>
    <xf numFmtId="4" fontId="72" fillId="0" borderId="5" xfId="1" applyNumberFormat="1" applyFont="1" applyBorder="1" applyAlignment="1">
      <alignment horizontal="center"/>
    </xf>
    <xf numFmtId="3" fontId="72" fillId="5" borderId="5" xfId="1" applyNumberFormat="1" applyFont="1" applyFill="1" applyBorder="1" applyAlignment="1">
      <alignment horizontal="right"/>
    </xf>
    <xf numFmtId="4" fontId="6" fillId="3" borderId="5" xfId="1" applyNumberFormat="1" applyFont="1" applyFill="1" applyBorder="1"/>
    <xf numFmtId="4" fontId="5" fillId="0" borderId="2" xfId="1" applyNumberFormat="1" applyFont="1" applyBorder="1"/>
    <xf numFmtId="4" fontId="5" fillId="0" borderId="30" xfId="1" applyNumberFormat="1" applyFont="1" applyBorder="1"/>
    <xf numFmtId="4" fontId="8" fillId="0" borderId="3" xfId="1" applyNumberFormat="1" applyFont="1" applyFill="1" applyBorder="1" applyAlignment="1">
      <alignment horizontal="right"/>
    </xf>
    <xf numFmtId="4" fontId="8" fillId="0" borderId="15" xfId="1" applyNumberFormat="1" applyFont="1" applyFill="1" applyBorder="1" applyAlignment="1">
      <alignment horizontal="right"/>
    </xf>
    <xf numFmtId="4" fontId="7" fillId="0" borderId="5" xfId="1" applyNumberFormat="1" applyFont="1" applyFill="1" applyBorder="1" applyAlignment="1"/>
    <xf numFmtId="3" fontId="11" fillId="0" borderId="0" xfId="1" applyFont="1" applyFill="1" applyBorder="1" applyAlignment="1"/>
    <xf numFmtId="3" fontId="71" fillId="0" borderId="0" xfId="1" applyFont="1" applyFill="1" applyBorder="1"/>
    <xf numFmtId="4" fontId="71" fillId="0" borderId="0" xfId="1" applyNumberFormat="1" applyFont="1" applyFill="1" applyBorder="1"/>
    <xf numFmtId="49" fontId="7" fillId="0" borderId="5" xfId="1" applyNumberFormat="1" applyFont="1" applyBorder="1" applyAlignment="1">
      <alignment horizontal="center"/>
    </xf>
    <xf numFmtId="3" fontId="15" fillId="0" borderId="5" xfId="0" applyNumberFormat="1" applyFont="1" applyBorder="1">
      <alignment vertical="top"/>
    </xf>
    <xf numFmtId="3" fontId="7" fillId="5" borderId="5" xfId="1" applyNumberFormat="1" applyFont="1" applyFill="1" applyBorder="1" applyAlignment="1"/>
    <xf numFmtId="3" fontId="7" fillId="5" borderId="5" xfId="1" applyNumberFormat="1" applyFont="1" applyFill="1" applyBorder="1" applyAlignment="1">
      <alignment horizontal="center"/>
    </xf>
    <xf numFmtId="4" fontId="74" fillId="0" borderId="0" xfId="0" applyFont="1">
      <alignment vertical="top"/>
    </xf>
    <xf numFmtId="4" fontId="75" fillId="0" borderId="0" xfId="0" applyFont="1">
      <alignment vertical="top"/>
    </xf>
    <xf numFmtId="3" fontId="6" fillId="0" borderId="5" xfId="1" applyNumberFormat="1" applyFont="1" applyFill="1" applyBorder="1" applyProtection="1"/>
    <xf numFmtId="3" fontId="5" fillId="0" borderId="5" xfId="1" applyNumberFormat="1" applyFont="1" applyBorder="1" applyProtection="1">
      <protection locked="0"/>
    </xf>
    <xf numFmtId="3" fontId="5" fillId="0" borderId="5" xfId="1" applyNumberFormat="1" applyFont="1" applyBorder="1" applyProtection="1"/>
    <xf numFmtId="3" fontId="6" fillId="0" borderId="5" xfId="1" applyNumberFormat="1" applyFont="1" applyBorder="1" applyAlignment="1" applyProtection="1">
      <alignment horizontal="right"/>
    </xf>
    <xf numFmtId="3" fontId="5" fillId="0" borderId="5" xfId="1" applyNumberFormat="1" applyFont="1" applyBorder="1" applyAlignment="1" applyProtection="1">
      <alignment horizontal="right"/>
      <protection locked="0"/>
    </xf>
    <xf numFmtId="3" fontId="5" fillId="0" borderId="5" xfId="1" applyNumberFormat="1" applyFont="1" applyBorder="1" applyAlignment="1" applyProtection="1">
      <alignment horizontal="right"/>
    </xf>
    <xf numFmtId="3" fontId="5" fillId="0" borderId="5" xfId="1" applyNumberFormat="1" applyFont="1" applyFill="1" applyBorder="1" applyProtection="1">
      <protection locked="0"/>
    </xf>
    <xf numFmtId="3" fontId="5" fillId="0" borderId="5" xfId="1" applyNumberFormat="1" applyFont="1" applyFill="1" applyBorder="1" applyProtection="1"/>
    <xf numFmtId="3" fontId="6" fillId="0" borderId="5" xfId="1" applyNumberFormat="1" applyFont="1" applyBorder="1" applyAlignment="1" applyProtection="1"/>
    <xf numFmtId="3" fontId="5" fillId="0" borderId="5" xfId="1" applyNumberFormat="1" applyFont="1" applyBorder="1" applyAlignment="1" applyProtection="1"/>
    <xf numFmtId="3" fontId="5" fillId="0" borderId="5" xfId="1" applyNumberFormat="1" applyFont="1" applyBorder="1" applyAlignment="1" applyProtection="1">
      <protection locked="0"/>
    </xf>
    <xf numFmtId="3" fontId="6" fillId="0" borderId="5" xfId="1" applyNumberFormat="1" applyFont="1" applyFill="1" applyBorder="1" applyAlignment="1" applyProtection="1">
      <alignment horizontal="right"/>
    </xf>
    <xf numFmtId="3" fontId="5" fillId="0" borderId="5" xfId="1" applyNumberFormat="1" applyFont="1" applyFill="1" applyBorder="1" applyAlignment="1" applyProtection="1">
      <alignment horizontal="right"/>
      <protection locked="0"/>
    </xf>
    <xf numFmtId="3" fontId="5" fillId="0" borderId="5" xfId="1" applyNumberFormat="1" applyFont="1" applyFill="1" applyBorder="1" applyAlignment="1" applyProtection="1">
      <alignment horizontal="right"/>
    </xf>
    <xf numFmtId="3" fontId="5" fillId="0" borderId="5" xfId="0" applyNumberFormat="1" applyFont="1" applyBorder="1" applyAlignment="1" applyProtection="1">
      <alignment horizontal="right" vertical="top"/>
      <protection locked="0"/>
    </xf>
    <xf numFmtId="3" fontId="5" fillId="0" borderId="5" xfId="0" applyNumberFormat="1" applyFont="1" applyBorder="1" applyAlignment="1" applyProtection="1">
      <alignment horizontal="right" vertical="top"/>
    </xf>
    <xf numFmtId="3" fontId="5" fillId="0" borderId="5" xfId="0" applyNumberFormat="1" applyFont="1" applyBorder="1" applyProtection="1">
      <alignment vertical="top"/>
    </xf>
    <xf numFmtId="3" fontId="5" fillId="0" borderId="5" xfId="0" applyNumberFormat="1" applyFont="1" applyBorder="1" applyProtection="1">
      <alignment vertical="top"/>
      <protection locked="0"/>
    </xf>
    <xf numFmtId="4" fontId="5" fillId="3" borderId="1" xfId="1" applyNumberFormat="1" applyFont="1" applyFill="1" applyBorder="1" applyAlignment="1">
      <alignment horizontal="right"/>
    </xf>
    <xf numFmtId="3" fontId="15" fillId="0" borderId="50" xfId="0" applyNumberFormat="1" applyFont="1" applyBorder="1">
      <alignment vertical="top"/>
    </xf>
    <xf numFmtId="4" fontId="8" fillId="0" borderId="31" xfId="1" applyNumberFormat="1" applyFont="1" applyFill="1" applyBorder="1"/>
    <xf numFmtId="3" fontId="15" fillId="0" borderId="58" xfId="0" applyNumberFormat="1" applyFont="1" applyBorder="1">
      <alignment vertical="top"/>
    </xf>
    <xf numFmtId="3" fontId="7" fillId="0" borderId="35" xfId="1" applyNumberFormat="1" applyFont="1" applyFill="1" applyBorder="1" applyAlignment="1"/>
    <xf numFmtId="3" fontId="7" fillId="0" borderId="31" xfId="1" applyNumberFormat="1" applyFont="1" applyFill="1" applyBorder="1" applyAlignment="1"/>
    <xf numFmtId="3" fontId="7" fillId="0" borderId="0" xfId="1" applyNumberFormat="1" applyFont="1" applyFill="1" applyBorder="1" applyAlignment="1"/>
    <xf numFmtId="4" fontId="5" fillId="0" borderId="31" xfId="1" applyNumberFormat="1" applyFont="1" applyFill="1" applyBorder="1"/>
    <xf numFmtId="3" fontId="15" fillId="0" borderId="7" xfId="0" applyNumberFormat="1" applyFont="1" applyBorder="1">
      <alignment vertical="top"/>
    </xf>
    <xf numFmtId="3" fontId="15" fillId="0" borderId="33" xfId="0" applyNumberFormat="1" applyFont="1" applyBorder="1">
      <alignment vertical="top"/>
    </xf>
    <xf numFmtId="3" fontId="7" fillId="0" borderId="7" xfId="1" applyNumberFormat="1" applyFont="1" applyFill="1" applyBorder="1" applyAlignment="1"/>
    <xf numFmtId="3" fontId="7" fillId="0" borderId="32" xfId="1" applyNumberFormat="1" applyFont="1" applyFill="1" applyBorder="1" applyAlignment="1"/>
    <xf numFmtId="3" fontId="7" fillId="0" borderId="33" xfId="1" applyNumberFormat="1" applyFont="1" applyFill="1" applyBorder="1" applyAlignment="1"/>
    <xf numFmtId="3" fontId="15" fillId="0" borderId="60" xfId="0" applyNumberFormat="1" applyFont="1" applyBorder="1">
      <alignment vertical="top"/>
    </xf>
    <xf numFmtId="4" fontId="8" fillId="0" borderId="8" xfId="1" applyNumberFormat="1" applyFont="1" applyFill="1" applyBorder="1"/>
    <xf numFmtId="3" fontId="15" fillId="0" borderId="61" xfId="0" applyNumberFormat="1" applyFont="1" applyBorder="1">
      <alignment vertical="top"/>
    </xf>
    <xf numFmtId="3" fontId="7" fillId="0" borderId="37" xfId="1" applyNumberFormat="1" applyFont="1" applyFill="1" applyBorder="1" applyAlignment="1"/>
    <xf numFmtId="3" fontId="7" fillId="0" borderId="8" xfId="1" applyNumberFormat="1" applyFont="1" applyFill="1" applyBorder="1" applyAlignment="1"/>
    <xf numFmtId="3" fontId="7" fillId="0" borderId="6" xfId="1" applyNumberFormat="1" applyFont="1" applyFill="1" applyBorder="1" applyAlignment="1"/>
    <xf numFmtId="4" fontId="5" fillId="0" borderId="8" xfId="1" applyNumberFormat="1" applyFont="1" applyFill="1" applyBorder="1"/>
    <xf numFmtId="4" fontId="0" fillId="0" borderId="0" xfId="0" applyAlignment="1">
      <alignment vertical="top"/>
    </xf>
    <xf numFmtId="3" fontId="5" fillId="0" borderId="42" xfId="1" applyNumberFormat="1" applyFont="1" applyFill="1" applyBorder="1"/>
    <xf numFmtId="3" fontId="5" fillId="0" borderId="10" xfId="1" applyNumberFormat="1" applyFont="1" applyFill="1" applyBorder="1" applyAlignment="1">
      <alignment horizontal="right"/>
    </xf>
    <xf numFmtId="3" fontId="5" fillId="0" borderId="10" xfId="0" applyNumberFormat="1" applyFont="1" applyBorder="1" applyAlignment="1">
      <alignment horizontal="right" vertical="top"/>
    </xf>
    <xf numFmtId="3" fontId="5" fillId="0" borderId="10" xfId="1" applyNumberFormat="1" applyFont="1" applyFill="1" applyBorder="1"/>
    <xf numFmtId="3" fontId="6" fillId="7" borderId="8" xfId="1" applyNumberFormat="1" applyFont="1" applyFill="1" applyBorder="1"/>
    <xf numFmtId="2" fontId="7" fillId="0" borderId="5" xfId="1" applyNumberFormat="1" applyFont="1" applyFill="1" applyBorder="1" applyAlignment="1"/>
    <xf numFmtId="2" fontId="5" fillId="0" borderId="1" xfId="1" applyNumberFormat="1" applyFont="1" applyFill="1" applyBorder="1"/>
    <xf numFmtId="3" fontId="6" fillId="0" borderId="26" xfId="1" applyNumberFormat="1" applyFont="1" applyFill="1" applyBorder="1"/>
    <xf numFmtId="3" fontId="6" fillId="0" borderId="2" xfId="1" applyNumberFormat="1" applyFont="1" applyFill="1" applyBorder="1"/>
    <xf numFmtId="3" fontId="9" fillId="0" borderId="14" xfId="1" applyNumberFormat="1" applyFont="1" applyFill="1" applyBorder="1" applyAlignment="1">
      <alignment horizontal="right"/>
    </xf>
    <xf numFmtId="3" fontId="9" fillId="0" borderId="3" xfId="1" applyNumberFormat="1" applyFont="1" applyFill="1" applyBorder="1" applyAlignment="1">
      <alignment horizontal="right"/>
    </xf>
    <xf numFmtId="3" fontId="9" fillId="0" borderId="12" xfId="1" applyNumberFormat="1" applyFont="1" applyFill="1" applyBorder="1" applyAlignment="1">
      <alignment horizontal="right"/>
    </xf>
    <xf numFmtId="3" fontId="9" fillId="0" borderId="4" xfId="1" applyNumberFormat="1" applyFont="1" applyFill="1" applyBorder="1" applyAlignment="1">
      <alignment horizontal="right"/>
    </xf>
    <xf numFmtId="3" fontId="6" fillId="0" borderId="2" xfId="1" applyNumberFormat="1" applyFont="1" applyFill="1" applyBorder="1" applyAlignment="1">
      <alignment horizontal="right"/>
    </xf>
    <xf numFmtId="3" fontId="6" fillId="0" borderId="3" xfId="1" applyNumberFormat="1" applyFont="1" applyFill="1" applyBorder="1" applyAlignment="1">
      <alignment horizontal="right"/>
    </xf>
    <xf numFmtId="3" fontId="6" fillId="0" borderId="3" xfId="1" applyNumberFormat="1" applyFont="1" applyFill="1" applyBorder="1" applyAlignment="1"/>
    <xf numFmtId="3" fontId="5" fillId="0" borderId="14" xfId="0" applyNumberFormat="1" applyFont="1" applyFill="1" applyBorder="1" applyAlignment="1">
      <alignment horizontal="right" vertical="top"/>
    </xf>
    <xf numFmtId="3" fontId="5" fillId="0" borderId="29" xfId="0" applyNumberFormat="1" applyFont="1" applyFill="1" applyBorder="1" applyAlignment="1">
      <alignment vertical="top"/>
    </xf>
    <xf numFmtId="3" fontId="4" fillId="0" borderId="18" xfId="0" applyNumberFormat="1" applyFont="1" applyFill="1" applyBorder="1" applyAlignment="1">
      <alignment vertical="top"/>
    </xf>
    <xf numFmtId="3" fontId="4" fillId="0" borderId="19" xfId="0" applyNumberFormat="1" applyFont="1" applyFill="1" applyBorder="1" applyAlignment="1">
      <alignment vertical="top"/>
    </xf>
    <xf numFmtId="3" fontId="5" fillId="0" borderId="19" xfId="0" applyNumberFormat="1" applyFont="1" applyFill="1" applyBorder="1" applyAlignment="1">
      <alignment vertical="top"/>
    </xf>
    <xf numFmtId="3" fontId="4" fillId="0" borderId="20" xfId="0" applyNumberFormat="1" applyFont="1" applyFill="1" applyBorder="1" applyAlignment="1">
      <alignment vertical="top"/>
    </xf>
    <xf numFmtId="4" fontId="4" fillId="0" borderId="14" xfId="0" applyNumberFormat="1" applyFont="1" applyFill="1" applyBorder="1" applyAlignment="1">
      <alignment vertical="top"/>
    </xf>
    <xf numFmtId="4" fontId="4" fillId="0" borderId="3" xfId="0" applyNumberFormat="1" applyFont="1" applyFill="1" applyBorder="1" applyAlignment="1">
      <alignment vertical="top"/>
    </xf>
    <xf numFmtId="4" fontId="5" fillId="0" borderId="3" xfId="0" applyNumberFormat="1" applyFont="1" applyFill="1" applyBorder="1" applyAlignment="1">
      <alignment vertical="top"/>
    </xf>
    <xf numFmtId="3" fontId="4" fillId="0" borderId="15" xfId="0" applyNumberFormat="1" applyFont="1" applyFill="1" applyBorder="1" applyAlignment="1">
      <alignment vertical="top"/>
    </xf>
    <xf numFmtId="3" fontId="4" fillId="0" borderId="12" xfId="0" applyNumberFormat="1" applyFont="1" applyFill="1" applyBorder="1" applyAlignment="1">
      <alignment vertical="top"/>
    </xf>
    <xf numFmtId="3" fontId="4" fillId="0" borderId="4" xfId="0" applyNumberFormat="1" applyFont="1" applyFill="1" applyBorder="1" applyAlignment="1">
      <alignment vertical="top"/>
    </xf>
    <xf numFmtId="3" fontId="5" fillId="0" borderId="4" xfId="0" applyNumberFormat="1" applyFont="1" applyFill="1" applyBorder="1" applyAlignment="1">
      <alignment vertical="top"/>
    </xf>
    <xf numFmtId="3" fontId="4" fillId="0" borderId="13" xfId="0" applyNumberFormat="1" applyFont="1" applyFill="1" applyBorder="1" applyAlignment="1">
      <alignment vertical="top"/>
    </xf>
    <xf numFmtId="3" fontId="5" fillId="0" borderId="30" xfId="1" applyNumberFormat="1" applyFont="1" applyBorder="1" applyAlignment="1">
      <alignment horizontal="right"/>
    </xf>
    <xf numFmtId="3" fontId="5" fillId="0" borderId="14" xfId="1" applyNumberFormat="1" applyFont="1" applyFill="1" applyBorder="1" applyAlignment="1">
      <alignment horizontal="center"/>
    </xf>
    <xf numFmtId="3" fontId="0" fillId="0" borderId="3" xfId="0" applyNumberFormat="1" applyFont="1" applyBorder="1">
      <alignment vertical="top"/>
    </xf>
    <xf numFmtId="3" fontId="76" fillId="0" borderId="5" xfId="1" applyNumberFormat="1" applyFont="1" applyFill="1" applyBorder="1" applyAlignment="1"/>
    <xf numFmtId="3" fontId="0" fillId="0" borderId="4" xfId="0" applyNumberFormat="1" applyFont="1" applyBorder="1">
      <alignment vertical="top"/>
    </xf>
    <xf numFmtId="4" fontId="27" fillId="0" borderId="0" xfId="0" applyFont="1">
      <alignment vertical="top"/>
    </xf>
    <xf numFmtId="3" fontId="5" fillId="0" borderId="15" xfId="1" applyNumberFormat="1" applyFont="1" applyFill="1" applyBorder="1" applyAlignment="1">
      <alignment horizontal="center"/>
    </xf>
    <xf numFmtId="3" fontId="15" fillId="0" borderId="26" xfId="0" applyNumberFormat="1" applyFont="1" applyBorder="1">
      <alignment vertical="top"/>
    </xf>
    <xf numFmtId="3" fontId="15" fillId="0" borderId="2" xfId="0" applyNumberFormat="1" applyFont="1" applyBorder="1">
      <alignment vertical="top"/>
    </xf>
    <xf numFmtId="3" fontId="15" fillId="0" borderId="30" xfId="0" applyNumberFormat="1" applyFont="1" applyBorder="1">
      <alignment vertical="top"/>
    </xf>
    <xf numFmtId="3" fontId="6" fillId="0" borderId="26" xfId="1" applyNumberFormat="1" applyFont="1" applyFill="1" applyBorder="1" applyAlignment="1"/>
    <xf numFmtId="3" fontId="6" fillId="0" borderId="2" xfId="1" applyNumberFormat="1" applyFont="1" applyFill="1" applyBorder="1" applyAlignment="1"/>
    <xf numFmtId="3" fontId="6" fillId="0" borderId="30" xfId="1" applyNumberFormat="1" applyFont="1" applyFill="1" applyBorder="1" applyAlignment="1"/>
    <xf numFmtId="167" fontId="15" fillId="0" borderId="3" xfId="0" applyNumberFormat="1" applyFont="1" applyBorder="1">
      <alignment vertical="top"/>
    </xf>
    <xf numFmtId="4" fontId="15" fillId="0" borderId="15" xfId="0" applyNumberFormat="1" applyFont="1" applyBorder="1">
      <alignment vertical="top"/>
    </xf>
    <xf numFmtId="3" fontId="6" fillId="0" borderId="15" xfId="1" applyNumberFormat="1" applyFont="1" applyFill="1" applyBorder="1" applyAlignment="1"/>
    <xf numFmtId="3" fontId="6" fillId="0" borderId="12" xfId="1" applyNumberFormat="1" applyFont="1" applyFill="1" applyBorder="1" applyAlignment="1"/>
    <xf numFmtId="3" fontId="6" fillId="0" borderId="4" xfId="1" applyNumberFormat="1" applyFont="1" applyFill="1" applyBorder="1" applyAlignment="1"/>
    <xf numFmtId="3" fontId="6" fillId="0" borderId="13" xfId="1" applyNumberFormat="1" applyFont="1" applyFill="1" applyBorder="1" applyAlignment="1"/>
    <xf numFmtId="3" fontId="0" fillId="0" borderId="18" xfId="0" applyNumberFormat="1" applyBorder="1">
      <alignment vertical="top"/>
    </xf>
    <xf numFmtId="3" fontId="4" fillId="0" borderId="72" xfId="0" applyNumberFormat="1" applyFont="1" applyBorder="1">
      <alignment vertical="top"/>
    </xf>
    <xf numFmtId="3" fontId="4" fillId="0" borderId="51" xfId="0" applyNumberFormat="1" applyFont="1" applyBorder="1">
      <alignment vertical="top"/>
    </xf>
    <xf numFmtId="4" fontId="8" fillId="0" borderId="44" xfId="1" applyNumberFormat="1" applyFont="1" applyFill="1" applyBorder="1"/>
    <xf numFmtId="3" fontId="4" fillId="0" borderId="77" xfId="0" applyNumberFormat="1" applyFont="1" applyBorder="1">
      <alignment vertical="top"/>
    </xf>
    <xf numFmtId="3" fontId="77" fillId="0" borderId="5" xfId="1" applyNumberFormat="1" applyFont="1" applyFill="1" applyBorder="1" applyAlignment="1"/>
    <xf numFmtId="3" fontId="6" fillId="3" borderId="31" xfId="1" applyNumberFormat="1" applyFont="1" applyFill="1" applyBorder="1"/>
    <xf numFmtId="3" fontId="5" fillId="0" borderId="9" xfId="1" applyNumberFormat="1" applyFont="1" applyFill="1" applyBorder="1"/>
    <xf numFmtId="3" fontId="5" fillId="0" borderId="53" xfId="1" applyNumberFormat="1" applyFont="1" applyFill="1" applyBorder="1"/>
    <xf numFmtId="4" fontId="30" fillId="0" borderId="3" xfId="0" applyFont="1" applyFill="1" applyBorder="1" applyAlignment="1">
      <alignment horizontal="center" vertical="center" wrapText="1"/>
    </xf>
    <xf numFmtId="49" fontId="30" fillId="0" borderId="3" xfId="0" applyNumberFormat="1" applyFont="1" applyFill="1" applyBorder="1" applyAlignment="1">
      <alignment horizontal="center" vertical="center" wrapText="1"/>
    </xf>
    <xf numFmtId="4" fontId="30" fillId="0" borderId="19" xfId="0" applyFont="1" applyFill="1" applyBorder="1" applyAlignment="1">
      <alignment horizontal="center" vertical="center" wrapText="1"/>
    </xf>
    <xf numFmtId="49" fontId="30" fillId="0" borderId="19" xfId="0" applyNumberFormat="1" applyFont="1" applyFill="1" applyBorder="1" applyAlignment="1">
      <alignment horizontal="center" vertical="center" wrapText="1"/>
    </xf>
    <xf numFmtId="49" fontId="30" fillId="0" borderId="13" xfId="0" applyNumberFormat="1" applyFont="1" applyFill="1" applyBorder="1" applyAlignment="1">
      <alignment horizontal="center" vertical="center" wrapText="1"/>
    </xf>
    <xf numFmtId="4" fontId="40" fillId="0" borderId="7" xfId="0" applyFont="1" applyFill="1" applyBorder="1" applyAlignment="1">
      <alignment vertical="center" wrapText="1"/>
    </xf>
    <xf numFmtId="4" fontId="40" fillId="3" borderId="5" xfId="0" applyNumberFormat="1" applyFont="1" applyFill="1" applyBorder="1" applyAlignment="1">
      <alignment horizontal="right" vertical="center" wrapText="1"/>
    </xf>
    <xf numFmtId="4" fontId="40" fillId="3" borderId="33" xfId="0" applyNumberFormat="1" applyFont="1" applyFill="1" applyBorder="1" applyAlignment="1">
      <alignment horizontal="right" vertical="center" wrapText="1"/>
    </xf>
    <xf numFmtId="4" fontId="81" fillId="0" borderId="0" xfId="0" applyFont="1" applyAlignment="1"/>
    <xf numFmtId="4" fontId="12" fillId="0" borderId="50" xfId="0" applyFont="1" applyFill="1" applyBorder="1" applyAlignment="1"/>
    <xf numFmtId="4" fontId="12" fillId="0" borderId="0" xfId="0" applyFont="1" applyFill="1" applyBorder="1" applyAlignment="1"/>
    <xf numFmtId="4" fontId="31" fillId="0" borderId="19" xfId="0" applyNumberFormat="1" applyFont="1" applyBorder="1" applyAlignment="1">
      <alignment vertical="center"/>
    </xf>
    <xf numFmtId="4" fontId="67" fillId="3" borderId="5" xfId="0" applyFont="1" applyFill="1" applyBorder="1" applyAlignment="1">
      <alignment horizontal="center"/>
    </xf>
    <xf numFmtId="4" fontId="17" fillId="3" borderId="5" xfId="0" applyNumberFormat="1" applyFont="1" applyFill="1" applyBorder="1" applyAlignment="1">
      <alignment horizontal="center"/>
    </xf>
    <xf numFmtId="4" fontId="82" fillId="0" borderId="2" xfId="0" applyNumberFormat="1" applyFont="1" applyBorder="1" applyAlignment="1">
      <alignment vertical="center"/>
    </xf>
    <xf numFmtId="4" fontId="67" fillId="2" borderId="5" xfId="0" applyNumberFormat="1" applyFont="1" applyFill="1" applyBorder="1" applyAlignment="1">
      <alignment vertical="center"/>
    </xf>
    <xf numFmtId="4" fontId="40" fillId="0" borderId="2" xfId="0" applyFont="1" applyBorder="1" applyAlignment="1">
      <alignment horizontal="center" vertical="center" wrapText="1"/>
    </xf>
    <xf numFmtId="4" fontId="40" fillId="0" borderId="19" xfId="0" applyNumberFormat="1" applyFont="1" applyBorder="1" applyAlignment="1">
      <alignment horizontal="center" vertical="center" wrapText="1"/>
    </xf>
    <xf numFmtId="14" fontId="40" fillId="0" borderId="19" xfId="0" applyNumberFormat="1" applyFont="1" applyBorder="1" applyAlignment="1">
      <alignment horizontal="center" vertical="center" wrapText="1"/>
    </xf>
    <xf numFmtId="4" fontId="37" fillId="0" borderId="0" xfId="0" applyFont="1" applyFill="1" applyAlignment="1"/>
    <xf numFmtId="4" fontId="41" fillId="0" borderId="0" xfId="0" applyFont="1" applyAlignment="1">
      <alignment vertical="center"/>
    </xf>
    <xf numFmtId="4" fontId="37" fillId="0" borderId="0" xfId="0" applyFont="1" applyAlignment="1">
      <alignment vertical="center"/>
    </xf>
    <xf numFmtId="4" fontId="43" fillId="0" borderId="2" xfId="0" applyFont="1" applyBorder="1" applyAlignment="1">
      <alignment horizontal="center" vertical="center" wrapText="1"/>
    </xf>
    <xf numFmtId="4" fontId="43" fillId="0" borderId="19" xfId="0" applyNumberFormat="1" applyFont="1" applyBorder="1" applyAlignment="1">
      <alignment horizontal="center" vertical="center" wrapText="1"/>
    </xf>
    <xf numFmtId="4" fontId="43" fillId="0" borderId="19" xfId="0" applyFont="1" applyBorder="1" applyAlignment="1">
      <alignment horizontal="center" vertical="center" wrapText="1"/>
    </xf>
    <xf numFmtId="14" fontId="43" fillId="0" borderId="19" xfId="0" applyNumberFormat="1" applyFont="1" applyBorder="1" applyAlignment="1">
      <alignment horizontal="center" vertical="center" wrapText="1"/>
    </xf>
    <xf numFmtId="4" fontId="43" fillId="0" borderId="35" xfId="0" applyFont="1" applyBorder="1" applyAlignment="1">
      <alignment horizontal="left" vertical="center" wrapText="1"/>
    </xf>
    <xf numFmtId="4" fontId="42" fillId="0" borderId="0" xfId="0" applyFont="1" applyBorder="1" applyAlignment="1">
      <alignment horizontal="left" vertical="center" wrapText="1"/>
    </xf>
    <xf numFmtId="4" fontId="43" fillId="0" borderId="51" xfId="0" applyFont="1" applyBorder="1" applyAlignment="1">
      <alignment horizontal="center" vertical="center" wrapText="1"/>
    </xf>
    <xf numFmtId="4" fontId="43" fillId="0" borderId="51" xfId="0" applyNumberFormat="1" applyFont="1" applyBorder="1" applyAlignment="1">
      <alignment horizontal="center" vertical="center" wrapText="1"/>
    </xf>
    <xf numFmtId="14" fontId="43" fillId="0" borderId="51" xfId="0" applyNumberFormat="1" applyFont="1" applyBorder="1" applyAlignment="1">
      <alignment horizontal="center" vertical="center" wrapText="1"/>
    </xf>
    <xf numFmtId="4" fontId="49" fillId="0" borderId="35" xfId="0" applyFont="1" applyBorder="1" applyAlignment="1">
      <alignment horizontal="left" vertical="center" wrapText="1"/>
    </xf>
    <xf numFmtId="4" fontId="50" fillId="0" borderId="0" xfId="0" applyFont="1" applyBorder="1" applyAlignment="1">
      <alignment horizontal="left" vertical="center" wrapText="1"/>
    </xf>
    <xf numFmtId="4" fontId="49" fillId="0" borderId="51" xfId="0" applyFont="1" applyBorder="1" applyAlignment="1">
      <alignment horizontal="center" vertical="center" wrapText="1"/>
    </xf>
    <xf numFmtId="4" fontId="49" fillId="0" borderId="51" xfId="0" applyNumberFormat="1" applyFont="1" applyBorder="1" applyAlignment="1">
      <alignment horizontal="center" vertical="center" wrapText="1"/>
    </xf>
    <xf numFmtId="14" fontId="49" fillId="0" borderId="51" xfId="0" applyNumberFormat="1" applyFont="1" applyBorder="1" applyAlignment="1">
      <alignment horizontal="center" vertical="center" wrapText="1"/>
    </xf>
    <xf numFmtId="4" fontId="41" fillId="0" borderId="35" xfId="0" applyFont="1" applyBorder="1" applyAlignment="1">
      <alignment horizontal="left" vertical="center" wrapText="1"/>
    </xf>
    <xf numFmtId="4" fontId="41" fillId="0" borderId="0" xfId="0" applyFont="1" applyBorder="1" applyAlignment="1">
      <alignment horizontal="left" vertical="center" wrapText="1"/>
    </xf>
    <xf numFmtId="4" fontId="41" fillId="0" borderId="51" xfId="0" applyFont="1" applyBorder="1" applyAlignment="1">
      <alignment horizontal="center" vertical="center" wrapText="1"/>
    </xf>
    <xf numFmtId="4" fontId="60" fillId="0" borderId="51" xfId="0" applyFont="1" applyBorder="1" applyAlignment="1">
      <alignment horizontal="center" vertical="center" wrapText="1"/>
    </xf>
    <xf numFmtId="4" fontId="41" fillId="0" borderId="51" xfId="0" applyFont="1" applyBorder="1" applyAlignment="1">
      <alignment vertical="center" wrapText="1"/>
    </xf>
    <xf numFmtId="4" fontId="41" fillId="0" borderId="51" xfId="0" applyFont="1" applyBorder="1" applyAlignment="1">
      <alignment horizontal="left" vertical="center" wrapText="1"/>
    </xf>
    <xf numFmtId="4" fontId="41" fillId="0" borderId="4" xfId="0" applyFont="1" applyBorder="1" applyAlignment="1">
      <alignment vertical="center" wrapText="1"/>
    </xf>
    <xf numFmtId="4" fontId="41" fillId="0" borderId="4" xfId="0" applyFont="1" applyBorder="1" applyAlignment="1">
      <alignment horizontal="left" vertical="center" wrapText="1"/>
    </xf>
    <xf numFmtId="4" fontId="60" fillId="0" borderId="4" xfId="0" applyFont="1" applyBorder="1" applyAlignment="1">
      <alignment horizontal="center" vertical="center" wrapText="1"/>
    </xf>
    <xf numFmtId="4" fontId="90" fillId="0" borderId="0" xfId="0" applyFont="1" applyAlignment="1"/>
    <xf numFmtId="3" fontId="26" fillId="13" borderId="5" xfId="0" applyNumberFormat="1" applyFont="1" applyFill="1" applyBorder="1" applyAlignment="1">
      <alignment horizontal="left" vertical="center"/>
    </xf>
    <xf numFmtId="14" fontId="26" fillId="13" borderId="33" xfId="0" applyNumberFormat="1" applyFont="1" applyFill="1" applyBorder="1" applyAlignment="1">
      <alignment horizontal="left" vertical="center"/>
    </xf>
    <xf numFmtId="4" fontId="18" fillId="0" borderId="7" xfId="0" applyFont="1" applyBorder="1" applyAlignment="1"/>
    <xf numFmtId="4" fontId="18" fillId="0" borderId="32" xfId="0" applyFont="1" applyBorder="1" applyAlignment="1"/>
    <xf numFmtId="4" fontId="18" fillId="0" borderId="33" xfId="0" applyFont="1" applyBorder="1" applyAlignment="1"/>
    <xf numFmtId="4" fontId="68" fillId="0" borderId="19" xfId="0" applyNumberFormat="1" applyFont="1" applyBorder="1" applyAlignment="1">
      <alignment horizontal="right" vertical="center" wrapText="1"/>
    </xf>
    <xf numFmtId="4" fontId="68" fillId="0" borderId="3" xfId="0" applyNumberFormat="1" applyFont="1" applyBorder="1" applyAlignment="1">
      <alignment horizontal="right" vertical="center" wrapText="1"/>
    </xf>
    <xf numFmtId="4" fontId="68" fillId="0" borderId="42" xfId="0" applyNumberFormat="1" applyFont="1" applyBorder="1" applyAlignment="1">
      <alignment horizontal="right" vertical="center" wrapText="1"/>
    </xf>
    <xf numFmtId="4" fontId="12" fillId="0" borderId="3" xfId="0" applyFont="1" applyFill="1" applyBorder="1" applyAlignment="1">
      <alignment horizontal="center" vertical="center" wrapText="1"/>
    </xf>
    <xf numFmtId="4" fontId="73" fillId="0" borderId="3" xfId="0" applyNumberFormat="1" applyFont="1" applyFill="1" applyBorder="1" applyAlignment="1">
      <alignment horizontal="right" vertical="center" wrapText="1"/>
    </xf>
    <xf numFmtId="14" fontId="12" fillId="0" borderId="3" xfId="0" applyNumberFormat="1" applyFont="1" applyFill="1" applyBorder="1" applyAlignment="1">
      <alignment horizontal="center" vertical="center" wrapText="1"/>
    </xf>
    <xf numFmtId="14" fontId="12" fillId="0" borderId="15" xfId="0" applyNumberFormat="1" applyFont="1" applyFill="1" applyBorder="1" applyAlignment="1">
      <alignment horizontal="center" vertical="center" wrapText="1"/>
    </xf>
    <xf numFmtId="4" fontId="12" fillId="0" borderId="4" xfId="0" applyFont="1" applyFill="1" applyBorder="1" applyAlignment="1">
      <alignment horizontal="center" vertical="center" wrapText="1"/>
    </xf>
    <xf numFmtId="4" fontId="73" fillId="0" borderId="4" xfId="0" applyNumberFormat="1" applyFont="1" applyFill="1" applyBorder="1" applyAlignment="1">
      <alignment horizontal="right" vertical="center" wrapText="1"/>
    </xf>
    <xf numFmtId="14" fontId="12" fillId="0" borderId="4" xfId="0" applyNumberFormat="1" applyFont="1" applyFill="1" applyBorder="1" applyAlignment="1">
      <alignment horizontal="center" vertical="center" wrapText="1"/>
    </xf>
    <xf numFmtId="14" fontId="12" fillId="0" borderId="13" xfId="0" applyNumberFormat="1" applyFont="1" applyFill="1" applyBorder="1" applyAlignment="1">
      <alignment horizontal="center" vertical="center" wrapText="1"/>
    </xf>
    <xf numFmtId="4" fontId="12" fillId="0" borderId="0" xfId="0" applyFont="1" applyFill="1" applyBorder="1" applyAlignment="1">
      <alignment horizontal="left" vertical="center" wrapText="1"/>
    </xf>
    <xf numFmtId="4" fontId="12" fillId="0" borderId="0" xfId="0" applyFont="1" applyFill="1" applyBorder="1" applyAlignment="1">
      <alignment horizontal="center" vertical="center" wrapText="1"/>
    </xf>
    <xf numFmtId="4" fontId="73" fillId="0" borderId="0" xfId="0" applyNumberFormat="1" applyFont="1" applyFill="1" applyBorder="1" applyAlignment="1">
      <alignment horizontal="right" vertical="center" wrapText="1"/>
    </xf>
    <xf numFmtId="14" fontId="12" fillId="0" borderId="0" xfId="0" applyNumberFormat="1" applyFont="1" applyFill="1" applyBorder="1" applyAlignment="1">
      <alignment horizontal="center" vertical="center" wrapText="1"/>
    </xf>
    <xf numFmtId="4" fontId="12" fillId="0" borderId="19" xfId="0" applyFont="1" applyFill="1" applyBorder="1" applyAlignment="1">
      <alignment horizontal="center" vertical="center" wrapText="1"/>
    </xf>
    <xf numFmtId="4" fontId="73" fillId="0" borderId="19" xfId="0" applyNumberFormat="1" applyFont="1" applyFill="1" applyBorder="1" applyAlignment="1">
      <alignment horizontal="right" vertical="center" wrapText="1"/>
    </xf>
    <xf numFmtId="14" fontId="12" fillId="0" borderId="19" xfId="0" applyNumberFormat="1" applyFont="1" applyFill="1" applyBorder="1" applyAlignment="1">
      <alignment horizontal="center" vertical="center" wrapText="1"/>
    </xf>
    <xf numFmtId="14" fontId="12" fillId="0" borderId="20"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19" xfId="0" applyNumberFormat="1" applyFont="1" applyFill="1" applyBorder="1" applyAlignment="1">
      <alignment horizontal="center" vertical="center" wrapText="1"/>
    </xf>
    <xf numFmtId="4" fontId="73" fillId="0" borderId="51" xfId="0" applyNumberFormat="1" applyFont="1" applyFill="1" applyBorder="1" applyAlignment="1">
      <alignment horizontal="right" vertical="center" wrapText="1"/>
    </xf>
    <xf numFmtId="4" fontId="73" fillId="0" borderId="58" xfId="0" applyNumberFormat="1" applyFont="1" applyFill="1" applyBorder="1" applyAlignment="1">
      <alignment horizontal="right" vertical="center" wrapText="1"/>
    </xf>
    <xf numFmtId="49" fontId="12" fillId="0" borderId="48" xfId="0" applyNumberFormat="1" applyFont="1" applyFill="1" applyBorder="1" applyAlignment="1">
      <alignment horizontal="center" vertical="center" wrapText="1"/>
    </xf>
    <xf numFmtId="49" fontId="12" fillId="0" borderId="43" xfId="0" applyNumberFormat="1" applyFont="1" applyFill="1" applyBorder="1" applyAlignment="1">
      <alignment horizontal="center" vertical="center" wrapText="1"/>
    </xf>
    <xf numFmtId="4" fontId="73" fillId="0" borderId="42" xfId="0" applyNumberFormat="1" applyFont="1" applyFill="1" applyBorder="1" applyAlignment="1">
      <alignment horizontal="right" vertical="center" wrapText="1"/>
    </xf>
    <xf numFmtId="4" fontId="73" fillId="0" borderId="67" xfId="0" applyNumberFormat="1" applyFont="1" applyFill="1" applyBorder="1" applyAlignment="1">
      <alignment horizontal="right" vertical="center" wrapText="1"/>
    </xf>
    <xf numFmtId="4" fontId="73" fillId="0" borderId="28" xfId="0" applyNumberFormat="1" applyFont="1" applyFill="1" applyBorder="1" applyAlignment="1">
      <alignment horizontal="right" vertical="center" wrapText="1"/>
    </xf>
    <xf numFmtId="14" fontId="12" fillId="0" borderId="36" xfId="0" applyNumberFormat="1" applyFont="1" applyFill="1" applyBorder="1" applyAlignment="1">
      <alignment horizontal="center" vertical="center" wrapText="1"/>
    </xf>
    <xf numFmtId="14" fontId="12" fillId="0" borderId="73" xfId="0" applyNumberFormat="1" applyFont="1" applyFill="1" applyBorder="1" applyAlignment="1">
      <alignment horizontal="center" vertical="center" wrapText="1"/>
    </xf>
    <xf numFmtId="4" fontId="12" fillId="0" borderId="42" xfId="0" applyFont="1" applyFill="1" applyBorder="1" applyAlignment="1">
      <alignment horizontal="center" vertical="center" wrapText="1"/>
    </xf>
    <xf numFmtId="4" fontId="12" fillId="0" borderId="58" xfId="0" applyFont="1" applyFill="1" applyBorder="1" applyAlignment="1">
      <alignment horizontal="center" vertical="center" wrapText="1"/>
    </xf>
    <xf numFmtId="14" fontId="12" fillId="0" borderId="77" xfId="0" applyNumberFormat="1" applyFont="1" applyFill="1" applyBorder="1" applyAlignment="1">
      <alignment horizontal="center" vertical="center" wrapText="1"/>
    </xf>
    <xf numFmtId="4" fontId="11" fillId="0" borderId="7" xfId="0" applyFont="1" applyFill="1" applyBorder="1" applyAlignment="1">
      <alignment vertical="center" wrapText="1"/>
    </xf>
    <xf numFmtId="4" fontId="11" fillId="3" borderId="5" xfId="0" applyNumberFormat="1" applyFont="1" applyFill="1" applyBorder="1" applyAlignment="1">
      <alignment horizontal="right" vertical="center" wrapText="1"/>
    </xf>
    <xf numFmtId="4" fontId="11" fillId="3" borderId="33" xfId="0" applyNumberFormat="1" applyFont="1" applyFill="1" applyBorder="1" applyAlignment="1">
      <alignment horizontal="right" vertical="center" wrapText="1"/>
    </xf>
    <xf numFmtId="4" fontId="11" fillId="3" borderId="5" xfId="0" applyFont="1" applyFill="1" applyBorder="1" applyAlignment="1">
      <alignment horizontal="center" vertical="center" wrapText="1"/>
    </xf>
    <xf numFmtId="4" fontId="12" fillId="0" borderId="47" xfId="0" applyFont="1" applyFill="1" applyBorder="1" applyAlignment="1">
      <alignment horizontal="center" vertical="center" wrapText="1"/>
    </xf>
    <xf numFmtId="14" fontId="12" fillId="0" borderId="48" xfId="0" applyNumberFormat="1" applyFont="1" applyFill="1" applyBorder="1" applyAlignment="1">
      <alignment horizontal="center" vertical="center" wrapText="1"/>
    </xf>
    <xf numFmtId="4" fontId="12" fillId="0" borderId="67" xfId="0" applyFont="1" applyFill="1" applyBorder="1" applyAlignment="1">
      <alignment horizontal="center" vertical="center" wrapText="1"/>
    </xf>
    <xf numFmtId="4" fontId="73" fillId="0" borderId="43" xfId="0" applyNumberFormat="1" applyFont="1" applyFill="1" applyBorder="1" applyAlignment="1">
      <alignment horizontal="right" vertical="center" wrapText="1"/>
    </xf>
    <xf numFmtId="4" fontId="12" fillId="0" borderId="43" xfId="0" applyFont="1" applyFill="1" applyBorder="1" applyAlignment="1">
      <alignment horizontal="center" vertical="center" wrapText="1"/>
    </xf>
    <xf numFmtId="14" fontId="12" fillId="0" borderId="40" xfId="0" applyNumberFormat="1" applyFont="1" applyFill="1" applyBorder="1" applyAlignment="1">
      <alignment horizontal="center" vertical="center" wrapText="1"/>
    </xf>
    <xf numFmtId="14" fontId="12" fillId="0" borderId="78" xfId="0" applyNumberFormat="1" applyFont="1" applyFill="1" applyBorder="1" applyAlignment="1">
      <alignment horizontal="center" vertical="center" wrapText="1"/>
    </xf>
    <xf numFmtId="4" fontId="73" fillId="0" borderId="48" xfId="0" applyNumberFormat="1" applyFont="1" applyFill="1" applyBorder="1" applyAlignment="1">
      <alignment horizontal="right" vertical="center" wrapText="1"/>
    </xf>
    <xf numFmtId="4" fontId="12" fillId="0" borderId="48" xfId="0" applyFont="1" applyFill="1" applyBorder="1" applyAlignment="1">
      <alignment horizontal="center" vertical="center"/>
    </xf>
    <xf numFmtId="2" fontId="73" fillId="0" borderId="19" xfId="0" applyNumberFormat="1" applyFont="1" applyFill="1" applyBorder="1" applyAlignment="1"/>
    <xf numFmtId="4" fontId="12" fillId="0" borderId="43" xfId="0" applyFont="1" applyFill="1" applyBorder="1" applyAlignment="1">
      <alignment horizontal="center" vertical="center"/>
    </xf>
    <xf numFmtId="2" fontId="73" fillId="0" borderId="3" xfId="0" applyNumberFormat="1" applyFont="1" applyFill="1" applyBorder="1" applyAlignment="1"/>
    <xf numFmtId="4" fontId="73" fillId="0" borderId="19" xfId="0" applyNumberFormat="1" applyFont="1" applyFill="1" applyBorder="1" applyAlignment="1"/>
    <xf numFmtId="4" fontId="12" fillId="0" borderId="55" xfId="0" applyFont="1" applyFill="1" applyBorder="1" applyAlignment="1">
      <alignment horizontal="center" vertical="center"/>
    </xf>
    <xf numFmtId="4" fontId="73" fillId="0" borderId="64" xfId="0" applyNumberFormat="1" applyFont="1" applyFill="1" applyBorder="1" applyAlignment="1">
      <alignment horizontal="right" vertical="center" wrapText="1"/>
    </xf>
    <xf numFmtId="4" fontId="73" fillId="0" borderId="4" xfId="0" applyNumberFormat="1" applyFont="1" applyFill="1" applyBorder="1" applyAlignment="1"/>
    <xf numFmtId="14" fontId="12" fillId="0" borderId="41" xfId="0" applyNumberFormat="1" applyFont="1" applyFill="1" applyBorder="1" applyAlignment="1">
      <alignment horizontal="center" vertical="center" wrapText="1"/>
    </xf>
    <xf numFmtId="4" fontId="11" fillId="0" borderId="31" xfId="0" applyFont="1" applyFill="1" applyBorder="1" applyAlignment="1">
      <alignment vertical="center" wrapText="1"/>
    </xf>
    <xf numFmtId="4" fontId="11" fillId="3" borderId="31" xfId="0" applyNumberFormat="1" applyFont="1" applyFill="1" applyBorder="1" applyAlignment="1">
      <alignment horizontal="right" vertical="center" wrapText="1"/>
    </xf>
    <xf numFmtId="4" fontId="58" fillId="0" borderId="0" xfId="0" applyNumberFormat="1" applyFont="1" applyBorder="1" applyAlignment="1">
      <alignment horizontal="right" vertical="center" wrapText="1"/>
    </xf>
    <xf numFmtId="4" fontId="37" fillId="0" borderId="0" xfId="0" applyNumberFormat="1" applyFont="1" applyBorder="1" applyAlignment="1"/>
    <xf numFmtId="4" fontId="53" fillId="0" borderId="44" xfId="0" applyNumberFormat="1" applyFont="1" applyBorder="1" applyAlignment="1">
      <alignment vertical="top"/>
    </xf>
    <xf numFmtId="4" fontId="53" fillId="13" borderId="3" xfId="0" applyNumberFormat="1" applyFont="1" applyFill="1" applyBorder="1" applyAlignment="1">
      <alignment horizontal="right" vertical="center"/>
    </xf>
    <xf numFmtId="4" fontId="37" fillId="0" borderId="0" xfId="0" applyFont="1" applyBorder="1" applyAlignment="1">
      <alignment horizontal="center" vertical="center" wrapText="1"/>
    </xf>
    <xf numFmtId="4" fontId="41" fillId="0" borderId="0" xfId="0" applyNumberFormat="1" applyFont="1" applyBorder="1" applyAlignment="1">
      <alignment horizontal="right" vertical="center" wrapText="1"/>
    </xf>
    <xf numFmtId="4" fontId="0" fillId="0" borderId="0" xfId="0" applyBorder="1" applyAlignment="1">
      <alignment horizontal="center" vertical="center" wrapText="1"/>
    </xf>
    <xf numFmtId="4" fontId="17" fillId="0" borderId="19" xfId="0" applyFont="1" applyFill="1" applyBorder="1" applyAlignment="1">
      <alignment vertical="center"/>
    </xf>
    <xf numFmtId="4" fontId="17" fillId="0" borderId="19" xfId="0" applyNumberFormat="1" applyFont="1" applyBorder="1" applyAlignment="1">
      <alignment vertical="center"/>
    </xf>
    <xf numFmtId="4" fontId="18" fillId="0" borderId="2" xfId="0" applyNumberFormat="1" applyFont="1" applyBorder="1" applyAlignment="1">
      <alignment vertical="top" wrapText="1"/>
    </xf>
    <xf numFmtId="4" fontId="18" fillId="0" borderId="4" xfId="0" applyNumberFormat="1" applyFont="1" applyBorder="1" applyAlignment="1">
      <alignment vertical="top" wrapText="1"/>
    </xf>
    <xf numFmtId="4" fontId="26" fillId="13" borderId="46" xfId="0" applyFont="1" applyFill="1" applyBorder="1" applyAlignment="1">
      <alignment horizontal="left" vertical="center"/>
    </xf>
    <xf numFmtId="4" fontId="26" fillId="13" borderId="44" xfId="0" applyFont="1" applyFill="1" applyBorder="1" applyAlignment="1">
      <alignment horizontal="center" vertical="center"/>
    </xf>
    <xf numFmtId="14" fontId="26" fillId="13" borderId="44" xfId="0" applyNumberFormat="1" applyFont="1" applyFill="1" applyBorder="1" applyAlignment="1">
      <alignment horizontal="center" vertical="center"/>
    </xf>
    <xf numFmtId="43" fontId="26" fillId="13" borderId="46" xfId="0" applyNumberFormat="1" applyFont="1" applyFill="1" applyBorder="1" applyAlignment="1">
      <alignment horizontal="left" vertical="center"/>
    </xf>
    <xf numFmtId="4" fontId="26" fillId="13" borderId="61" xfId="0" applyFont="1" applyFill="1" applyBorder="1" applyAlignment="1">
      <alignment horizontal="left" vertical="center"/>
    </xf>
    <xf numFmtId="4" fontId="26" fillId="13" borderId="64" xfId="0" applyFont="1" applyFill="1" applyBorder="1" applyAlignment="1">
      <alignment horizontal="center" vertical="center"/>
    </xf>
    <xf numFmtId="14" fontId="26" fillId="13" borderId="64" xfId="0" applyNumberFormat="1" applyFont="1" applyFill="1" applyBorder="1" applyAlignment="1">
      <alignment horizontal="center" vertical="center"/>
    </xf>
    <xf numFmtId="43" fontId="26" fillId="13" borderId="61" xfId="0" applyNumberFormat="1" applyFont="1" applyFill="1" applyBorder="1" applyAlignment="1">
      <alignment horizontal="left" vertical="center"/>
    </xf>
    <xf numFmtId="4" fontId="18" fillId="0" borderId="48" xfId="0" applyNumberFormat="1" applyFont="1" applyBorder="1" applyAlignment="1">
      <alignment vertical="center"/>
    </xf>
    <xf numFmtId="4" fontId="37" fillId="0" borderId="53" xfId="0" applyFont="1" applyBorder="1" applyAlignment="1">
      <alignment horizontal="center" vertical="center" wrapText="1"/>
    </xf>
    <xf numFmtId="165" fontId="37" fillId="0" borderId="2" xfId="0" applyNumberFormat="1" applyFont="1" applyBorder="1" applyAlignment="1">
      <alignment horizontal="right" vertical="center" wrapText="1"/>
    </xf>
    <xf numFmtId="164" fontId="37" fillId="0" borderId="30" xfId="0" applyNumberFormat="1" applyFont="1" applyBorder="1" applyAlignment="1">
      <alignment horizontal="center" vertical="center" wrapText="1"/>
    </xf>
    <xf numFmtId="4" fontId="37" fillId="0" borderId="36" xfId="0" applyFont="1" applyBorder="1" applyAlignment="1">
      <alignment horizontal="left" vertical="center" wrapText="1"/>
    </xf>
    <xf numFmtId="4" fontId="37" fillId="0" borderId="58" xfId="0" applyFont="1" applyBorder="1" applyAlignment="1">
      <alignment horizontal="center" vertical="center" wrapText="1"/>
    </xf>
    <xf numFmtId="165" fontId="37" fillId="0" borderId="51" xfId="0" applyNumberFormat="1" applyFont="1" applyBorder="1" applyAlignment="1">
      <alignment horizontal="right" vertical="center" wrapText="1"/>
    </xf>
    <xf numFmtId="164" fontId="37" fillId="0" borderId="77" xfId="0" applyNumberFormat="1" applyFont="1" applyBorder="1" applyAlignment="1">
      <alignment horizontal="center" vertical="center" wrapText="1"/>
    </xf>
    <xf numFmtId="4" fontId="37" fillId="0" borderId="55" xfId="0" applyFont="1" applyBorder="1" applyAlignment="1">
      <alignment horizontal="center" vertical="center" wrapText="1"/>
    </xf>
    <xf numFmtId="165" fontId="37" fillId="0" borderId="4" xfId="0" applyNumberFormat="1" applyFont="1" applyBorder="1" applyAlignment="1">
      <alignment horizontal="right" vertical="center" wrapText="1"/>
    </xf>
    <xf numFmtId="164" fontId="37" fillId="0" borderId="13" xfId="0" applyNumberFormat="1" applyFont="1" applyBorder="1" applyAlignment="1">
      <alignment horizontal="center" vertical="center" wrapText="1"/>
    </xf>
    <xf numFmtId="4" fontId="37" fillId="0" borderId="67" xfId="0" applyFont="1" applyBorder="1" applyAlignment="1">
      <alignment horizontal="center" vertical="center" wrapText="1"/>
    </xf>
    <xf numFmtId="165" fontId="37" fillId="0" borderId="42" xfId="0" applyNumberFormat="1" applyFont="1" applyBorder="1" applyAlignment="1">
      <alignment horizontal="right" vertical="center" wrapText="1"/>
    </xf>
    <xf numFmtId="164" fontId="37" fillId="0" borderId="78" xfId="0" applyNumberFormat="1" applyFont="1" applyBorder="1" applyAlignment="1">
      <alignment horizontal="center" vertical="center" wrapText="1"/>
    </xf>
    <xf numFmtId="4" fontId="37" fillId="0" borderId="63" xfId="0" applyFont="1" applyBorder="1" applyAlignment="1">
      <alignment horizontal="center" vertical="center" wrapText="1"/>
    </xf>
    <xf numFmtId="4" fontId="37" fillId="0" borderId="44" xfId="0" applyNumberFormat="1" applyFont="1" applyBorder="1" applyAlignment="1">
      <alignment horizontal="right" vertical="center" wrapText="1"/>
    </xf>
    <xf numFmtId="4" fontId="37" fillId="0" borderId="44" xfId="0" applyNumberFormat="1" applyFont="1" applyBorder="1" applyAlignment="1">
      <alignment vertical="center" wrapText="1"/>
    </xf>
    <xf numFmtId="164" fontId="37" fillId="0" borderId="69" xfId="0" applyNumberFormat="1" applyFont="1" applyBorder="1" applyAlignment="1">
      <alignment horizontal="center" vertical="center" wrapText="1"/>
    </xf>
    <xf numFmtId="4" fontId="37" fillId="0" borderId="72" xfId="0" applyFont="1" applyBorder="1" applyAlignment="1">
      <alignment horizontal="center" vertical="center" wrapText="1"/>
    </xf>
    <xf numFmtId="4" fontId="37" fillId="0" borderId="51" xfId="0" applyNumberFormat="1" applyFont="1" applyBorder="1" applyAlignment="1">
      <alignment horizontal="right" vertical="center" wrapText="1"/>
    </xf>
    <xf numFmtId="4" fontId="37" fillId="0" borderId="51" xfId="0" applyNumberFormat="1" applyFont="1" applyBorder="1" applyAlignment="1">
      <alignment vertical="center" wrapText="1"/>
    </xf>
    <xf numFmtId="4" fontId="37" fillId="0" borderId="14" xfId="0" applyFont="1" applyBorder="1" applyAlignment="1">
      <alignment horizontal="center" vertical="center" wrapText="1"/>
    </xf>
    <xf numFmtId="4" fontId="37" fillId="0" borderId="3" xfId="0" applyNumberFormat="1" applyFont="1" applyBorder="1" applyAlignment="1">
      <alignment horizontal="right" vertical="center" wrapText="1"/>
    </xf>
    <xf numFmtId="4" fontId="37" fillId="0" borderId="3" xfId="0" applyNumberFormat="1" applyFont="1" applyBorder="1" applyAlignment="1">
      <alignment vertical="center" wrapText="1"/>
    </xf>
    <xf numFmtId="164" fontId="37" fillId="0" borderId="15" xfId="0" applyNumberFormat="1" applyFont="1" applyBorder="1" applyAlignment="1">
      <alignment horizontal="center" vertical="center" wrapText="1"/>
    </xf>
    <xf numFmtId="4" fontId="37" fillId="0" borderId="62" xfId="0" applyFont="1" applyBorder="1" applyAlignment="1">
      <alignment horizontal="center" vertical="center" wrapText="1"/>
    </xf>
    <xf numFmtId="4" fontId="37" fillId="0" borderId="64" xfId="0" applyNumberFormat="1" applyFont="1" applyBorder="1" applyAlignment="1">
      <alignment horizontal="right" vertical="center" wrapText="1"/>
    </xf>
    <xf numFmtId="4" fontId="37" fillId="0" borderId="64" xfId="0" applyFont="1" applyBorder="1" applyAlignment="1">
      <alignment vertical="center" wrapText="1"/>
    </xf>
    <xf numFmtId="164" fontId="37" fillId="0" borderId="76" xfId="0" applyNumberFormat="1" applyFont="1" applyBorder="1" applyAlignment="1">
      <alignment horizontal="center" vertical="center" wrapText="1"/>
    </xf>
    <xf numFmtId="4" fontId="37" fillId="0" borderId="48" xfId="0" applyFont="1" applyBorder="1" applyAlignment="1">
      <alignment horizontal="center" vertical="center" wrapText="1"/>
    </xf>
    <xf numFmtId="165" fontId="37" fillId="0" borderId="19" xfId="0" applyNumberFormat="1" applyFont="1" applyBorder="1" applyAlignment="1">
      <alignment horizontal="right" vertical="center" wrapText="1"/>
    </xf>
    <xf numFmtId="165" fontId="37" fillId="0" borderId="19" xfId="0" applyNumberFormat="1" applyFont="1" applyBorder="1" applyAlignment="1">
      <alignment vertical="center" wrapText="1"/>
    </xf>
    <xf numFmtId="164" fontId="37" fillId="0" borderId="20" xfId="0" applyNumberFormat="1" applyFont="1" applyBorder="1" applyAlignment="1">
      <alignment horizontal="center" vertical="center" wrapText="1"/>
    </xf>
    <xf numFmtId="4" fontId="37" fillId="0" borderId="43" xfId="0" applyFont="1" applyBorder="1" applyAlignment="1">
      <alignment horizontal="center" vertical="center" wrapText="1"/>
    </xf>
    <xf numFmtId="165" fontId="37" fillId="0" borderId="3" xfId="0" applyNumberFormat="1" applyFont="1" applyBorder="1" applyAlignment="1">
      <alignment horizontal="right" vertical="center" wrapText="1"/>
    </xf>
    <xf numFmtId="165" fontId="37" fillId="0" borderId="3" xfId="0" applyNumberFormat="1" applyFont="1" applyBorder="1" applyAlignment="1">
      <alignment vertical="center" wrapText="1"/>
    </xf>
    <xf numFmtId="4" fontId="41" fillId="0" borderId="71" xfId="0" applyFont="1" applyBorder="1" applyAlignment="1">
      <alignment horizontal="center" vertical="center" wrapText="1"/>
    </xf>
    <xf numFmtId="165" fontId="41" fillId="0" borderId="42" xfId="0" applyNumberFormat="1" applyFont="1" applyBorder="1" applyAlignment="1">
      <alignment horizontal="right" vertical="center" wrapText="1"/>
    </xf>
    <xf numFmtId="165" fontId="41" fillId="0" borderId="42" xfId="0" applyNumberFormat="1" applyFont="1" applyBorder="1" applyAlignment="1">
      <alignment vertical="center" wrapText="1"/>
    </xf>
    <xf numFmtId="164" fontId="41" fillId="0" borderId="73" xfId="0" applyNumberFormat="1" applyFont="1" applyBorder="1" applyAlignment="1">
      <alignment horizontal="center" vertical="center" wrapText="1"/>
    </xf>
    <xf numFmtId="4" fontId="37" fillId="0" borderId="26" xfId="0" applyFont="1" applyBorder="1" applyAlignment="1">
      <alignment horizontal="center" vertical="center" wrapText="1"/>
    </xf>
    <xf numFmtId="165" fontId="37" fillId="0" borderId="2" xfId="0" applyNumberFormat="1" applyFont="1" applyBorder="1" applyAlignment="1">
      <alignment vertical="center" wrapText="1"/>
    </xf>
    <xf numFmtId="4" fontId="37" fillId="0" borderId="61" xfId="0" applyFont="1" applyBorder="1" applyAlignment="1">
      <alignment horizontal="center" vertical="center" wrapText="1"/>
    </xf>
    <xf numFmtId="165" fontId="37" fillId="0" borderId="64" xfId="0" applyNumberFormat="1" applyFont="1" applyBorder="1" applyAlignment="1">
      <alignment horizontal="right" vertical="center" wrapText="1"/>
    </xf>
    <xf numFmtId="165" fontId="37" fillId="0" borderId="64" xfId="0" applyNumberFormat="1" applyFont="1" applyBorder="1" applyAlignment="1">
      <alignment vertical="center" wrapText="1"/>
    </xf>
    <xf numFmtId="164" fontId="41" fillId="0" borderId="76" xfId="0" applyNumberFormat="1" applyFont="1" applyBorder="1" applyAlignment="1">
      <alignment horizontal="center" vertical="center" wrapText="1"/>
    </xf>
    <xf numFmtId="4" fontId="37" fillId="0" borderId="12" xfId="0" applyFont="1" applyBorder="1" applyAlignment="1">
      <alignment horizontal="center" vertical="center" wrapText="1"/>
    </xf>
    <xf numFmtId="165" fontId="37" fillId="0" borderId="4" xfId="0" applyNumberFormat="1" applyFont="1" applyBorder="1" applyAlignment="1">
      <alignment vertical="center" wrapText="1"/>
    </xf>
    <xf numFmtId="4" fontId="37" fillId="0" borderId="18" xfId="0" applyFont="1" applyBorder="1" applyAlignment="1">
      <alignment horizontal="center" vertical="center" wrapText="1"/>
    </xf>
    <xf numFmtId="164" fontId="37" fillId="0" borderId="38" xfId="0" applyNumberFormat="1" applyFont="1" applyBorder="1" applyAlignment="1">
      <alignment horizontal="center" vertical="center" wrapText="1"/>
    </xf>
    <xf numFmtId="164" fontId="37" fillId="0" borderId="39" xfId="0" applyNumberFormat="1" applyFont="1" applyBorder="1" applyAlignment="1">
      <alignment horizontal="center" vertical="center" wrapText="1"/>
    </xf>
    <xf numFmtId="164" fontId="37" fillId="0" borderId="40" xfId="0" applyNumberFormat="1" applyFont="1" applyBorder="1" applyAlignment="1">
      <alignment horizontal="center" vertical="center" wrapText="1"/>
    </xf>
    <xf numFmtId="164" fontId="37" fillId="0" borderId="41" xfId="0" applyNumberFormat="1" applyFont="1" applyBorder="1" applyAlignment="1">
      <alignment horizontal="center" vertical="center" wrapText="1"/>
    </xf>
    <xf numFmtId="164" fontId="37" fillId="0" borderId="75" xfId="0" applyNumberFormat="1" applyFont="1" applyBorder="1" applyAlignment="1">
      <alignment horizontal="center" vertical="center" wrapText="1"/>
    </xf>
    <xf numFmtId="4" fontId="29" fillId="0" borderId="26" xfId="0" applyFont="1" applyBorder="1" applyAlignment="1">
      <alignment horizontal="center" vertical="center" wrapText="1"/>
    </xf>
    <xf numFmtId="4" fontId="18" fillId="0" borderId="2" xfId="0" applyNumberFormat="1" applyFont="1" applyBorder="1" applyAlignment="1">
      <alignment horizontal="right" vertical="center" wrapText="1"/>
    </xf>
    <xf numFmtId="4" fontId="29" fillId="0" borderId="2" xfId="0" applyNumberFormat="1" applyFont="1" applyBorder="1" applyAlignment="1">
      <alignment horizontal="right" vertical="center" wrapText="1"/>
    </xf>
    <xf numFmtId="164" fontId="63" fillId="0" borderId="2" xfId="0" applyNumberFormat="1" applyFont="1" applyBorder="1" applyAlignment="1">
      <alignment horizontal="center" vertical="center" wrapText="1"/>
    </xf>
    <xf numFmtId="164" fontId="63" fillId="0" borderId="39" xfId="0" applyNumberFormat="1" applyFont="1" applyBorder="1" applyAlignment="1">
      <alignment horizontal="center" vertical="center" wrapText="1"/>
    </xf>
    <xf numFmtId="4" fontId="29" fillId="0" borderId="14" xfId="0" applyFont="1" applyBorder="1" applyAlignment="1">
      <alignment horizontal="center" vertical="center" wrapText="1"/>
    </xf>
    <xf numFmtId="4" fontId="18" fillId="0" borderId="3" xfId="0" applyNumberFormat="1" applyFont="1" applyBorder="1" applyAlignment="1">
      <alignment horizontal="right" vertical="center" wrapText="1"/>
    </xf>
    <xf numFmtId="4" fontId="29" fillId="0" borderId="3" xfId="0" applyNumberFormat="1" applyFont="1" applyBorder="1" applyAlignment="1">
      <alignment horizontal="right" vertical="center" wrapText="1"/>
    </xf>
    <xf numFmtId="164" fontId="29" fillId="0" borderId="40" xfId="0" applyNumberFormat="1" applyFont="1" applyBorder="1" applyAlignment="1">
      <alignment horizontal="center" vertical="center" wrapText="1"/>
    </xf>
    <xf numFmtId="4" fontId="29" fillId="0" borderId="62" xfId="0" applyFont="1" applyBorder="1" applyAlignment="1">
      <alignment horizontal="center" vertical="center" wrapText="1"/>
    </xf>
    <xf numFmtId="4" fontId="18" fillId="0" borderId="64" xfId="0" applyNumberFormat="1" applyFont="1" applyBorder="1" applyAlignment="1">
      <alignment horizontal="right" vertical="center" wrapText="1"/>
    </xf>
    <xf numFmtId="4" fontId="29" fillId="0" borderId="64" xfId="0" applyNumberFormat="1" applyFont="1" applyBorder="1" applyAlignment="1">
      <alignment horizontal="right" vertical="center" wrapText="1"/>
    </xf>
    <xf numFmtId="164" fontId="29" fillId="0" borderId="38" xfId="0" applyNumberFormat="1" applyFont="1" applyBorder="1" applyAlignment="1">
      <alignment horizontal="center" vertical="center" wrapText="1"/>
    </xf>
    <xf numFmtId="164" fontId="29" fillId="0" borderId="2" xfId="0" applyNumberFormat="1" applyFont="1" applyBorder="1" applyAlignment="1">
      <alignment horizontal="center" vertical="center" wrapText="1"/>
    </xf>
    <xf numFmtId="164" fontId="29" fillId="0" borderId="39" xfId="0" applyNumberFormat="1" applyFont="1" applyBorder="1" applyAlignment="1">
      <alignment horizontal="center" vertical="center" wrapText="1"/>
    </xf>
    <xf numFmtId="4" fontId="29" fillId="0" borderId="43" xfId="0" applyNumberFormat="1" applyFont="1" applyBorder="1" applyAlignment="1">
      <alignment horizontal="right" vertical="center" wrapText="1"/>
    </xf>
    <xf numFmtId="4" fontId="29" fillId="0" borderId="61" xfId="0" applyNumberFormat="1" applyFont="1" applyBorder="1" applyAlignment="1">
      <alignment horizontal="right" vertical="center" wrapText="1"/>
    </xf>
    <xf numFmtId="4" fontId="29" fillId="0" borderId="12" xfId="0" applyFont="1" applyBorder="1" applyAlignment="1">
      <alignment horizontal="center" vertical="center" wrapText="1"/>
    </xf>
    <xf numFmtId="4" fontId="29" fillId="0" borderId="4" xfId="0" applyNumberFormat="1" applyFont="1" applyBorder="1" applyAlignment="1">
      <alignment horizontal="right" vertical="center" wrapText="1"/>
    </xf>
    <xf numFmtId="164" fontId="29" fillId="0" borderId="13" xfId="0" applyNumberFormat="1" applyFont="1" applyBorder="1" applyAlignment="1">
      <alignment horizontal="center" vertical="center" wrapText="1"/>
    </xf>
    <xf numFmtId="4" fontId="29" fillId="0" borderId="52" xfId="0" applyNumberFormat="1" applyFont="1" applyBorder="1" applyAlignment="1">
      <alignment horizontal="right" vertical="center" wrapText="1"/>
    </xf>
    <xf numFmtId="4" fontId="29" fillId="0" borderId="19" xfId="0" applyNumberFormat="1" applyFont="1" applyBorder="1" applyAlignment="1">
      <alignment horizontal="right" vertical="center" wrapText="1"/>
    </xf>
    <xf numFmtId="164" fontId="29" fillId="0" borderId="20" xfId="0" applyNumberFormat="1" applyFont="1" applyBorder="1" applyAlignment="1">
      <alignment horizontal="center" vertical="center" wrapText="1"/>
    </xf>
    <xf numFmtId="4" fontId="29" fillId="0" borderId="6" xfId="0" applyNumberFormat="1" applyFont="1" applyBorder="1" applyAlignment="1">
      <alignment horizontal="right" vertical="center" wrapText="1"/>
    </xf>
    <xf numFmtId="4" fontId="29" fillId="0" borderId="51" xfId="0" applyNumberFormat="1" applyFont="1" applyBorder="1" applyAlignment="1">
      <alignment horizontal="right" vertical="center" wrapText="1"/>
    </xf>
    <xf numFmtId="164" fontId="29" fillId="0" borderId="51" xfId="0" applyNumberFormat="1" applyFont="1" applyBorder="1" applyAlignment="1">
      <alignment horizontal="center" vertical="center" wrapText="1"/>
    </xf>
    <xf numFmtId="164" fontId="29" fillId="0" borderId="77" xfId="0" applyNumberFormat="1" applyFont="1" applyBorder="1" applyAlignment="1">
      <alignment horizontal="center" vertical="center" wrapText="1"/>
    </xf>
    <xf numFmtId="4" fontId="29" fillId="0" borderId="48" xfId="0" applyFont="1" applyBorder="1" applyAlignment="1">
      <alignment horizontal="center" vertical="center" wrapText="1"/>
    </xf>
    <xf numFmtId="4" fontId="29" fillId="0" borderId="66" xfId="0" applyNumberFormat="1" applyFont="1" applyBorder="1" applyAlignment="1">
      <alignment horizontal="right" vertical="center" wrapText="1"/>
    </xf>
    <xf numFmtId="4" fontId="29" fillId="0" borderId="43" xfId="0" applyFont="1" applyBorder="1" applyAlignment="1">
      <alignment horizontal="center" vertical="center" wrapText="1"/>
    </xf>
    <xf numFmtId="4" fontId="29" fillId="0" borderId="18" xfId="0" applyFont="1" applyBorder="1" applyAlignment="1">
      <alignment horizontal="center" vertical="center" wrapText="1"/>
    </xf>
    <xf numFmtId="4" fontId="29" fillId="0" borderId="49" xfId="0" applyNumberFormat="1" applyFont="1" applyBorder="1" applyAlignment="1">
      <alignment horizontal="right" vertical="center" wrapText="1"/>
    </xf>
    <xf numFmtId="4" fontId="18" fillId="0" borderId="6" xfId="0" applyNumberFormat="1" applyFont="1" applyBorder="1" applyAlignment="1">
      <alignment horizontal="right" vertical="center" wrapText="1"/>
    </xf>
    <xf numFmtId="4" fontId="29" fillId="0" borderId="71" xfId="0" applyFont="1" applyBorder="1" applyAlignment="1">
      <alignment horizontal="center" vertical="center" wrapText="1"/>
    </xf>
    <xf numFmtId="4" fontId="29" fillId="0" borderId="68" xfId="0" applyNumberFormat="1" applyFont="1" applyBorder="1" applyAlignment="1">
      <alignment horizontal="right" vertical="center" wrapText="1"/>
    </xf>
    <xf numFmtId="4" fontId="29" fillId="0" borderId="42" xfId="0" applyNumberFormat="1" applyFont="1" applyBorder="1" applyAlignment="1">
      <alignment horizontal="right" vertical="center" wrapText="1"/>
    </xf>
    <xf numFmtId="164" fontId="29" fillId="0" borderId="36" xfId="0" applyNumberFormat="1" applyFont="1" applyBorder="1" applyAlignment="1">
      <alignment horizontal="center" vertical="center" wrapText="1"/>
    </xf>
    <xf numFmtId="164" fontId="29" fillId="0" borderId="48" xfId="0" applyNumberFormat="1" applyFont="1" applyBorder="1" applyAlignment="1">
      <alignment horizontal="center" vertical="center" wrapText="1"/>
    </xf>
    <xf numFmtId="4" fontId="18" fillId="0" borderId="4" xfId="0" applyNumberFormat="1" applyFont="1" applyBorder="1" applyAlignment="1">
      <alignment horizontal="right" vertical="center" wrapText="1"/>
    </xf>
    <xf numFmtId="4" fontId="24" fillId="4" borderId="5" xfId="0" applyFont="1" applyFill="1" applyBorder="1" applyAlignment="1">
      <alignment horizontal="center" vertical="center" wrapText="1"/>
    </xf>
    <xf numFmtId="4" fontId="17" fillId="2" borderId="8" xfId="0" applyNumberFormat="1" applyFont="1" applyFill="1" applyBorder="1" applyAlignment="1">
      <alignment vertical="center"/>
    </xf>
    <xf numFmtId="4" fontId="91" fillId="0" borderId="3" xfId="0" applyFont="1" applyBorder="1" applyAlignment="1">
      <alignment horizontal="left" vertical="center" wrapText="1"/>
    </xf>
    <xf numFmtId="4" fontId="18" fillId="0" borderId="3" xfId="0" applyNumberFormat="1" applyFont="1" applyBorder="1" applyAlignment="1">
      <alignment horizontal="center" vertical="center" wrapText="1"/>
    </xf>
    <xf numFmtId="14" fontId="18" fillId="0" borderId="3" xfId="0" applyNumberFormat="1" applyFont="1" applyBorder="1" applyAlignment="1">
      <alignment horizontal="left" vertical="center" wrapText="1"/>
    </xf>
    <xf numFmtId="14" fontId="11" fillId="9" borderId="1" xfId="0" applyNumberFormat="1" applyFont="1" applyFill="1" applyBorder="1" applyAlignment="1">
      <alignment horizontal="center" vertical="center" wrapText="1"/>
    </xf>
    <xf numFmtId="166" fontId="11" fillId="9" borderId="1" xfId="2" applyNumberFormat="1" applyFont="1" applyFill="1" applyBorder="1" applyAlignment="1">
      <alignment horizontal="right" vertical="center" wrapText="1"/>
    </xf>
    <xf numFmtId="14" fontId="12" fillId="0" borderId="1" xfId="0" applyNumberFormat="1" applyFont="1" applyFill="1" applyBorder="1" applyAlignment="1">
      <alignment horizontal="center" vertical="center" wrapText="1"/>
    </xf>
    <xf numFmtId="166" fontId="12" fillId="0" borderId="64" xfId="2" applyNumberFormat="1" applyFont="1" applyFill="1" applyBorder="1" applyAlignment="1">
      <alignment horizontal="right" vertical="center" wrapText="1"/>
    </xf>
    <xf numFmtId="14" fontId="12" fillId="0" borderId="64" xfId="0" applyNumberFormat="1" applyFont="1" applyFill="1" applyBorder="1" applyAlignment="1">
      <alignment horizontal="center" vertical="center" wrapText="1"/>
    </xf>
    <xf numFmtId="14" fontId="12" fillId="16" borderId="1" xfId="0" applyNumberFormat="1" applyFont="1" applyFill="1" applyBorder="1" applyAlignment="1">
      <alignment horizontal="center" vertical="center" wrapText="1"/>
    </xf>
    <xf numFmtId="166" fontId="12" fillId="16" borderId="1" xfId="2" applyNumberFormat="1" applyFont="1" applyFill="1" applyBorder="1" applyAlignment="1">
      <alignment horizontal="right" vertical="center" wrapText="1"/>
    </xf>
    <xf numFmtId="14" fontId="12" fillId="16" borderId="64" xfId="0" applyNumberFormat="1" applyFont="1" applyFill="1" applyBorder="1" applyAlignment="1">
      <alignment horizontal="center" vertical="center" wrapText="1"/>
    </xf>
    <xf numFmtId="166" fontId="12" fillId="16" borderId="64" xfId="2" applyNumberFormat="1" applyFont="1" applyFill="1" applyBorder="1" applyAlignment="1">
      <alignment horizontal="right" vertical="center" wrapText="1"/>
    </xf>
    <xf numFmtId="166" fontId="12" fillId="0" borderId="1" xfId="2" applyNumberFormat="1" applyFont="1" applyFill="1" applyBorder="1" applyAlignment="1">
      <alignment horizontal="right" vertical="center" wrapText="1"/>
    </xf>
    <xf numFmtId="166" fontId="12" fillId="0" borderId="19" xfId="2" applyNumberFormat="1" applyFont="1" applyFill="1" applyBorder="1" applyAlignment="1">
      <alignment horizontal="right" vertical="center" wrapText="1"/>
    </xf>
    <xf numFmtId="14" fontId="12" fillId="16" borderId="19" xfId="0" applyNumberFormat="1" applyFont="1" applyFill="1" applyBorder="1" applyAlignment="1">
      <alignment horizontal="center" vertical="center" wrapText="1"/>
    </xf>
    <xf numFmtId="166" fontId="12" fillId="16" borderId="19" xfId="2" applyNumberFormat="1" applyFont="1" applyFill="1" applyBorder="1" applyAlignment="1">
      <alignment horizontal="right" vertical="center" wrapText="1"/>
    </xf>
    <xf numFmtId="166" fontId="11" fillId="0" borderId="19" xfId="2" applyNumberFormat="1" applyFont="1" applyFill="1" applyBorder="1" applyAlignment="1">
      <alignment horizontal="right" vertical="center" wrapText="1"/>
    </xf>
    <xf numFmtId="166" fontId="11" fillId="16" borderId="19" xfId="2" applyNumberFormat="1" applyFont="1" applyFill="1" applyBorder="1" applyAlignment="1">
      <alignment horizontal="right" vertical="center" wrapText="1"/>
    </xf>
    <xf numFmtId="4" fontId="17" fillId="5" borderId="0" xfId="0" applyFont="1" applyFill="1" applyAlignment="1">
      <alignment horizontal="left"/>
    </xf>
    <xf numFmtId="4" fontId="25" fillId="0" borderId="3" xfId="0" applyFont="1" applyBorder="1" applyAlignment="1">
      <alignment vertical="center" wrapText="1"/>
    </xf>
    <xf numFmtId="4" fontId="25" fillId="0" borderId="3" xfId="0" applyNumberFormat="1" applyFont="1" applyBorder="1" applyAlignment="1">
      <alignment horizontal="right" vertical="center" wrapText="1"/>
    </xf>
    <xf numFmtId="4" fontId="24" fillId="0" borderId="42" xfId="0" applyNumberFormat="1" applyFont="1" applyBorder="1" applyAlignment="1">
      <alignment horizontal="right" vertical="center" wrapText="1"/>
    </xf>
    <xf numFmtId="14" fontId="24" fillId="0" borderId="42" xfId="0" applyNumberFormat="1" applyFont="1" applyBorder="1" applyAlignment="1">
      <alignment horizontal="center" vertical="center" wrapText="1"/>
    </xf>
    <xf numFmtId="4" fontId="25" fillId="0" borderId="10" xfId="0" applyFont="1" applyBorder="1" applyAlignment="1">
      <alignment horizontal="left" vertical="center" wrapText="1"/>
    </xf>
    <xf numFmtId="4" fontId="25" fillId="0" borderId="43" xfId="0" applyFont="1" applyBorder="1" applyAlignment="1">
      <alignment horizontal="left" vertical="center" wrapText="1"/>
    </xf>
    <xf numFmtId="4" fontId="25" fillId="0" borderId="42" xfId="0" applyNumberFormat="1" applyFont="1" applyBorder="1" applyAlignment="1">
      <alignment horizontal="right" vertical="center" wrapText="1"/>
    </xf>
    <xf numFmtId="14" fontId="24" fillId="0" borderId="3" xfId="0" applyNumberFormat="1" applyFont="1" applyBorder="1" applyAlignment="1">
      <alignment horizontal="center" vertical="center" wrapText="1"/>
    </xf>
    <xf numFmtId="4" fontId="25" fillId="0" borderId="42" xfId="0" applyFont="1" applyBorder="1" applyAlignment="1">
      <alignment vertical="center" wrapText="1"/>
    </xf>
    <xf numFmtId="4" fontId="25" fillId="0" borderId="42" xfId="0" applyFont="1" applyBorder="1" applyAlignment="1">
      <alignment horizontal="right" vertical="center" wrapText="1"/>
    </xf>
    <xf numFmtId="4" fontId="25" fillId="0" borderId="3" xfId="0" applyFont="1" applyBorder="1" applyAlignment="1">
      <alignment horizontal="right" vertical="center" wrapText="1"/>
    </xf>
    <xf numFmtId="4" fontId="25" fillId="0" borderId="10" xfId="0" applyFont="1" applyBorder="1" applyAlignment="1">
      <alignment horizontal="center" vertical="center" wrapText="1"/>
    </xf>
    <xf numFmtId="4" fontId="25" fillId="0" borderId="43" xfId="0" applyFont="1" applyBorder="1" applyAlignment="1">
      <alignment horizontal="center" vertical="center" wrapText="1"/>
    </xf>
    <xf numFmtId="4" fontId="25" fillId="0" borderId="68" xfId="0" applyFont="1" applyBorder="1" applyAlignment="1">
      <alignment vertical="center" wrapText="1"/>
    </xf>
    <xf numFmtId="4" fontId="25" fillId="0" borderId="68" xfId="0" applyNumberFormat="1" applyFont="1" applyBorder="1" applyAlignment="1">
      <alignment horizontal="right" vertical="center" wrapText="1"/>
    </xf>
    <xf numFmtId="14" fontId="24" fillId="0" borderId="68" xfId="0" applyNumberFormat="1" applyFont="1" applyBorder="1" applyAlignment="1">
      <alignment horizontal="center" vertical="center" wrapText="1"/>
    </xf>
    <xf numFmtId="14" fontId="24" fillId="0" borderId="67" xfId="0" applyNumberFormat="1" applyFont="1" applyBorder="1" applyAlignment="1">
      <alignment horizontal="center" vertical="center" wrapText="1"/>
    </xf>
    <xf numFmtId="4" fontId="25" fillId="0" borderId="66" xfId="0" applyFont="1" applyBorder="1" applyAlignment="1">
      <alignment vertical="center" wrapText="1"/>
    </xf>
    <xf numFmtId="4" fontId="25" fillId="0" borderId="66" xfId="0" applyNumberFormat="1" applyFont="1" applyBorder="1" applyAlignment="1">
      <alignment horizontal="right" vertical="center" wrapText="1"/>
    </xf>
    <xf numFmtId="14" fontId="24" fillId="0" borderId="66" xfId="0" applyNumberFormat="1" applyFont="1" applyBorder="1" applyAlignment="1">
      <alignment horizontal="center" vertical="center" wrapText="1"/>
    </xf>
    <xf numFmtId="4" fontId="11" fillId="5" borderId="0" xfId="0" applyFont="1" applyFill="1" applyAlignment="1">
      <alignment horizontal="left"/>
    </xf>
    <xf numFmtId="4" fontId="29" fillId="0" borderId="0" xfId="0" applyFont="1" applyAlignment="1">
      <alignment horizontal="left"/>
    </xf>
    <xf numFmtId="4" fontId="25" fillId="0" borderId="0" xfId="0" applyFont="1" applyAlignment="1"/>
    <xf numFmtId="4" fontId="29" fillId="0" borderId="0" xfId="0" applyFont="1" applyAlignment="1"/>
    <xf numFmtId="4" fontId="25" fillId="3" borderId="5" xfId="0" applyFont="1" applyFill="1" applyBorder="1" applyAlignment="1">
      <alignment horizontal="center"/>
    </xf>
    <xf numFmtId="4" fontId="25" fillId="0" borderId="0" xfId="0" applyFont="1" applyAlignment="1">
      <alignment horizontal="center"/>
    </xf>
    <xf numFmtId="4" fontId="25" fillId="2" borderId="5" xfId="0" applyNumberFormat="1" applyFont="1" applyFill="1" applyBorder="1" applyAlignment="1">
      <alignment vertical="center"/>
    </xf>
    <xf numFmtId="4" fontId="25" fillId="2" borderId="47" xfId="0" applyNumberFormat="1" applyFont="1" applyFill="1" applyBorder="1" applyAlignment="1">
      <alignment vertical="center"/>
    </xf>
    <xf numFmtId="4" fontId="25" fillId="2" borderId="28" xfId="0" applyNumberFormat="1" applyFont="1" applyFill="1" applyBorder="1" applyAlignment="1">
      <alignment vertical="center"/>
    </xf>
    <xf numFmtId="4" fontId="25" fillId="2" borderId="3" xfId="0" applyNumberFormat="1" applyFont="1" applyFill="1" applyBorder="1" applyAlignment="1">
      <alignment vertical="center"/>
    </xf>
    <xf numFmtId="4" fontId="29" fillId="0" borderId="0" xfId="0" applyNumberFormat="1" applyFont="1" applyAlignment="1"/>
    <xf numFmtId="4" fontId="29" fillId="0" borderId="0" xfId="0" applyFont="1" applyBorder="1" applyAlignment="1"/>
    <xf numFmtId="4" fontId="25" fillId="0" borderId="35" xfId="0" applyFont="1" applyFill="1" applyBorder="1" applyAlignment="1"/>
    <xf numFmtId="4" fontId="25" fillId="0" borderId="0" xfId="0" applyFont="1" applyFill="1" applyBorder="1" applyAlignment="1"/>
    <xf numFmtId="4" fontId="25" fillId="2" borderId="2" xfId="0" applyFont="1" applyFill="1" applyBorder="1" applyAlignment="1">
      <alignment vertical="center"/>
    </xf>
    <xf numFmtId="4" fontId="25" fillId="12" borderId="2" xfId="0" applyFont="1" applyFill="1" applyBorder="1" applyAlignment="1">
      <alignment vertical="center"/>
    </xf>
    <xf numFmtId="4" fontId="25" fillId="0" borderId="2" xfId="0" applyNumberFormat="1" applyFont="1" applyBorder="1" applyAlignment="1">
      <alignment vertical="center"/>
    </xf>
    <xf numFmtId="4" fontId="44" fillId="0" borderId="50" xfId="0" applyFont="1" applyFill="1" applyBorder="1" applyAlignment="1"/>
    <xf numFmtId="4" fontId="44" fillId="0" borderId="0" xfId="0" applyFont="1" applyFill="1" applyBorder="1" applyAlignment="1"/>
    <xf numFmtId="4" fontId="25" fillId="0" borderId="3" xfId="0" applyFont="1" applyBorder="1" applyAlignment="1">
      <alignment vertical="center"/>
    </xf>
    <xf numFmtId="4" fontId="25" fillId="0" borderId="3" xfId="0" applyNumberFormat="1" applyFont="1" applyFill="1" applyBorder="1" applyAlignment="1">
      <alignment horizontal="right" vertical="center"/>
    </xf>
    <xf numFmtId="4" fontId="29" fillId="0" borderId="50" xfId="0" applyNumberFormat="1" applyFont="1" applyFill="1" applyBorder="1" applyAlignment="1">
      <alignment horizontal="left"/>
    </xf>
    <xf numFmtId="4" fontId="29" fillId="0" borderId="0" xfId="0" applyNumberFormat="1" applyFont="1" applyFill="1" applyBorder="1" applyAlignment="1">
      <alignment horizontal="left"/>
    </xf>
    <xf numFmtId="4" fontId="25" fillId="0" borderId="42" xfId="0" applyFont="1" applyBorder="1" applyAlignment="1">
      <alignment vertical="center"/>
    </xf>
    <xf numFmtId="4" fontId="25" fillId="0" borderId="42" xfId="0" applyNumberFormat="1" applyFont="1" applyFill="1" applyBorder="1" applyAlignment="1">
      <alignment horizontal="right" vertical="center"/>
    </xf>
    <xf numFmtId="4" fontId="25" fillId="0" borderId="42" xfId="0" applyNumberFormat="1" applyFont="1" applyBorder="1" applyAlignment="1">
      <alignment vertical="center"/>
    </xf>
    <xf numFmtId="4" fontId="44" fillId="0" borderId="50" xfId="0" applyFont="1" applyFill="1" applyBorder="1" applyAlignment="1">
      <alignment vertical="center" wrapText="1"/>
    </xf>
    <xf numFmtId="4" fontId="44" fillId="0" borderId="0" xfId="0" applyFont="1" applyFill="1" applyBorder="1" applyAlignment="1">
      <alignment vertical="center" wrapText="1"/>
    </xf>
    <xf numFmtId="4" fontId="25" fillId="2" borderId="5" xfId="0" applyFont="1" applyFill="1" applyBorder="1" applyAlignment="1">
      <alignment horizontal="left" vertical="center"/>
    </xf>
    <xf numFmtId="4" fontId="25" fillId="12" borderId="5" xfId="0" applyFont="1" applyFill="1" applyBorder="1" applyAlignment="1">
      <alignment vertical="center"/>
    </xf>
    <xf numFmtId="4" fontId="25" fillId="0" borderId="5" xfId="0" applyNumberFormat="1" applyFont="1" applyBorder="1" applyAlignment="1">
      <alignment vertical="center"/>
    </xf>
    <xf numFmtId="4" fontId="44" fillId="0" borderId="0" xfId="0" applyFont="1" applyFill="1" applyBorder="1" applyAlignment="1">
      <alignment horizontal="left" vertical="center" wrapText="1"/>
    </xf>
    <xf numFmtId="4" fontId="25" fillId="0" borderId="0" xfId="0" applyFont="1" applyFill="1" applyBorder="1" applyAlignment="1">
      <alignment vertical="center"/>
    </xf>
    <xf numFmtId="4" fontId="29" fillId="0" borderId="0" xfId="0" applyFont="1" applyFill="1" applyAlignment="1"/>
    <xf numFmtId="4" fontId="29" fillId="0" borderId="0" xfId="0" applyNumberFormat="1" applyFont="1" applyFill="1" applyAlignment="1"/>
    <xf numFmtId="4" fontId="29" fillId="0" borderId="0" xfId="0" applyFont="1" applyFill="1" applyBorder="1" applyAlignment="1"/>
    <xf numFmtId="4" fontId="25" fillId="3" borderId="5" xfId="0" applyNumberFormat="1" applyFont="1" applyFill="1" applyBorder="1" applyAlignment="1">
      <alignment horizontal="center"/>
    </xf>
    <xf numFmtId="4" fontId="25" fillId="0" borderId="0" xfId="0" applyFont="1" applyFill="1" applyAlignment="1">
      <alignment horizontal="center"/>
    </xf>
    <xf numFmtId="4" fontId="25" fillId="0" borderId="19" xfId="0" applyFont="1" applyBorder="1" applyAlignment="1">
      <alignment vertical="center"/>
    </xf>
    <xf numFmtId="4" fontId="29" fillId="0" borderId="19" xfId="0" applyNumberFormat="1" applyFont="1" applyBorder="1" applyAlignment="1">
      <alignment vertical="center"/>
    </xf>
    <xf numFmtId="4" fontId="29" fillId="0" borderId="3" xfId="0" applyNumberFormat="1" applyFont="1" applyBorder="1" applyAlignment="1">
      <alignment vertical="center"/>
    </xf>
    <xf numFmtId="0" fontId="29" fillId="0" borderId="2" xfId="0" applyNumberFormat="1" applyFont="1" applyBorder="1" applyAlignment="1">
      <alignment vertical="center"/>
    </xf>
    <xf numFmtId="4" fontId="29" fillId="0" borderId="42" xfId="0" applyNumberFormat="1" applyFont="1" applyBorder="1" applyAlignment="1">
      <alignment vertical="center"/>
    </xf>
    <xf numFmtId="0" fontId="29" fillId="0" borderId="42" xfId="0" applyNumberFormat="1" applyFont="1" applyBorder="1" applyAlignment="1">
      <alignment vertical="center"/>
    </xf>
    <xf numFmtId="0" fontId="29" fillId="0" borderId="59" xfId="0" applyNumberFormat="1" applyFont="1" applyBorder="1" applyAlignment="1">
      <alignment vertical="center"/>
    </xf>
    <xf numFmtId="4" fontId="30" fillId="0" borderId="19" xfId="0" applyFont="1" applyBorder="1" applyAlignment="1">
      <alignment vertical="center"/>
    </xf>
    <xf numFmtId="4" fontId="29" fillId="0" borderId="2" xfId="0" applyNumberFormat="1" applyFont="1" applyBorder="1" applyAlignment="1">
      <alignment vertical="center"/>
    </xf>
    <xf numFmtId="4" fontId="25" fillId="17" borderId="5" xfId="0" applyFont="1" applyFill="1" applyBorder="1" applyAlignment="1">
      <alignment horizontal="center" vertical="center" wrapText="1"/>
    </xf>
    <xf numFmtId="4" fontId="30" fillId="0" borderId="59" xfId="0" applyFont="1" applyBorder="1" applyAlignment="1">
      <alignment vertical="center" wrapText="1"/>
    </xf>
    <xf numFmtId="4" fontId="30" fillId="0" borderId="68" xfId="0" applyNumberFormat="1" applyFont="1" applyBorder="1" applyAlignment="1">
      <alignment horizontal="right" vertical="center" wrapText="1"/>
    </xf>
    <xf numFmtId="4" fontId="30" fillId="0" borderId="50" xfId="0" applyFont="1" applyBorder="1" applyAlignment="1">
      <alignment vertical="center" wrapText="1"/>
    </xf>
    <xf numFmtId="4" fontId="30" fillId="0" borderId="0" xfId="0" applyNumberFormat="1" applyFont="1" applyBorder="1" applyAlignment="1">
      <alignment horizontal="right" vertical="center" wrapText="1"/>
    </xf>
    <xf numFmtId="4" fontId="30" fillId="0" borderId="0" xfId="0" applyFont="1" applyBorder="1" applyAlignment="1">
      <alignment horizontal="left" vertical="top" wrapText="1"/>
    </xf>
    <xf numFmtId="4" fontId="30" fillId="0" borderId="32" xfId="0" applyFont="1" applyBorder="1" applyAlignment="1">
      <alignment vertical="center" wrapText="1"/>
    </xf>
    <xf numFmtId="4" fontId="30" fillId="0" borderId="32" xfId="0" applyNumberFormat="1" applyFont="1" applyBorder="1" applyAlignment="1">
      <alignment horizontal="right" vertical="center" wrapText="1"/>
    </xf>
    <xf numFmtId="14" fontId="30" fillId="0" borderId="0" xfId="0" applyNumberFormat="1" applyFont="1" applyBorder="1" applyAlignment="1">
      <alignment horizontal="center" vertical="center" wrapText="1"/>
    </xf>
    <xf numFmtId="4" fontId="30" fillId="0" borderId="64" xfId="0" applyFont="1" applyBorder="1" applyAlignment="1">
      <alignment vertical="center" wrapText="1"/>
    </xf>
    <xf numFmtId="4" fontId="30" fillId="0" borderId="64" xfId="0" applyNumberFormat="1" applyFont="1" applyBorder="1" applyAlignment="1">
      <alignment horizontal="right" vertical="center" wrapText="1"/>
    </xf>
    <xf numFmtId="14" fontId="30" fillId="0" borderId="64" xfId="0" applyNumberFormat="1" applyFont="1" applyBorder="1" applyAlignment="1">
      <alignment horizontal="center" vertical="center" wrapText="1"/>
    </xf>
    <xf numFmtId="4" fontId="40" fillId="17" borderId="0" xfId="0" applyFont="1" applyFill="1" applyBorder="1" applyAlignment="1">
      <alignment horizontal="left" vertical="center" wrapText="1"/>
    </xf>
    <xf numFmtId="4" fontId="40" fillId="4" borderId="0" xfId="0" applyFont="1" applyFill="1" applyBorder="1" applyAlignment="1">
      <alignment vertical="center" wrapText="1"/>
    </xf>
    <xf numFmtId="4" fontId="40" fillId="17" borderId="0" xfId="0" applyNumberFormat="1" applyFont="1" applyFill="1" applyBorder="1" applyAlignment="1">
      <alignment horizontal="right" vertical="center" wrapText="1"/>
    </xf>
    <xf numFmtId="4" fontId="45" fillId="4" borderId="0" xfId="0" applyFont="1" applyFill="1" applyBorder="1" applyAlignment="1">
      <alignment horizontal="center" vertical="center" wrapText="1"/>
    </xf>
    <xf numFmtId="4" fontId="29" fillId="0" borderId="0" xfId="0" applyNumberFormat="1" applyFont="1" applyBorder="1" applyAlignment="1">
      <alignment horizontal="center" vertical="center" wrapText="1"/>
    </xf>
    <xf numFmtId="4" fontId="29" fillId="0" borderId="0" xfId="0" applyNumberFormat="1" applyFont="1" applyBorder="1" applyAlignment="1">
      <alignment vertical="center" wrapText="1"/>
    </xf>
    <xf numFmtId="4" fontId="92" fillId="0" borderId="0" xfId="0" applyFont="1" applyAlignment="1"/>
    <xf numFmtId="4" fontId="30" fillId="0" borderId="16" xfId="0" applyFont="1" applyBorder="1" applyAlignment="1">
      <alignment horizontal="left" vertical="center"/>
    </xf>
    <xf numFmtId="4" fontId="30" fillId="0" borderId="17" xfId="0" applyFont="1" applyBorder="1" applyAlignment="1">
      <alignment horizontal="left" vertical="center"/>
    </xf>
    <xf numFmtId="4" fontId="30" fillId="5" borderId="31" xfId="0" applyFont="1" applyFill="1" applyBorder="1" applyAlignment="1">
      <alignment horizontal="center"/>
    </xf>
    <xf numFmtId="14" fontId="30" fillId="5" borderId="31" xfId="0" applyNumberFormat="1" applyFont="1" applyFill="1" applyBorder="1" applyAlignment="1">
      <alignment horizontal="center"/>
    </xf>
    <xf numFmtId="4" fontId="30" fillId="0" borderId="35" xfId="0" applyFont="1" applyBorder="1" applyAlignment="1">
      <alignment horizontal="left" vertical="center"/>
    </xf>
    <xf numFmtId="4" fontId="30" fillId="0" borderId="0" xfId="0" applyFont="1" applyBorder="1" applyAlignment="1">
      <alignment horizontal="left" vertical="center"/>
    </xf>
    <xf numFmtId="4" fontId="30" fillId="5" borderId="34" xfId="0" applyFont="1" applyFill="1" applyBorder="1" applyAlignment="1">
      <alignment horizontal="center"/>
    </xf>
    <xf numFmtId="4" fontId="30" fillId="0" borderId="57" xfId="0" applyFont="1" applyBorder="1" applyAlignment="1">
      <alignment horizontal="left" vertical="center"/>
    </xf>
    <xf numFmtId="14" fontId="30" fillId="5" borderId="31" xfId="0" applyNumberFormat="1" applyFont="1" applyFill="1" applyBorder="1" applyAlignment="1">
      <alignment horizontal="center" vertical="center"/>
    </xf>
    <xf numFmtId="43" fontId="37" fillId="13" borderId="31" xfId="0" applyNumberFormat="1" applyFont="1" applyFill="1" applyBorder="1" applyAlignment="1">
      <alignment horizontal="left" vertical="center"/>
    </xf>
    <xf numFmtId="4" fontId="93" fillId="0" borderId="17" xfId="0" applyFont="1" applyBorder="1" applyAlignment="1">
      <alignment horizontal="left" vertical="center"/>
    </xf>
    <xf numFmtId="4" fontId="93" fillId="0" borderId="36" xfId="0" applyFont="1" applyBorder="1" applyAlignment="1">
      <alignment horizontal="left" vertical="center"/>
    </xf>
    <xf numFmtId="4" fontId="30" fillId="0" borderId="9" xfId="0" applyFont="1" applyBorder="1" applyAlignment="1">
      <alignment horizontal="left" vertical="center"/>
    </xf>
    <xf numFmtId="4" fontId="30" fillId="0" borderId="39" xfId="0" applyFont="1" applyBorder="1" applyAlignment="1">
      <alignment horizontal="left" vertical="center"/>
    </xf>
    <xf numFmtId="4" fontId="93" fillId="0" borderId="57" xfId="0" applyFont="1" applyBorder="1" applyAlignment="1">
      <alignment horizontal="left" vertical="center"/>
    </xf>
    <xf numFmtId="4" fontId="93" fillId="0" borderId="0" xfId="0" applyFont="1" applyBorder="1" applyAlignment="1">
      <alignment horizontal="left" vertical="center"/>
    </xf>
    <xf numFmtId="4" fontId="30" fillId="0" borderId="0" xfId="0" applyFont="1" applyFill="1" applyBorder="1" applyAlignment="1">
      <alignment horizontal="left" vertical="center" wrapText="1"/>
    </xf>
    <xf numFmtId="4" fontId="30" fillId="0" borderId="0" xfId="0" applyFont="1" applyFill="1" applyBorder="1" applyAlignment="1">
      <alignment horizontal="left" vertical="center"/>
    </xf>
    <xf numFmtId="4" fontId="0" fillId="0" borderId="0" xfId="0" applyBorder="1" applyAlignment="1">
      <alignment horizontal="left" vertical="center"/>
    </xf>
    <xf numFmtId="4" fontId="18" fillId="0" borderId="0" xfId="0" applyFont="1" applyAlignment="1">
      <alignment wrapText="1"/>
    </xf>
    <xf numFmtId="4" fontId="25" fillId="0" borderId="5" xfId="0" applyFont="1" applyBorder="1" applyAlignment="1">
      <alignment horizontal="center" vertical="center" wrapText="1"/>
    </xf>
    <xf numFmtId="4" fontId="25" fillId="0" borderId="5" xfId="0" applyNumberFormat="1" applyFont="1" applyBorder="1" applyAlignment="1">
      <alignment horizontal="right" vertical="center" wrapText="1"/>
    </xf>
    <xf numFmtId="4" fontId="94" fillId="0" borderId="0" xfId="0" applyFont="1" applyAlignment="1"/>
    <xf numFmtId="4" fontId="19" fillId="3" borderId="7" xfId="0" applyNumberFormat="1" applyFont="1" applyFill="1" applyBorder="1" applyAlignment="1">
      <alignment horizontal="center"/>
    </xf>
    <xf numFmtId="14" fontId="97" fillId="0" borderId="81" xfId="0" applyNumberFormat="1" applyFont="1" applyBorder="1" applyAlignment="1">
      <alignment horizontal="center" vertical="center" wrapText="1"/>
    </xf>
    <xf numFmtId="14" fontId="97" fillId="0" borderId="82" xfId="0" applyNumberFormat="1" applyFont="1" applyBorder="1" applyAlignment="1">
      <alignment horizontal="center" vertical="center" wrapText="1"/>
    </xf>
    <xf numFmtId="3" fontId="97" fillId="0" borderId="83" xfId="0" applyNumberFormat="1" applyFont="1" applyBorder="1" applyAlignment="1">
      <alignment vertical="center" wrapText="1"/>
    </xf>
    <xf numFmtId="3" fontId="97" fillId="0" borderId="84" xfId="0" applyNumberFormat="1" applyFont="1" applyBorder="1" applyAlignment="1">
      <alignment horizontal="right" vertical="center" wrapText="1"/>
    </xf>
    <xf numFmtId="3" fontId="18" fillId="0" borderId="0" xfId="0" applyNumberFormat="1" applyFont="1" applyAlignment="1"/>
    <xf numFmtId="14" fontId="97" fillId="0" borderId="89" xfId="0" applyNumberFormat="1" applyFont="1" applyBorder="1" applyAlignment="1">
      <alignment horizontal="center" vertical="center" wrapText="1"/>
    </xf>
    <xf numFmtId="14" fontId="97" fillId="0" borderId="8" xfId="0" applyNumberFormat="1" applyFont="1" applyBorder="1" applyAlignment="1">
      <alignment horizontal="center" vertical="center" wrapText="1"/>
    </xf>
    <xf numFmtId="3" fontId="97" fillId="0" borderId="90" xfId="0" applyNumberFormat="1" applyFont="1" applyBorder="1" applyAlignment="1">
      <alignment vertical="center" wrapText="1"/>
    </xf>
    <xf numFmtId="3" fontId="97" fillId="0" borderId="84" xfId="0" applyNumberFormat="1" applyFont="1" applyBorder="1" applyAlignment="1">
      <alignment vertical="center" wrapText="1"/>
    </xf>
    <xf numFmtId="4" fontId="95" fillId="0" borderId="0" xfId="0" applyFont="1" applyBorder="1" applyAlignment="1">
      <alignment horizontal="left" vertical="center" wrapText="1"/>
    </xf>
    <xf numFmtId="4" fontId="96" fillId="0" borderId="0" xfId="0" applyFont="1" applyBorder="1" applyAlignment="1"/>
    <xf numFmtId="14" fontId="97" fillId="0" borderId="0" xfId="0" applyNumberFormat="1" applyFont="1" applyBorder="1" applyAlignment="1">
      <alignment horizontal="center" vertical="center" wrapText="1"/>
    </xf>
    <xf numFmtId="3" fontId="97" fillId="0" borderId="0" xfId="0" applyNumberFormat="1" applyFont="1" applyBorder="1" applyAlignment="1">
      <alignment vertical="center" wrapText="1"/>
    </xf>
    <xf numFmtId="4" fontId="98" fillId="0" borderId="0" xfId="0" applyFont="1" applyAlignment="1"/>
    <xf numFmtId="43" fontId="26" fillId="13" borderId="53" xfId="0" applyNumberFormat="1" applyFont="1" applyFill="1" applyBorder="1" applyAlignment="1">
      <alignment horizontal="center" vertical="center"/>
    </xf>
    <xf numFmtId="43" fontId="26" fillId="13" borderId="58" xfId="0" applyNumberFormat="1" applyFont="1" applyFill="1" applyBorder="1" applyAlignment="1">
      <alignment horizontal="center" vertical="center"/>
    </xf>
    <xf numFmtId="43" fontId="26" fillId="13" borderId="43" xfId="0" applyNumberFormat="1" applyFont="1" applyFill="1" applyBorder="1" applyAlignment="1">
      <alignment horizontal="center" vertical="center"/>
    </xf>
    <xf numFmtId="43" fontId="26" fillId="13" borderId="48" xfId="0" applyNumberFormat="1" applyFont="1" applyFill="1" applyBorder="1" applyAlignment="1">
      <alignment horizontal="center" vertical="center"/>
    </xf>
    <xf numFmtId="14" fontId="26" fillId="13" borderId="42" xfId="0" applyNumberFormat="1" applyFont="1" applyFill="1" applyBorder="1" applyAlignment="1">
      <alignment horizontal="center" vertical="center"/>
    </xf>
    <xf numFmtId="4" fontId="18" fillId="0" borderId="68" xfId="0" applyNumberFormat="1" applyFont="1" applyBorder="1" applyAlignment="1">
      <alignment horizontal="center" vertical="center" wrapText="1"/>
    </xf>
    <xf numFmtId="14" fontId="91" fillId="5" borderId="5" xfId="0" applyNumberFormat="1" applyFont="1" applyFill="1" applyBorder="1" applyAlignment="1">
      <alignment horizontal="right" vertical="center" wrapText="1"/>
    </xf>
    <xf numFmtId="14" fontId="51" fillId="5" borderId="5" xfId="0" applyNumberFormat="1" applyFont="1" applyFill="1" applyBorder="1" applyAlignment="1">
      <alignment horizontal="right" vertical="center" wrapText="1"/>
    </xf>
    <xf numFmtId="14" fontId="91" fillId="0" borderId="5" xfId="0" applyNumberFormat="1" applyFont="1" applyBorder="1" applyAlignment="1">
      <alignment horizontal="right" vertical="center" wrapText="1"/>
    </xf>
    <xf numFmtId="14" fontId="26" fillId="13" borderId="3" xfId="0" applyNumberFormat="1" applyFont="1" applyFill="1" applyBorder="1" applyAlignment="1">
      <alignment horizontal="right" vertical="center"/>
    </xf>
    <xf numFmtId="14" fontId="37" fillId="13" borderId="3" xfId="0" applyNumberFormat="1" applyFont="1" applyFill="1" applyBorder="1" applyAlignment="1">
      <alignment horizontal="right" vertical="center"/>
    </xf>
    <xf numFmtId="14" fontId="29" fillId="0" borderId="5" xfId="0" applyNumberFormat="1" applyFont="1" applyBorder="1" applyAlignment="1">
      <alignment horizontal="right" vertical="center" wrapText="1"/>
    </xf>
    <xf numFmtId="14" fontId="14" fillId="0" borderId="3" xfId="0" applyNumberFormat="1" applyFont="1" applyBorder="1" applyAlignment="1">
      <alignment horizontal="center" vertical="center" wrapText="1"/>
    </xf>
    <xf numFmtId="4" fontId="40" fillId="5" borderId="3" xfId="0" applyNumberFormat="1" applyFont="1" applyFill="1" applyBorder="1" applyAlignment="1">
      <alignment horizontal="right" vertical="center" wrapText="1"/>
    </xf>
    <xf numFmtId="4" fontId="40" fillId="0" borderId="28" xfId="0" applyFont="1" applyBorder="1" applyAlignment="1">
      <alignment horizontal="left" vertical="center" wrapText="1"/>
    </xf>
    <xf numFmtId="4" fontId="29" fillId="0" borderId="19" xfId="0" applyFont="1" applyBorder="1" applyAlignment="1">
      <alignment horizontal="left" vertical="center" wrapText="1"/>
    </xf>
    <xf numFmtId="14" fontId="63" fillId="0" borderId="19" xfId="0" applyNumberFormat="1" applyFont="1" applyBorder="1" applyAlignment="1">
      <alignment horizontal="center" vertical="center" wrapText="1"/>
    </xf>
    <xf numFmtId="14" fontId="63" fillId="0" borderId="42" xfId="0" applyNumberFormat="1" applyFont="1" applyBorder="1" applyAlignment="1">
      <alignment horizontal="center" vertical="center" wrapText="1"/>
    </xf>
    <xf numFmtId="4" fontId="29" fillId="0" borderId="3" xfId="0" applyFont="1" applyBorder="1" applyAlignment="1">
      <alignment vertical="center" wrapText="1"/>
    </xf>
    <xf numFmtId="14" fontId="63" fillId="0" borderId="3" xfId="0" applyNumberFormat="1" applyFont="1" applyBorder="1" applyAlignment="1">
      <alignment horizontal="center" vertical="center" wrapText="1"/>
    </xf>
    <xf numFmtId="4" fontId="29" fillId="0" borderId="19" xfId="0" applyFont="1" applyBorder="1" applyAlignment="1">
      <alignment vertical="center" wrapText="1"/>
    </xf>
    <xf numFmtId="14" fontId="63" fillId="0" borderId="64" xfId="0" applyNumberFormat="1" applyFont="1" applyBorder="1" applyAlignment="1">
      <alignment horizontal="center" vertical="center" wrapText="1"/>
    </xf>
    <xf numFmtId="4" fontId="29" fillId="0" borderId="2" xfId="0" applyFont="1" applyBorder="1" applyAlignment="1">
      <alignment vertical="center" wrapText="1"/>
    </xf>
    <xf numFmtId="4" fontId="29" fillId="0" borderId="19" xfId="0" applyNumberFormat="1" applyFont="1" applyBorder="1" applyAlignment="1">
      <alignment horizontal="left" vertical="center" wrapText="1"/>
    </xf>
    <xf numFmtId="4" fontId="29" fillId="0" borderId="51" xfId="0" applyFont="1" applyBorder="1" applyAlignment="1">
      <alignment vertical="center" wrapText="1"/>
    </xf>
    <xf numFmtId="49" fontId="29" fillId="0" borderId="44" xfId="0" applyNumberFormat="1" applyFont="1" applyBorder="1" applyAlignment="1">
      <alignment vertical="center" wrapText="1"/>
    </xf>
    <xf numFmtId="49" fontId="29" fillId="0" borderId="42" xfId="0" applyNumberFormat="1" applyFont="1" applyBorder="1" applyAlignment="1">
      <alignment vertical="center" wrapText="1"/>
    </xf>
    <xf numFmtId="49" fontId="29" fillId="0" borderId="3" xfId="0" applyNumberFormat="1" applyFont="1" applyBorder="1" applyAlignment="1">
      <alignment vertical="center" wrapText="1"/>
    </xf>
    <xf numFmtId="49" fontId="29" fillId="0" borderId="19" xfId="0" applyNumberFormat="1" applyFont="1" applyBorder="1" applyAlignment="1">
      <alignment vertical="center" wrapText="1"/>
    </xf>
    <xf numFmtId="4" fontId="29" fillId="0" borderId="19" xfId="0" applyFont="1" applyBorder="1" applyAlignment="1">
      <alignment horizontal="right" vertical="center" wrapText="1"/>
    </xf>
    <xf numFmtId="4" fontId="63" fillId="0" borderId="19" xfId="0" applyFont="1" applyBorder="1" applyAlignment="1">
      <alignment horizontal="right" vertical="center" wrapText="1"/>
    </xf>
    <xf numFmtId="4" fontId="29" fillId="0" borderId="42" xfId="0" applyFont="1" applyBorder="1" applyAlignment="1">
      <alignment horizontal="right" vertical="center" wrapText="1"/>
    </xf>
    <xf numFmtId="4" fontId="29" fillId="0" borderId="3" xfId="0" applyFont="1" applyBorder="1" applyAlignment="1">
      <alignment horizontal="right" vertical="center" wrapText="1"/>
    </xf>
    <xf numFmtId="3" fontId="73" fillId="0" borderId="0" xfId="0" applyNumberFormat="1" applyFont="1" applyBorder="1">
      <alignment vertical="top"/>
    </xf>
    <xf numFmtId="3" fontId="6" fillId="0" borderId="14" xfId="1" applyFont="1" applyBorder="1" applyAlignment="1">
      <alignment horizontal="left"/>
    </xf>
    <xf numFmtId="3" fontId="6" fillId="0" borderId="15" xfId="1" applyFont="1" applyBorder="1" applyAlignment="1">
      <alignment horizontal="left"/>
    </xf>
    <xf numFmtId="3" fontId="7" fillId="0" borderId="9" xfId="1" applyFont="1" applyBorder="1" applyAlignment="1">
      <alignment horizontal="left"/>
    </xf>
    <xf numFmtId="3" fontId="7" fillId="0" borderId="39" xfId="1" applyFont="1" applyBorder="1" applyAlignment="1">
      <alignment horizontal="left"/>
    </xf>
    <xf numFmtId="4" fontId="7" fillId="0" borderId="10" xfId="1" applyNumberFormat="1" applyFont="1" applyBorder="1" applyAlignment="1">
      <alignment horizontal="left"/>
    </xf>
    <xf numFmtId="4" fontId="7" fillId="0" borderId="40" xfId="1" applyNumberFormat="1" applyFont="1" applyBorder="1" applyAlignment="1">
      <alignment horizontal="left"/>
    </xf>
    <xf numFmtId="3" fontId="7" fillId="0" borderId="11" xfId="1" applyFont="1" applyBorder="1" applyAlignment="1">
      <alignment horizontal="left"/>
    </xf>
    <xf numFmtId="3" fontId="7" fillId="0" borderId="41" xfId="1" applyFont="1" applyBorder="1" applyAlignment="1">
      <alignment horizontal="left"/>
    </xf>
    <xf numFmtId="3" fontId="9" fillId="0" borderId="14" xfId="1" applyFont="1" applyBorder="1" applyAlignment="1">
      <alignment horizontal="left"/>
    </xf>
    <xf numFmtId="3" fontId="9" fillId="0" borderId="15" xfId="1" applyFont="1" applyBorder="1" applyAlignment="1">
      <alignment horizontal="left"/>
    </xf>
    <xf numFmtId="3" fontId="6" fillId="3" borderId="5" xfId="1" applyFont="1" applyFill="1" applyBorder="1" applyAlignment="1">
      <alignment horizontal="left"/>
    </xf>
    <xf numFmtId="3" fontId="6" fillId="0" borderId="26" xfId="1" applyFont="1" applyFill="1" applyBorder="1" applyAlignment="1">
      <alignment horizontal="left"/>
    </xf>
    <xf numFmtId="3" fontId="6" fillId="0" borderId="30" xfId="1" applyFont="1" applyFill="1" applyBorder="1" applyAlignment="1">
      <alignment horizontal="left"/>
    </xf>
    <xf numFmtId="3" fontId="6" fillId="0" borderId="26" xfId="1" applyFont="1" applyBorder="1" applyAlignment="1">
      <alignment horizontal="left"/>
    </xf>
    <xf numFmtId="3" fontId="6" fillId="0" borderId="30" xfId="1" applyFont="1" applyBorder="1" applyAlignment="1">
      <alignment horizontal="left"/>
    </xf>
    <xf numFmtId="3" fontId="5" fillId="2" borderId="31" xfId="1" applyFont="1" applyFill="1" applyBorder="1" applyAlignment="1">
      <alignment horizontal="center" wrapText="1"/>
    </xf>
    <xf numFmtId="3" fontId="5" fillId="2" borderId="8" xfId="1" applyFont="1" applyFill="1" applyBorder="1" applyAlignment="1">
      <alignment horizontal="center" wrapText="1"/>
    </xf>
    <xf numFmtId="4" fontId="5" fillId="2" borderId="31" xfId="1" applyNumberFormat="1" applyFont="1" applyFill="1" applyBorder="1" applyAlignment="1">
      <alignment horizontal="center" wrapText="1"/>
    </xf>
    <xf numFmtId="4" fontId="5" fillId="2" borderId="8" xfId="1" applyNumberFormat="1" applyFont="1" applyFill="1" applyBorder="1" applyAlignment="1">
      <alignment horizontal="center" wrapText="1"/>
    </xf>
    <xf numFmtId="4" fontId="5" fillId="2" borderId="7" xfId="1" applyNumberFormat="1" applyFont="1" applyFill="1" applyBorder="1" applyAlignment="1">
      <alignment horizontal="center"/>
    </xf>
    <xf numFmtId="4" fontId="5" fillId="2" borderId="32" xfId="1" applyNumberFormat="1" applyFont="1" applyFill="1" applyBorder="1" applyAlignment="1">
      <alignment horizontal="center"/>
    </xf>
    <xf numFmtId="4" fontId="5" fillId="2" borderId="33" xfId="1" applyNumberFormat="1" applyFont="1" applyFill="1" applyBorder="1" applyAlignment="1">
      <alignment horizontal="center"/>
    </xf>
    <xf numFmtId="3" fontId="3" fillId="0" borderId="0" xfId="1" applyFont="1" applyBorder="1" applyAlignment="1">
      <alignment horizontal="center"/>
    </xf>
    <xf numFmtId="4" fontId="4" fillId="2" borderId="34" xfId="0" applyFont="1" applyFill="1" applyBorder="1" applyAlignment="1">
      <alignment horizontal="center" wrapText="1"/>
    </xf>
    <xf numFmtId="4" fontId="4" fillId="2" borderId="8" xfId="0" applyFont="1" applyFill="1" applyBorder="1" applyAlignment="1">
      <alignment horizontal="center" wrapText="1"/>
    </xf>
    <xf numFmtId="49" fontId="5" fillId="2" borderId="16" xfId="1" applyNumberFormat="1" applyFont="1" applyFill="1" applyBorder="1" applyAlignment="1">
      <alignment horizontal="center" wrapText="1"/>
    </xf>
    <xf numFmtId="4" fontId="4" fillId="2" borderId="17" xfId="0" applyFont="1" applyFill="1" applyBorder="1" applyAlignment="1">
      <alignment horizontal="center" wrapText="1"/>
    </xf>
    <xf numFmtId="4" fontId="4" fillId="2" borderId="35" xfId="0" applyFont="1" applyFill="1" applyBorder="1" applyAlignment="1">
      <alignment horizontal="center" wrapText="1"/>
    </xf>
    <xf numFmtId="4" fontId="4" fillId="2" borderId="36" xfId="0" applyFont="1" applyFill="1" applyBorder="1" applyAlignment="1">
      <alignment horizontal="center" wrapText="1"/>
    </xf>
    <xf numFmtId="4" fontId="4" fillId="2" borderId="37" xfId="0" applyFont="1" applyFill="1" applyBorder="1" applyAlignment="1">
      <alignment horizontal="center" wrapText="1"/>
    </xf>
    <xf numFmtId="4" fontId="4" fillId="2" borderId="38" xfId="0" applyFont="1" applyFill="1" applyBorder="1" applyAlignment="1">
      <alignment horizontal="center" wrapText="1"/>
    </xf>
    <xf numFmtId="49" fontId="5" fillId="2" borderId="31" xfId="1" applyNumberFormat="1" applyFont="1" applyFill="1" applyBorder="1" applyAlignment="1">
      <alignment horizontal="center" wrapText="1"/>
    </xf>
    <xf numFmtId="49" fontId="5" fillId="2" borderId="34" xfId="1" applyNumberFormat="1" applyFont="1" applyFill="1" applyBorder="1" applyAlignment="1">
      <alignment horizontal="center" wrapText="1"/>
    </xf>
    <xf numFmtId="49" fontId="5" fillId="2" borderId="8" xfId="1" applyNumberFormat="1" applyFont="1" applyFill="1" applyBorder="1" applyAlignment="1">
      <alignment horizontal="center" wrapText="1"/>
    </xf>
    <xf numFmtId="3" fontId="5" fillId="2" borderId="7" xfId="1" applyFont="1" applyFill="1" applyBorder="1" applyAlignment="1">
      <alignment horizontal="center"/>
    </xf>
    <xf numFmtId="3" fontId="5" fillId="2" borderId="32" xfId="1" applyFont="1" applyFill="1" applyBorder="1" applyAlignment="1">
      <alignment horizontal="center"/>
    </xf>
    <xf numFmtId="3" fontId="5" fillId="2" borderId="33" xfId="1" applyFont="1" applyFill="1" applyBorder="1" applyAlignment="1">
      <alignment horizontal="center"/>
    </xf>
    <xf numFmtId="4" fontId="18" fillId="0" borderId="28" xfId="0" applyFont="1" applyBorder="1" applyAlignment="1">
      <alignment horizontal="left" vertical="center" wrapText="1"/>
    </xf>
    <xf numFmtId="4" fontId="18" fillId="0" borderId="49" xfId="0" applyFont="1" applyBorder="1" applyAlignment="1">
      <alignment horizontal="left" vertical="center" wrapText="1"/>
    </xf>
    <xf numFmtId="4" fontId="18" fillId="0" borderId="43" xfId="0" applyFont="1" applyBorder="1" applyAlignment="1">
      <alignment horizontal="left" vertical="center" wrapText="1"/>
    </xf>
    <xf numFmtId="4" fontId="17" fillId="2" borderId="42" xfId="0" applyFont="1" applyFill="1" applyBorder="1" applyAlignment="1">
      <alignment horizontal="left" vertical="center"/>
    </xf>
    <xf numFmtId="4" fontId="17" fillId="2" borderId="51" xfId="0" applyFont="1" applyFill="1" applyBorder="1" applyAlignment="1">
      <alignment horizontal="left" vertical="center"/>
    </xf>
    <xf numFmtId="4" fontId="17" fillId="10" borderId="0" xfId="0" applyFont="1" applyFill="1" applyAlignment="1">
      <alignment horizontal="left"/>
    </xf>
    <xf numFmtId="4" fontId="19" fillId="3" borderId="7" xfId="0" applyFont="1" applyFill="1" applyBorder="1" applyAlignment="1">
      <alignment horizontal="center"/>
    </xf>
    <xf numFmtId="4" fontId="19" fillId="3" borderId="33" xfId="0" applyFont="1" applyFill="1" applyBorder="1" applyAlignment="1">
      <alignment horizontal="center"/>
    </xf>
    <xf numFmtId="4" fontId="19" fillId="3" borderId="5" xfId="0" applyFont="1" applyFill="1" applyBorder="1" applyAlignment="1">
      <alignment horizontal="center"/>
    </xf>
    <xf numFmtId="4" fontId="17" fillId="2" borderId="5" xfId="0" applyFont="1" applyFill="1" applyBorder="1" applyAlignment="1">
      <alignment horizontal="left" vertical="center"/>
    </xf>
    <xf numFmtId="4" fontId="18" fillId="11" borderId="46" xfId="0" applyFont="1" applyFill="1" applyBorder="1" applyAlignment="1">
      <alignment horizontal="left"/>
    </xf>
    <xf numFmtId="4" fontId="18" fillId="11" borderId="44" xfId="0" applyFont="1" applyFill="1" applyBorder="1" applyAlignment="1">
      <alignment horizontal="left"/>
    </xf>
    <xf numFmtId="4" fontId="17" fillId="2" borderId="47" xfId="0" applyFont="1" applyFill="1" applyBorder="1" applyAlignment="1">
      <alignment horizontal="left" vertical="center"/>
    </xf>
    <xf numFmtId="4" fontId="17" fillId="2" borderId="48" xfId="0" applyFont="1" applyFill="1" applyBorder="1" applyAlignment="1">
      <alignment horizontal="left" vertical="center"/>
    </xf>
    <xf numFmtId="4" fontId="12" fillId="0" borderId="3" xfId="0" applyFont="1" applyBorder="1" applyAlignment="1">
      <alignment horizontal="left" vertical="center" wrapText="1"/>
    </xf>
    <xf numFmtId="4" fontId="17" fillId="2" borderId="28" xfId="0" applyFont="1" applyFill="1" applyBorder="1" applyAlignment="1">
      <alignment horizontal="left" vertical="center"/>
    </xf>
    <xf numFmtId="4" fontId="17" fillId="2" borderId="43" xfId="0" applyFont="1" applyFill="1" applyBorder="1" applyAlignment="1">
      <alignment horizontal="left" vertical="center"/>
    </xf>
    <xf numFmtId="4" fontId="17" fillId="11" borderId="28" xfId="0" applyFont="1" applyFill="1" applyBorder="1" applyAlignment="1">
      <alignment horizontal="left"/>
    </xf>
    <xf numFmtId="4" fontId="17" fillId="11" borderId="49" xfId="0" applyFont="1" applyFill="1" applyBorder="1" applyAlignment="1">
      <alignment horizontal="left"/>
    </xf>
    <xf numFmtId="4" fontId="17" fillId="11" borderId="43" xfId="0" applyFont="1" applyFill="1" applyBorder="1" applyAlignment="1">
      <alignment horizontal="left"/>
    </xf>
    <xf numFmtId="4" fontId="22" fillId="0" borderId="27" xfId="0" applyFont="1" applyBorder="1" applyAlignment="1">
      <alignment horizontal="left" vertical="center" wrapText="1"/>
    </xf>
    <xf numFmtId="4" fontId="22" fillId="0" borderId="52" xfId="0" applyFont="1" applyBorder="1" applyAlignment="1">
      <alignment horizontal="left" vertical="center" wrapText="1"/>
    </xf>
    <xf numFmtId="4" fontId="22" fillId="0" borderId="53" xfId="0" applyFont="1" applyBorder="1" applyAlignment="1">
      <alignment horizontal="left" vertical="center" wrapText="1"/>
    </xf>
    <xf numFmtId="4" fontId="22" fillId="0" borderId="28" xfId="0" applyFont="1" applyBorder="1" applyAlignment="1">
      <alignment horizontal="left" vertical="center" wrapText="1"/>
    </xf>
    <xf numFmtId="4" fontId="23" fillId="0" borderId="49" xfId="0" applyFont="1" applyBorder="1" applyAlignment="1">
      <alignment horizontal="left" vertical="center" wrapText="1"/>
    </xf>
    <xf numFmtId="4" fontId="23" fillId="0" borderId="43" xfId="0" applyFont="1" applyBorder="1" applyAlignment="1">
      <alignment horizontal="left" vertical="center" wrapText="1"/>
    </xf>
    <xf numFmtId="4" fontId="22" fillId="0" borderId="29" xfId="0" applyFont="1" applyBorder="1" applyAlignment="1">
      <alignment horizontal="left" vertical="center" wrapText="1"/>
    </xf>
    <xf numFmtId="4" fontId="22" fillId="0" borderId="54" xfId="0" applyFont="1" applyBorder="1" applyAlignment="1">
      <alignment horizontal="left" vertical="center" wrapText="1"/>
    </xf>
    <xf numFmtId="4" fontId="22" fillId="0" borderId="55" xfId="0" applyFont="1" applyBorder="1" applyAlignment="1">
      <alignment horizontal="left" vertical="center" wrapText="1"/>
    </xf>
    <xf numFmtId="4" fontId="17" fillId="11" borderId="5" xfId="0" applyFont="1" applyFill="1" applyBorder="1" applyAlignment="1">
      <alignment horizontal="left"/>
    </xf>
    <xf numFmtId="4" fontId="17" fillId="11" borderId="45" xfId="0" applyFont="1" applyFill="1" applyBorder="1" applyAlignment="1">
      <alignment horizontal="left"/>
    </xf>
    <xf numFmtId="4" fontId="22" fillId="0" borderId="56" xfId="0" applyFont="1" applyBorder="1" applyAlignment="1">
      <alignment horizontal="left" vertical="center" wrapText="1"/>
    </xf>
    <xf numFmtId="4" fontId="22" fillId="0" borderId="57" xfId="0" applyFont="1" applyBorder="1" applyAlignment="1">
      <alignment horizontal="left" vertical="center" wrapText="1"/>
    </xf>
    <xf numFmtId="4" fontId="22" fillId="0" borderId="46" xfId="0" applyFont="1" applyBorder="1" applyAlignment="1">
      <alignment horizontal="left" vertical="center" wrapText="1"/>
    </xf>
    <xf numFmtId="4" fontId="24" fillId="11" borderId="5" xfId="0" applyNumberFormat="1" applyFont="1" applyFill="1" applyBorder="1" applyAlignment="1">
      <alignment horizontal="left"/>
    </xf>
    <xf numFmtId="4" fontId="24" fillId="11" borderId="8" xfId="0" applyNumberFormat="1" applyFont="1" applyFill="1" applyBorder="1" applyAlignment="1">
      <alignment horizontal="left"/>
    </xf>
    <xf numFmtId="4" fontId="24" fillId="11" borderId="62" xfId="0" applyNumberFormat="1" applyFont="1" applyFill="1" applyBorder="1" applyAlignment="1">
      <alignment horizontal="left"/>
    </xf>
    <xf numFmtId="4" fontId="19" fillId="3" borderId="31" xfId="0" applyFont="1" applyFill="1" applyBorder="1" applyAlignment="1">
      <alignment horizontal="center"/>
    </xf>
    <xf numFmtId="4" fontId="19" fillId="3" borderId="63" xfId="0" applyFont="1" applyFill="1" applyBorder="1" applyAlignment="1">
      <alignment horizontal="center"/>
    </xf>
    <xf numFmtId="4" fontId="22" fillId="0" borderId="49" xfId="0" applyFont="1" applyBorder="1" applyAlignment="1">
      <alignment horizontal="left" vertical="center" wrapText="1"/>
    </xf>
    <xf numFmtId="4" fontId="22" fillId="0" borderId="43" xfId="0" applyFont="1" applyBorder="1" applyAlignment="1">
      <alignment horizontal="left" vertical="center" wrapText="1"/>
    </xf>
    <xf numFmtId="4" fontId="17" fillId="11" borderId="5" xfId="0" applyNumberFormat="1" applyFont="1" applyFill="1" applyBorder="1" applyAlignment="1">
      <alignment horizontal="left"/>
    </xf>
    <xf numFmtId="4" fontId="17" fillId="11" borderId="8" xfId="0" applyNumberFormat="1" applyFont="1" applyFill="1" applyBorder="1" applyAlignment="1">
      <alignment horizontal="left"/>
    </xf>
    <xf numFmtId="4" fontId="19" fillId="3" borderId="5" xfId="0" applyNumberFormat="1" applyFont="1" applyFill="1" applyBorder="1" applyAlignment="1">
      <alignment horizontal="center"/>
    </xf>
    <xf numFmtId="4" fontId="19" fillId="3" borderId="45" xfId="0" applyNumberFormat="1" applyFont="1" applyFill="1" applyBorder="1" applyAlignment="1">
      <alignment horizontal="center"/>
    </xf>
    <xf numFmtId="4" fontId="12" fillId="0" borderId="57" xfId="0" applyNumberFormat="1" applyFont="1" applyBorder="1" applyAlignment="1">
      <alignment horizontal="left" vertical="center" wrapText="1"/>
    </xf>
    <xf numFmtId="4" fontId="12" fillId="0" borderId="46" xfId="0" applyNumberFormat="1" applyFont="1" applyBorder="1" applyAlignment="1">
      <alignment horizontal="left" vertical="center" wrapText="1"/>
    </xf>
    <xf numFmtId="4" fontId="17" fillId="2" borderId="5" xfId="0" applyNumberFormat="1" applyFont="1" applyFill="1" applyBorder="1" applyAlignment="1">
      <alignment horizontal="center"/>
    </xf>
    <xf numFmtId="4" fontId="17" fillId="2" borderId="45" xfId="0" applyNumberFormat="1" applyFont="1" applyFill="1" applyBorder="1" applyAlignment="1">
      <alignment horizontal="center"/>
    </xf>
    <xf numFmtId="4" fontId="11" fillId="10" borderId="0" xfId="0" applyFont="1" applyFill="1" applyAlignment="1">
      <alignment horizontal="left"/>
    </xf>
    <xf numFmtId="4" fontId="11" fillId="2" borderId="5" xfId="1" applyNumberFormat="1" applyFont="1" applyFill="1" applyBorder="1" applyAlignment="1">
      <alignment horizontal="center"/>
    </xf>
    <xf numFmtId="3" fontId="69" fillId="0" borderId="5" xfId="1" applyFont="1" applyBorder="1" applyAlignment="1">
      <alignment horizontal="left"/>
    </xf>
    <xf numFmtId="4" fontId="11" fillId="2" borderId="5" xfId="1" applyNumberFormat="1" applyFont="1" applyFill="1" applyBorder="1" applyAlignment="1">
      <alignment horizontal="center" wrapText="1"/>
    </xf>
    <xf numFmtId="4" fontId="72" fillId="0" borderId="5" xfId="1" applyNumberFormat="1" applyFont="1" applyBorder="1" applyAlignment="1">
      <alignment horizontal="left"/>
    </xf>
    <xf numFmtId="3" fontId="11" fillId="0" borderId="0" xfId="1" applyFont="1" applyBorder="1" applyAlignment="1">
      <alignment horizontal="center"/>
    </xf>
    <xf numFmtId="3" fontId="11" fillId="2" borderId="5" xfId="1" applyFont="1" applyFill="1" applyBorder="1" applyAlignment="1">
      <alignment horizontal="center"/>
    </xf>
    <xf numFmtId="3" fontId="11" fillId="2" borderId="5" xfId="1" applyFont="1" applyFill="1" applyBorder="1" applyAlignment="1">
      <alignment horizontal="center" wrapText="1"/>
    </xf>
    <xf numFmtId="4" fontId="12" fillId="2" borderId="5" xfId="0" applyFont="1" applyFill="1" applyBorder="1" applyAlignment="1">
      <alignment horizontal="center" wrapText="1"/>
    </xf>
    <xf numFmtId="49" fontId="11" fillId="2" borderId="5" xfId="1" applyNumberFormat="1" applyFont="1" applyFill="1" applyBorder="1" applyAlignment="1">
      <alignment horizontal="center" wrapText="1"/>
    </xf>
    <xf numFmtId="3" fontId="72" fillId="0" borderId="5" xfId="1" applyFont="1" applyBorder="1" applyAlignment="1">
      <alignment horizontal="left"/>
    </xf>
    <xf numFmtId="3" fontId="69" fillId="3" borderId="5" xfId="1" applyFont="1" applyFill="1" applyBorder="1" applyAlignment="1">
      <alignment horizontal="left"/>
    </xf>
    <xf numFmtId="3" fontId="70" fillId="0" borderId="5" xfId="1" applyFont="1" applyBorder="1" applyAlignment="1">
      <alignment horizontal="left"/>
    </xf>
    <xf numFmtId="4" fontId="25" fillId="0" borderId="28" xfId="0" applyFont="1" applyBorder="1" applyAlignment="1">
      <alignment horizontal="left" vertical="center" wrapText="1"/>
    </xf>
    <xf numFmtId="4" fontId="25" fillId="0" borderId="43" xfId="0" applyFont="1" applyBorder="1" applyAlignment="1">
      <alignment horizontal="left" vertical="center" wrapText="1"/>
    </xf>
    <xf numFmtId="4" fontId="40" fillId="0" borderId="28" xfId="0" applyFont="1" applyFill="1" applyBorder="1" applyAlignment="1">
      <alignment horizontal="left" vertical="center" wrapText="1"/>
    </xf>
    <xf numFmtId="4" fontId="40" fillId="0" borderId="43" xfId="0" applyFont="1" applyFill="1" applyBorder="1" applyAlignment="1">
      <alignment horizontal="left" vertical="center" wrapText="1"/>
    </xf>
    <xf numFmtId="4" fontId="40" fillId="0" borderId="28" xfId="0" applyFont="1" applyBorder="1" applyAlignment="1">
      <alignment horizontal="left" vertical="center" wrapText="1"/>
    </xf>
    <xf numFmtId="4" fontId="40" fillId="0" borderId="43" xfId="0" applyFont="1" applyBorder="1" applyAlignment="1">
      <alignment horizontal="left" vertical="center" wrapText="1"/>
    </xf>
    <xf numFmtId="4" fontId="40" fillId="0" borderId="28" xfId="0" applyFont="1" applyFill="1" applyBorder="1" applyAlignment="1">
      <alignment horizontal="left"/>
    </xf>
    <xf numFmtId="4" fontId="40" fillId="0" borderId="43" xfId="0" applyFont="1" applyFill="1" applyBorder="1" applyAlignment="1">
      <alignment horizontal="left"/>
    </xf>
    <xf numFmtId="4" fontId="12" fillId="0" borderId="3" xfId="0" applyFont="1" applyBorder="1" applyAlignment="1">
      <alignment horizontal="left" vertical="top" wrapText="1"/>
    </xf>
    <xf numFmtId="4" fontId="40" fillId="0" borderId="3" xfId="0" applyFont="1" applyBorder="1" applyAlignment="1">
      <alignment horizontal="left" vertical="center" wrapText="1"/>
    </xf>
    <xf numFmtId="4" fontId="30" fillId="0" borderId="10" xfId="0" applyFont="1" applyFill="1" applyBorder="1" applyAlignment="1">
      <alignment horizontal="left" vertical="center" wrapText="1"/>
    </xf>
    <xf numFmtId="4" fontId="30" fillId="0" borderId="43" xfId="0" applyFont="1" applyFill="1" applyBorder="1" applyAlignment="1">
      <alignment horizontal="left" vertical="center" wrapText="1"/>
    </xf>
    <xf numFmtId="4" fontId="30" fillId="0" borderId="70" xfId="0" applyFont="1" applyFill="1" applyBorder="1" applyAlignment="1">
      <alignment horizontal="left" vertical="center" wrapText="1"/>
    </xf>
    <xf numFmtId="4" fontId="30" fillId="0" borderId="48" xfId="0" applyFont="1" applyFill="1" applyBorder="1" applyAlignment="1">
      <alignment horizontal="left" vertical="center" wrapText="1"/>
    </xf>
    <xf numFmtId="4" fontId="40" fillId="3" borderId="7" xfId="0" applyFont="1" applyFill="1" applyBorder="1" applyAlignment="1">
      <alignment horizontal="left" vertical="center" wrapText="1"/>
    </xf>
    <xf numFmtId="4" fontId="40" fillId="3" borderId="33" xfId="0" applyFont="1" applyFill="1" applyBorder="1" applyAlignment="1">
      <alignment horizontal="left" vertical="center" wrapText="1"/>
    </xf>
    <xf numFmtId="4" fontId="17" fillId="10" borderId="0" xfId="0" applyFont="1" applyFill="1" applyBorder="1" applyAlignment="1">
      <alignment horizontal="left"/>
    </xf>
    <xf numFmtId="4" fontId="14" fillId="0" borderId="7" xfId="0" applyFont="1" applyFill="1" applyBorder="1" applyAlignment="1">
      <alignment horizontal="center" vertical="center" wrapText="1"/>
    </xf>
    <xf numFmtId="4" fontId="14" fillId="0" borderId="33" xfId="0" applyFont="1" applyFill="1" applyBorder="1" applyAlignment="1">
      <alignment horizontal="center" vertical="center" wrapText="1"/>
    </xf>
    <xf numFmtId="4" fontId="18" fillId="0" borderId="6" xfId="0" applyFont="1" applyBorder="1" applyAlignment="1">
      <alignment horizontal="left" vertical="center" wrapText="1"/>
    </xf>
    <xf numFmtId="4" fontId="18" fillId="0" borderId="47" xfId="0" applyFont="1" applyBorder="1" applyAlignment="1">
      <alignment horizontal="left" vertical="center" wrapText="1"/>
    </xf>
    <xf numFmtId="4" fontId="18" fillId="0" borderId="66" xfId="0" applyFont="1" applyBorder="1" applyAlignment="1">
      <alignment horizontal="left" vertical="center" wrapText="1"/>
    </xf>
    <xf numFmtId="4" fontId="18" fillId="0" borderId="48" xfId="0" applyFont="1" applyBorder="1" applyAlignment="1">
      <alignment horizontal="left" vertical="center" wrapText="1"/>
    </xf>
    <xf numFmtId="4" fontId="16" fillId="0" borderId="0" xfId="0" applyFont="1" applyAlignment="1">
      <alignment horizontal="left"/>
    </xf>
    <xf numFmtId="4" fontId="80" fillId="0" borderId="0" xfId="0" applyFont="1" applyFill="1" applyBorder="1" applyAlignment="1">
      <alignment horizontal="left" vertical="center"/>
    </xf>
    <xf numFmtId="4" fontId="19" fillId="3" borderId="5" xfId="0" applyFont="1" applyFill="1" applyBorder="1" applyAlignment="1">
      <alignment horizontal="center" vertical="center"/>
    </xf>
    <xf numFmtId="4" fontId="30" fillId="0" borderId="7" xfId="0" applyFont="1" applyFill="1" applyBorder="1" applyAlignment="1">
      <alignment horizontal="left" vertical="center" wrapText="1"/>
    </xf>
    <xf numFmtId="4" fontId="48" fillId="0" borderId="32" xfId="0" applyFont="1" applyFill="1" applyBorder="1" applyAlignment="1">
      <alignment horizontal="left" vertical="center" wrapText="1"/>
    </xf>
    <xf numFmtId="4" fontId="48" fillId="0" borderId="33" xfId="0" applyFont="1" applyFill="1" applyBorder="1" applyAlignment="1">
      <alignment horizontal="left" vertical="center" wrapText="1"/>
    </xf>
    <xf numFmtId="4" fontId="40" fillId="0" borderId="32" xfId="0" applyFont="1" applyFill="1" applyBorder="1" applyAlignment="1">
      <alignment horizontal="left" vertical="center" wrapText="1"/>
    </xf>
    <xf numFmtId="4" fontId="40" fillId="0" borderId="33" xfId="0" applyFont="1" applyFill="1" applyBorder="1" applyAlignment="1">
      <alignment horizontal="left" vertical="center" wrapText="1"/>
    </xf>
    <xf numFmtId="4" fontId="12" fillId="0" borderId="6" xfId="0" applyNumberFormat="1" applyFont="1" applyBorder="1" applyAlignment="1">
      <alignment horizontal="left" vertical="center" wrapText="1"/>
    </xf>
    <xf numFmtId="4" fontId="12" fillId="0" borderId="61" xfId="0" applyNumberFormat="1" applyFont="1" applyBorder="1" applyAlignment="1">
      <alignment horizontal="left" vertical="center" wrapText="1"/>
    </xf>
    <xf numFmtId="4" fontId="18" fillId="0" borderId="0" xfId="0" applyFont="1" applyBorder="1" applyAlignment="1">
      <alignment horizontal="left" vertical="center" wrapText="1"/>
    </xf>
    <xf numFmtId="4" fontId="67" fillId="10" borderId="0" xfId="0" applyFont="1" applyFill="1" applyAlignment="1">
      <alignment horizontal="left"/>
    </xf>
    <xf numFmtId="4" fontId="28" fillId="0" borderId="28" xfId="0" applyFont="1" applyBorder="1" applyAlignment="1">
      <alignment horizontal="left" vertical="center" wrapText="1"/>
    </xf>
    <xf numFmtId="4" fontId="28" fillId="0" borderId="49" xfId="0" applyFont="1" applyBorder="1" applyAlignment="1">
      <alignment horizontal="left" vertical="center" wrapText="1"/>
    </xf>
    <xf numFmtId="4" fontId="28" fillId="0" borderId="43" xfId="0" applyFont="1" applyBorder="1" applyAlignment="1">
      <alignment horizontal="left" vertical="center" wrapText="1"/>
    </xf>
    <xf numFmtId="4" fontId="88" fillId="0" borderId="7" xfId="0" applyFont="1" applyFill="1" applyBorder="1" applyAlignment="1">
      <alignment horizontal="left" vertical="center" wrapText="1"/>
    </xf>
    <xf numFmtId="4" fontId="89" fillId="0" borderId="32" xfId="0" applyFont="1" applyFill="1" applyBorder="1" applyAlignment="1">
      <alignment horizontal="left" vertical="center" wrapText="1"/>
    </xf>
    <xf numFmtId="4" fontId="89" fillId="0" borderId="33" xfId="0" applyFont="1" applyFill="1" applyBorder="1" applyAlignment="1">
      <alignment horizontal="left" vertical="center" wrapText="1"/>
    </xf>
    <xf numFmtId="4" fontId="81" fillId="10" borderId="0" xfId="0" applyFont="1" applyFill="1" applyAlignment="1">
      <alignment horizontal="left"/>
    </xf>
    <xf numFmtId="4" fontId="90" fillId="0" borderId="28" xfId="0" applyFont="1" applyBorder="1" applyAlignment="1">
      <alignment horizontal="left" vertical="center" wrapText="1"/>
    </xf>
    <xf numFmtId="4" fontId="90" fillId="0" borderId="49" xfId="0" applyFont="1" applyBorder="1" applyAlignment="1">
      <alignment horizontal="left" vertical="center" wrapText="1"/>
    </xf>
    <xf numFmtId="4" fontId="90" fillId="0" borderId="43" xfId="0" applyFont="1" applyBorder="1" applyAlignment="1">
      <alignment horizontal="left" vertical="center" wrapText="1"/>
    </xf>
    <xf numFmtId="4" fontId="67" fillId="2" borderId="5" xfId="0" applyNumberFormat="1" applyFont="1" applyFill="1" applyBorder="1" applyAlignment="1">
      <alignment horizontal="center"/>
    </xf>
    <xf numFmtId="4" fontId="67" fillId="2" borderId="45" xfId="0" applyNumberFormat="1" applyFont="1" applyFill="1" applyBorder="1" applyAlignment="1">
      <alignment horizontal="center"/>
    </xf>
    <xf numFmtId="4" fontId="82" fillId="10" borderId="0" xfId="0" applyFont="1" applyFill="1" applyAlignment="1">
      <alignment horizontal="left"/>
    </xf>
    <xf numFmtId="4" fontId="34" fillId="6" borderId="7" xfId="0" applyFont="1" applyFill="1" applyBorder="1" applyAlignment="1">
      <alignment horizontal="center" vertical="center" wrapText="1"/>
    </xf>
    <xf numFmtId="4" fontId="34" fillId="6" borderId="32" xfId="0" applyFont="1" applyFill="1" applyBorder="1" applyAlignment="1">
      <alignment horizontal="center" vertical="center" wrapText="1"/>
    </xf>
    <xf numFmtId="4" fontId="30" fillId="0" borderId="10" xfId="0" applyFont="1" applyBorder="1" applyAlignment="1">
      <alignment horizontal="left" vertical="center" wrapText="1"/>
    </xf>
    <xf numFmtId="4" fontId="45" fillId="0" borderId="10" xfId="0" applyFont="1" applyBorder="1" applyAlignment="1">
      <alignment horizontal="left" vertical="center" wrapText="1"/>
    </xf>
    <xf numFmtId="4" fontId="44" fillId="0" borderId="43" xfId="0" applyFont="1" applyBorder="1" applyAlignment="1">
      <alignment horizontal="left" vertical="center" wrapText="1"/>
    </xf>
    <xf numFmtId="4" fontId="46" fillId="0" borderId="10" xfId="0" applyFont="1" applyBorder="1" applyAlignment="1">
      <alignment horizontal="left" vertical="center" wrapText="1"/>
    </xf>
    <xf numFmtId="4" fontId="46" fillId="0" borderId="43" xfId="0" applyFont="1" applyBorder="1" applyAlignment="1">
      <alignment horizontal="left" vertical="center" wrapText="1"/>
    </xf>
    <xf numFmtId="4" fontId="37" fillId="0" borderId="10" xfId="0" applyFont="1" applyBorder="1" applyAlignment="1">
      <alignment horizontal="left" vertical="center" wrapText="1"/>
    </xf>
    <xf numFmtId="4" fontId="41" fillId="0" borderId="43" xfId="0" applyFont="1" applyBorder="1" applyAlignment="1">
      <alignment horizontal="left" vertical="center" wrapText="1"/>
    </xf>
    <xf numFmtId="4" fontId="30" fillId="0" borderId="43" xfId="0" applyFont="1" applyBorder="1" applyAlignment="1">
      <alignment horizontal="left" vertical="center" wrapText="1"/>
    </xf>
    <xf numFmtId="4" fontId="43" fillId="0" borderId="10" xfId="0" applyFont="1" applyBorder="1" applyAlignment="1">
      <alignment horizontal="left" vertical="center" wrapText="1"/>
    </xf>
    <xf numFmtId="4" fontId="42" fillId="0" borderId="43" xfId="0" applyFont="1" applyBorder="1" applyAlignment="1">
      <alignment horizontal="left" vertical="center" wrapText="1"/>
    </xf>
    <xf numFmtId="4" fontId="66" fillId="0" borderId="3" xfId="0" applyFont="1" applyBorder="1" applyAlignment="1">
      <alignment horizontal="left" vertical="center" wrapText="1"/>
    </xf>
    <xf numFmtId="4" fontId="43" fillId="0" borderId="43" xfId="0" applyFont="1" applyBorder="1" applyAlignment="1">
      <alignment horizontal="left" vertical="center" wrapText="1"/>
    </xf>
    <xf numFmtId="4" fontId="40" fillId="0" borderId="10" xfId="0" applyFont="1" applyBorder="1" applyAlignment="1">
      <alignment horizontal="left" vertical="center" wrapText="1"/>
    </xf>
    <xf numFmtId="4" fontId="85" fillId="0" borderId="43" xfId="0" applyFont="1" applyBorder="1" applyAlignment="1">
      <alignment horizontal="left" vertical="center" wrapText="1"/>
    </xf>
    <xf numFmtId="4" fontId="35" fillId="0" borderId="9" xfId="0" applyFont="1" applyBorder="1" applyAlignment="1">
      <alignment horizontal="left" vertical="center" wrapText="1"/>
    </xf>
    <xf numFmtId="4" fontId="35" fillId="0" borderId="52" xfId="0" applyFont="1" applyBorder="1" applyAlignment="1">
      <alignment horizontal="left" vertical="center" wrapText="1"/>
    </xf>
    <xf numFmtId="4" fontId="38" fillId="0" borderId="10" xfId="0" applyFont="1" applyBorder="1" applyAlignment="1">
      <alignment horizontal="left" vertical="center" wrapText="1"/>
    </xf>
    <xf numFmtId="4" fontId="39" fillId="0" borderId="43" xfId="0" applyFont="1" applyBorder="1" applyAlignment="1">
      <alignment horizontal="left" vertical="center" wrapText="1"/>
    </xf>
    <xf numFmtId="4" fontId="37" fillId="0" borderId="43" xfId="0" applyFont="1" applyBorder="1" applyAlignment="1">
      <alignment horizontal="left" vertical="center" wrapText="1"/>
    </xf>
    <xf numFmtId="4" fontId="67" fillId="3" borderId="5" xfId="0" applyNumberFormat="1" applyFont="1" applyFill="1" applyBorder="1" applyAlignment="1">
      <alignment horizontal="center"/>
    </xf>
    <xf numFmtId="4" fontId="67" fillId="3" borderId="45" xfId="0" applyNumberFormat="1" applyFont="1" applyFill="1" applyBorder="1" applyAlignment="1">
      <alignment horizontal="center"/>
    </xf>
    <xf numFmtId="4" fontId="47" fillId="0" borderId="10" xfId="0" applyFont="1" applyBorder="1" applyAlignment="1">
      <alignment horizontal="left" vertical="center" wrapText="1"/>
    </xf>
    <xf numFmtId="4" fontId="47" fillId="0" borderId="43" xfId="0" applyFont="1" applyBorder="1" applyAlignment="1">
      <alignment horizontal="left" vertical="center" wrapText="1"/>
    </xf>
    <xf numFmtId="4" fontId="83" fillId="0" borderId="57" xfId="0" applyNumberFormat="1" applyFont="1" applyBorder="1" applyAlignment="1">
      <alignment horizontal="left" vertical="center" wrapText="1"/>
    </xf>
    <xf numFmtId="4" fontId="83" fillId="0" borderId="46" xfId="0" applyNumberFormat="1" applyFont="1" applyBorder="1" applyAlignment="1">
      <alignment horizontal="left" vertical="center" wrapText="1"/>
    </xf>
    <xf numFmtId="4" fontId="38" fillId="0" borderId="43" xfId="0" applyFont="1" applyBorder="1" applyAlignment="1">
      <alignment horizontal="left" vertical="center" wrapText="1"/>
    </xf>
    <xf numFmtId="4" fontId="43" fillId="0" borderId="9" xfId="0" applyFont="1" applyBorder="1" applyAlignment="1">
      <alignment horizontal="left" vertical="center" wrapText="1"/>
    </xf>
    <xf numFmtId="4" fontId="42" fillId="0" borderId="52" xfId="0" applyFont="1" applyBorder="1" applyAlignment="1">
      <alignment horizontal="left" vertical="center" wrapText="1"/>
    </xf>
    <xf numFmtId="4" fontId="41" fillId="6" borderId="7" xfId="0" applyFont="1" applyFill="1" applyBorder="1" applyAlignment="1">
      <alignment horizontal="center" vertical="center" wrapText="1"/>
    </xf>
    <xf numFmtId="4" fontId="41" fillId="6" borderId="32" xfId="0" applyFont="1" applyFill="1" applyBorder="1" applyAlignment="1">
      <alignment horizontal="center" vertical="center" wrapText="1"/>
    </xf>
    <xf numFmtId="4" fontId="60" fillId="8" borderId="7" xfId="0" applyFont="1" applyFill="1" applyBorder="1" applyAlignment="1">
      <alignment horizontal="center" vertical="center" wrapText="1"/>
    </xf>
    <xf numFmtId="4" fontId="60" fillId="8" borderId="33" xfId="0" applyFont="1" applyFill="1" applyBorder="1" applyAlignment="1">
      <alignment horizontal="center" vertical="center" wrapText="1"/>
    </xf>
    <xf numFmtId="4" fontId="37" fillId="0" borderId="11" xfId="0" applyFont="1" applyBorder="1" applyAlignment="1">
      <alignment horizontal="left" vertical="center" wrapText="1"/>
    </xf>
    <xf numFmtId="4" fontId="37" fillId="0" borderId="55" xfId="0" applyFont="1" applyBorder="1" applyAlignment="1">
      <alignment horizontal="left" vertical="center" wrapText="1"/>
    </xf>
    <xf numFmtId="4" fontId="41" fillId="8" borderId="7" xfId="0" applyFont="1" applyFill="1" applyBorder="1" applyAlignment="1">
      <alignment horizontal="center" vertical="center" wrapText="1"/>
    </xf>
    <xf numFmtId="4" fontId="41" fillId="8" borderId="33" xfId="0" applyFont="1" applyFill="1" applyBorder="1" applyAlignment="1">
      <alignment horizontal="center" vertical="center" wrapText="1"/>
    </xf>
    <xf numFmtId="4" fontId="86" fillId="18" borderId="0" xfId="0" applyFont="1" applyFill="1" applyAlignment="1">
      <alignment horizontal="left" vertical="center"/>
    </xf>
    <xf numFmtId="4" fontId="41" fillId="0" borderId="11" xfId="0" applyFont="1" applyBorder="1" applyAlignment="1">
      <alignment horizontal="left" vertical="center" wrapText="1"/>
    </xf>
    <xf numFmtId="4" fontId="41" fillId="0" borderId="54" xfId="0" applyFont="1" applyBorder="1" applyAlignment="1">
      <alignment horizontal="left" vertical="center" wrapText="1"/>
    </xf>
    <xf numFmtId="3" fontId="7" fillId="0" borderId="5" xfId="1" applyFont="1" applyBorder="1" applyAlignment="1">
      <alignment horizontal="left"/>
    </xf>
    <xf numFmtId="4" fontId="7" fillId="0" borderId="5" xfId="1" applyNumberFormat="1" applyFont="1" applyBorder="1" applyAlignment="1">
      <alignment horizontal="left"/>
    </xf>
    <xf numFmtId="4" fontId="5" fillId="2" borderId="5" xfId="1" applyNumberFormat="1" applyFont="1" applyFill="1" applyBorder="1" applyAlignment="1">
      <alignment horizontal="center"/>
    </xf>
    <xf numFmtId="3" fontId="5" fillId="2" borderId="5" xfId="1" applyFont="1" applyFill="1" applyBorder="1" applyAlignment="1">
      <alignment horizontal="center" wrapText="1"/>
    </xf>
    <xf numFmtId="4" fontId="5" fillId="2" borderId="5" xfId="1" applyNumberFormat="1" applyFont="1" applyFill="1" applyBorder="1" applyAlignment="1">
      <alignment horizontal="center" wrapText="1"/>
    </xf>
    <xf numFmtId="4" fontId="4" fillId="2" borderId="5" xfId="0" applyFont="1" applyFill="1" applyBorder="1" applyAlignment="1">
      <alignment horizontal="center" wrapText="1"/>
    </xf>
    <xf numFmtId="49" fontId="5" fillId="2" borderId="5" xfId="1" applyNumberFormat="1" applyFont="1" applyFill="1" applyBorder="1" applyAlignment="1">
      <alignment horizontal="center" wrapText="1"/>
    </xf>
    <xf numFmtId="3" fontId="5" fillId="2" borderId="5" xfId="1" applyFont="1" applyFill="1" applyBorder="1" applyAlignment="1">
      <alignment horizontal="center"/>
    </xf>
    <xf numFmtId="4" fontId="18" fillId="0" borderId="7" xfId="0" applyFont="1" applyBorder="1" applyAlignment="1"/>
    <xf numFmtId="4" fontId="18" fillId="0" borderId="32" xfId="0" applyFont="1" applyBorder="1" applyAlignment="1"/>
    <xf numFmtId="4" fontId="18" fillId="0" borderId="33" xfId="0" applyFont="1" applyBorder="1" applyAlignment="1"/>
    <xf numFmtId="4" fontId="18" fillId="0" borderId="5" xfId="0" applyFont="1" applyBorder="1" applyAlignment="1">
      <alignment horizontal="left" vertical="center" wrapText="1"/>
    </xf>
    <xf numFmtId="4" fontId="29" fillId="0" borderId="74" xfId="0" applyFont="1" applyBorder="1" applyAlignment="1">
      <alignment horizontal="left" vertical="center" wrapText="1"/>
    </xf>
    <xf numFmtId="4" fontId="29" fillId="0" borderId="67" xfId="0" applyFont="1" applyBorder="1" applyAlignment="1">
      <alignment horizontal="left" vertical="center" wrapText="1"/>
    </xf>
    <xf numFmtId="4" fontId="25" fillId="2" borderId="7" xfId="0" applyFont="1" applyFill="1" applyBorder="1" applyAlignment="1">
      <alignment horizontal="center" vertical="center" wrapText="1"/>
    </xf>
    <xf numFmtId="4" fontId="25" fillId="2" borderId="32" xfId="0" applyFont="1" applyFill="1" applyBorder="1" applyAlignment="1">
      <alignment horizontal="center" vertical="center" wrapText="1"/>
    </xf>
    <xf numFmtId="4" fontId="17" fillId="2" borderId="7" xfId="0" applyFont="1" applyFill="1" applyBorder="1" applyAlignment="1">
      <alignment horizontal="center" vertical="center" wrapText="1"/>
    </xf>
    <xf numFmtId="4" fontId="17" fillId="2" borderId="32" xfId="0" applyFont="1" applyFill="1" applyBorder="1" applyAlignment="1">
      <alignment horizontal="center" vertical="center" wrapText="1"/>
    </xf>
    <xf numFmtId="4" fontId="29" fillId="0" borderId="16" xfId="0" applyFont="1" applyBorder="1" applyAlignment="1">
      <alignment horizontal="left" vertical="center" wrapText="1"/>
    </xf>
    <xf numFmtId="4" fontId="29" fillId="0" borderId="57" xfId="0" applyFont="1" applyBorder="1" applyAlignment="1">
      <alignment horizontal="left" vertical="center" wrapText="1"/>
    </xf>
    <xf numFmtId="4" fontId="29" fillId="0" borderId="10" xfId="0" applyFont="1" applyBorder="1" applyAlignment="1">
      <alignment horizontal="left" vertical="center" wrapText="1"/>
    </xf>
    <xf numFmtId="4" fontId="29" fillId="0" borderId="43" xfId="0" applyFont="1" applyBorder="1" applyAlignment="1">
      <alignment horizontal="left" vertical="center" wrapText="1"/>
    </xf>
    <xf numFmtId="4" fontId="29" fillId="0" borderId="70" xfId="0" applyFont="1" applyBorder="1" applyAlignment="1">
      <alignment horizontal="left" vertical="center" wrapText="1"/>
    </xf>
    <xf numFmtId="4" fontId="29" fillId="0" borderId="48" xfId="0" applyFont="1" applyBorder="1" applyAlignment="1">
      <alignment horizontal="left" vertical="center" wrapText="1"/>
    </xf>
    <xf numFmtId="4" fontId="12" fillId="0" borderId="29" xfId="0" applyFont="1" applyBorder="1" applyAlignment="1">
      <alignment horizontal="left" vertical="top" wrapText="1"/>
    </xf>
    <xf numFmtId="4" fontId="12" fillId="0" borderId="54" xfId="0" applyFont="1" applyBorder="1" applyAlignment="1">
      <alignment horizontal="left" vertical="top" wrapText="1"/>
    </xf>
    <xf numFmtId="4" fontId="12" fillId="0" borderId="55" xfId="0" applyFont="1" applyBorder="1" applyAlignment="1">
      <alignment horizontal="left" vertical="top" wrapText="1"/>
    </xf>
    <xf numFmtId="4" fontId="12" fillId="0" borderId="19" xfId="0" applyFont="1" applyBorder="1" applyAlignment="1">
      <alignment horizontal="left" vertical="top" wrapText="1"/>
    </xf>
    <xf numFmtId="4" fontId="12" fillId="0" borderId="28" xfId="0" applyFont="1" applyBorder="1" applyAlignment="1">
      <alignment horizontal="left" vertical="top" wrapText="1"/>
    </xf>
    <xf numFmtId="4" fontId="12" fillId="0" borderId="49" xfId="0" applyFont="1" applyBorder="1" applyAlignment="1">
      <alignment horizontal="left" vertical="top" wrapText="1"/>
    </xf>
    <xf numFmtId="4" fontId="12" fillId="0" borderId="43" xfId="0" applyFont="1" applyBorder="1" applyAlignment="1">
      <alignment horizontal="left" vertical="top" wrapText="1"/>
    </xf>
    <xf numFmtId="4" fontId="24" fillId="4" borderId="7" xfId="0" applyFont="1" applyFill="1" applyBorder="1" applyAlignment="1">
      <alignment horizontal="center" vertical="center" wrapText="1"/>
    </xf>
    <xf numFmtId="4" fontId="24" fillId="4" borderId="33" xfId="0" applyFont="1" applyFill="1" applyBorder="1" applyAlignment="1">
      <alignment horizontal="center" vertical="center" wrapText="1"/>
    </xf>
    <xf numFmtId="4" fontId="29" fillId="0" borderId="66" xfId="0" applyFont="1" applyBorder="1" applyAlignment="1">
      <alignment horizontal="left" vertical="center" wrapText="1"/>
    </xf>
    <xf numFmtId="4" fontId="0" fillId="0" borderId="0" xfId="0" applyAlignment="1">
      <alignment horizontal="left" vertical="top"/>
    </xf>
    <xf numFmtId="4" fontId="12" fillId="0" borderId="10" xfId="0" applyFont="1" applyFill="1" applyBorder="1" applyAlignment="1">
      <alignment horizontal="left" vertical="center" wrapText="1"/>
    </xf>
    <xf numFmtId="4" fontId="12" fillId="0" borderId="43" xfId="0" applyFont="1" applyFill="1" applyBorder="1" applyAlignment="1">
      <alignment horizontal="left" vertical="center" wrapText="1"/>
    </xf>
    <xf numFmtId="4" fontId="12" fillId="0" borderId="10" xfId="0" applyFont="1" applyFill="1" applyBorder="1" applyAlignment="1">
      <alignment horizontal="left" vertical="center"/>
    </xf>
    <xf numFmtId="4" fontId="12" fillId="0" borderId="43" xfId="0" applyFont="1" applyFill="1" applyBorder="1" applyAlignment="1">
      <alignment horizontal="left" vertical="center"/>
    </xf>
    <xf numFmtId="4" fontId="12" fillId="0" borderId="11" xfId="0" applyFont="1" applyFill="1" applyBorder="1" applyAlignment="1">
      <alignment horizontal="left" vertical="center"/>
    </xf>
    <xf numFmtId="4" fontId="12" fillId="0" borderId="55" xfId="0" applyFont="1" applyFill="1" applyBorder="1" applyAlignment="1">
      <alignment horizontal="left" vertical="center"/>
    </xf>
    <xf numFmtId="4" fontId="11" fillId="3" borderId="16" xfId="0" applyFont="1" applyFill="1" applyBorder="1" applyAlignment="1">
      <alignment horizontal="left" vertical="center" wrapText="1"/>
    </xf>
    <xf numFmtId="4" fontId="11" fillId="3" borderId="17" xfId="0" applyFont="1" applyFill="1" applyBorder="1" applyAlignment="1">
      <alignment horizontal="left" vertical="center" wrapText="1"/>
    </xf>
    <xf numFmtId="4" fontId="11" fillId="0" borderId="7" xfId="0" applyFont="1" applyFill="1" applyBorder="1" applyAlignment="1">
      <alignment horizontal="center" vertical="center" wrapText="1"/>
    </xf>
    <xf numFmtId="4" fontId="11" fillId="0" borderId="33" xfId="0" applyFont="1" applyFill="1" applyBorder="1" applyAlignment="1">
      <alignment horizontal="center" vertical="center" wrapText="1"/>
    </xf>
    <xf numFmtId="4" fontId="11" fillId="0" borderId="7" xfId="0" applyNumberFormat="1" applyFont="1" applyFill="1" applyBorder="1" applyAlignment="1">
      <alignment horizontal="center" vertical="center" wrapText="1"/>
    </xf>
    <xf numFmtId="4" fontId="80" fillId="0" borderId="0" xfId="0" applyFont="1" applyFill="1" applyAlignment="1">
      <alignment horizontal="left" vertical="center"/>
    </xf>
    <xf numFmtId="4" fontId="12" fillId="0" borderId="70" xfId="0" applyFont="1" applyFill="1" applyBorder="1" applyAlignment="1">
      <alignment horizontal="left" vertical="center" wrapText="1"/>
    </xf>
    <xf numFmtId="4" fontId="12" fillId="0" borderId="48" xfId="0" applyFont="1" applyFill="1" applyBorder="1" applyAlignment="1">
      <alignment horizontal="left" vertical="center" wrapText="1"/>
    </xf>
    <xf numFmtId="4" fontId="22" fillId="0" borderId="60" xfId="0" applyFont="1" applyBorder="1" applyAlignment="1">
      <alignment horizontal="left" vertical="center" wrapText="1"/>
    </xf>
    <xf numFmtId="4" fontId="22" fillId="0" borderId="6" xfId="0" applyFont="1" applyBorder="1" applyAlignment="1">
      <alignment horizontal="left" vertical="center" wrapText="1"/>
    </xf>
    <xf numFmtId="4" fontId="22" fillId="0" borderId="61" xfId="0" applyFont="1" applyBorder="1" applyAlignment="1">
      <alignment horizontal="left" vertical="center" wrapText="1"/>
    </xf>
    <xf numFmtId="4" fontId="12" fillId="0" borderId="28" xfId="0" applyNumberFormat="1" applyFont="1" applyBorder="1" applyAlignment="1">
      <alignment horizontal="left" vertical="center" wrapText="1"/>
    </xf>
    <xf numFmtId="4" fontId="12" fillId="0" borderId="49" xfId="0" applyNumberFormat="1" applyFont="1" applyBorder="1" applyAlignment="1">
      <alignment horizontal="left" vertical="center" wrapText="1"/>
    </xf>
    <xf numFmtId="4" fontId="12" fillId="0" borderId="43" xfId="0" applyNumberFormat="1" applyFont="1" applyBorder="1" applyAlignment="1">
      <alignment horizontal="left" vertical="center" wrapText="1"/>
    </xf>
    <xf numFmtId="4" fontId="13" fillId="0" borderId="28" xfId="0" applyFont="1" applyBorder="1" applyAlignment="1">
      <alignment horizontal="left" vertical="center" wrapText="1"/>
    </xf>
    <xf numFmtId="4" fontId="13" fillId="0" borderId="49" xfId="0" applyFont="1" applyBorder="1" applyAlignment="1">
      <alignment horizontal="left" vertical="center" wrapText="1"/>
    </xf>
    <xf numFmtId="4" fontId="13" fillId="0" borderId="43" xfId="0" applyFont="1" applyBorder="1" applyAlignment="1">
      <alignment horizontal="left" vertical="center" wrapText="1"/>
    </xf>
    <xf numFmtId="4" fontId="18" fillId="0" borderId="10" xfId="0" applyFont="1" applyBorder="1" applyAlignment="1">
      <alignment horizontal="left"/>
    </xf>
    <xf numFmtId="4" fontId="18" fillId="0" borderId="43" xfId="0" applyFont="1" applyBorder="1" applyAlignment="1">
      <alignment horizontal="left"/>
    </xf>
    <xf numFmtId="4" fontId="12" fillId="0" borderId="11" xfId="0" applyFont="1" applyFill="1" applyBorder="1" applyAlignment="1">
      <alignment horizontal="left" vertical="center" wrapText="1"/>
    </xf>
    <xf numFmtId="4" fontId="12" fillId="0" borderId="55" xfId="0" applyFont="1" applyFill="1" applyBorder="1" applyAlignment="1">
      <alignment horizontal="left" vertical="center" wrapText="1"/>
    </xf>
    <xf numFmtId="4" fontId="12" fillId="0" borderId="49" xfId="0" applyFont="1" applyFill="1" applyBorder="1" applyAlignment="1">
      <alignment horizontal="left" vertical="center" wrapText="1"/>
    </xf>
    <xf numFmtId="4" fontId="12" fillId="0" borderId="74" xfId="0" applyFont="1" applyFill="1" applyBorder="1" applyAlignment="1">
      <alignment horizontal="left" vertical="center" wrapText="1"/>
    </xf>
    <xf numFmtId="4" fontId="12" fillId="0" borderId="67" xfId="0" applyFont="1" applyFill="1" applyBorder="1" applyAlignment="1">
      <alignment horizontal="left" vertical="center" wrapText="1"/>
    </xf>
    <xf numFmtId="4" fontId="11" fillId="3" borderId="7" xfId="0" applyFont="1" applyFill="1" applyBorder="1" applyAlignment="1">
      <alignment horizontal="left" vertical="center" wrapText="1"/>
    </xf>
    <xf numFmtId="4" fontId="11" fillId="3" borderId="33" xfId="0" applyFont="1" applyFill="1" applyBorder="1" applyAlignment="1">
      <alignment horizontal="left" vertical="center" wrapText="1"/>
    </xf>
    <xf numFmtId="4" fontId="17" fillId="3" borderId="8" xfId="0" applyFont="1" applyFill="1" applyBorder="1" applyAlignment="1">
      <alignment horizontal="center" vertical="center"/>
    </xf>
    <xf numFmtId="4" fontId="17" fillId="3" borderId="5" xfId="0" applyFont="1" applyFill="1" applyBorder="1" applyAlignment="1">
      <alignment horizontal="center" vertical="center"/>
    </xf>
    <xf numFmtId="3" fontId="6" fillId="7" borderId="5" xfId="1" applyFont="1" applyFill="1" applyBorder="1" applyAlignment="1">
      <alignment horizontal="left"/>
    </xf>
    <xf numFmtId="3" fontId="5" fillId="6" borderId="31" xfId="1" applyFont="1" applyFill="1" applyBorder="1" applyAlignment="1">
      <alignment horizontal="center" wrapText="1"/>
    </xf>
    <xf numFmtId="3" fontId="5" fillId="6" borderId="8" xfId="1" applyFont="1" applyFill="1" applyBorder="1" applyAlignment="1">
      <alignment horizontal="center" wrapText="1"/>
    </xf>
    <xf numFmtId="4" fontId="5" fillId="6" borderId="31" xfId="1" applyNumberFormat="1" applyFont="1" applyFill="1" applyBorder="1" applyAlignment="1">
      <alignment horizontal="center" wrapText="1"/>
    </xf>
    <xf numFmtId="4" fontId="5" fillId="6" borderId="8" xfId="1" applyNumberFormat="1" applyFont="1" applyFill="1" applyBorder="1" applyAlignment="1">
      <alignment horizontal="center" wrapText="1"/>
    </xf>
    <xf numFmtId="4" fontId="5" fillId="6" borderId="7" xfId="1" applyNumberFormat="1" applyFont="1" applyFill="1" applyBorder="1" applyAlignment="1">
      <alignment horizontal="center"/>
    </xf>
    <xf numFmtId="4" fontId="5" fillId="6" borderId="32" xfId="1" applyNumberFormat="1" applyFont="1" applyFill="1" applyBorder="1" applyAlignment="1">
      <alignment horizontal="center"/>
    </xf>
    <xf numFmtId="4" fontId="5" fillId="6" borderId="33" xfId="1" applyNumberFormat="1" applyFont="1" applyFill="1" applyBorder="1" applyAlignment="1">
      <alignment horizontal="center"/>
    </xf>
    <xf numFmtId="4" fontId="4" fillId="6" borderId="34" xfId="0" applyFont="1" applyFill="1" applyBorder="1" applyAlignment="1">
      <alignment horizontal="center" wrapText="1"/>
    </xf>
    <xf numFmtId="4" fontId="4" fillId="6" borderId="8" xfId="0" applyFont="1" applyFill="1" applyBorder="1" applyAlignment="1">
      <alignment horizontal="center" wrapText="1"/>
    </xf>
    <xf numFmtId="49" fontId="5" fillId="6" borderId="16" xfId="1" applyNumberFormat="1" applyFont="1" applyFill="1" applyBorder="1" applyAlignment="1">
      <alignment horizontal="center" wrapText="1"/>
    </xf>
    <xf numFmtId="4" fontId="4" fillId="6" borderId="17" xfId="0" applyFont="1" applyFill="1" applyBorder="1" applyAlignment="1">
      <alignment horizontal="center" wrapText="1"/>
    </xf>
    <xf numFmtId="4" fontId="4" fillId="6" borderId="35" xfId="0" applyFont="1" applyFill="1" applyBorder="1" applyAlignment="1">
      <alignment horizontal="center" wrapText="1"/>
    </xf>
    <xf numFmtId="4" fontId="4" fillId="6" borderId="36" xfId="0" applyFont="1" applyFill="1" applyBorder="1" applyAlignment="1">
      <alignment horizontal="center" wrapText="1"/>
    </xf>
    <xf numFmtId="4" fontId="4" fillId="6" borderId="37" xfId="0" applyFont="1" applyFill="1" applyBorder="1" applyAlignment="1">
      <alignment horizontal="center" wrapText="1"/>
    </xf>
    <xf numFmtId="4" fontId="4" fillId="6" borderId="38" xfId="0" applyFont="1" applyFill="1" applyBorder="1" applyAlignment="1">
      <alignment horizontal="center" wrapText="1"/>
    </xf>
    <xf numFmtId="49" fontId="5" fillId="6" borderId="31" xfId="1" applyNumberFormat="1" applyFont="1" applyFill="1" applyBorder="1" applyAlignment="1">
      <alignment horizontal="center" wrapText="1"/>
    </xf>
    <xf numFmtId="49" fontId="5" fillId="6" borderId="34" xfId="1" applyNumberFormat="1" applyFont="1" applyFill="1" applyBorder="1" applyAlignment="1">
      <alignment horizontal="center" wrapText="1"/>
    </xf>
    <xf numFmtId="49" fontId="5" fillId="6" borderId="8" xfId="1" applyNumberFormat="1" applyFont="1" applyFill="1" applyBorder="1" applyAlignment="1">
      <alignment horizontal="center" wrapText="1"/>
    </xf>
    <xf numFmtId="3" fontId="5" fillId="6" borderId="7" xfId="1" applyFont="1" applyFill="1" applyBorder="1" applyAlignment="1">
      <alignment horizontal="center"/>
    </xf>
    <xf numFmtId="3" fontId="5" fillId="6" borderId="32" xfId="1" applyFont="1" applyFill="1" applyBorder="1" applyAlignment="1">
      <alignment horizontal="center"/>
    </xf>
    <xf numFmtId="3" fontId="5" fillId="6" borderId="33" xfId="1" applyFont="1" applyFill="1" applyBorder="1" applyAlignment="1">
      <alignment horizontal="center"/>
    </xf>
    <xf numFmtId="4" fontId="41" fillId="14" borderId="7" xfId="0" applyFont="1" applyFill="1" applyBorder="1" applyAlignment="1">
      <alignment horizontal="center" vertical="center" wrapText="1"/>
    </xf>
    <xf numFmtId="4" fontId="41" fillId="14" borderId="32" xfId="0" applyFont="1" applyFill="1" applyBorder="1" applyAlignment="1">
      <alignment horizontal="center" vertical="center" wrapText="1"/>
    </xf>
    <xf numFmtId="4" fontId="11" fillId="7" borderId="0" xfId="0" applyFont="1" applyFill="1" applyAlignment="1">
      <alignment horizontal="left"/>
    </xf>
    <xf numFmtId="4" fontId="54" fillId="0" borderId="0" xfId="0" applyFont="1" applyAlignment="1">
      <alignment horizontal="left"/>
    </xf>
    <xf numFmtId="4" fontId="34" fillId="7" borderId="0" xfId="0" applyFont="1" applyFill="1" applyAlignment="1">
      <alignment horizontal="left"/>
    </xf>
    <xf numFmtId="4" fontId="32" fillId="14" borderId="7" xfId="0" applyFont="1" applyFill="1" applyBorder="1" applyAlignment="1">
      <alignment horizontal="center"/>
    </xf>
    <xf numFmtId="4" fontId="32" fillId="14" borderId="33" xfId="0" applyFont="1" applyFill="1" applyBorder="1" applyAlignment="1">
      <alignment horizontal="center"/>
    </xf>
    <xf numFmtId="4" fontId="32" fillId="14" borderId="5" xfId="0" applyFont="1" applyFill="1" applyBorder="1" applyAlignment="1">
      <alignment horizontal="center"/>
    </xf>
    <xf numFmtId="4" fontId="34" fillId="6" borderId="5" xfId="0" applyFont="1" applyFill="1" applyBorder="1" applyAlignment="1">
      <alignment horizontal="left" vertical="center"/>
    </xf>
    <xf numFmtId="4" fontId="53" fillId="15" borderId="46" xfId="0" applyFont="1" applyFill="1" applyBorder="1" applyAlignment="1">
      <alignment horizontal="left"/>
    </xf>
    <xf numFmtId="4" fontId="53" fillId="15" borderId="44" xfId="0" applyFont="1" applyFill="1" applyBorder="1" applyAlignment="1">
      <alignment horizontal="left"/>
    </xf>
    <xf numFmtId="4" fontId="34" fillId="6" borderId="47" xfId="0" applyFont="1" applyFill="1" applyBorder="1" applyAlignment="1">
      <alignment horizontal="left" vertical="center"/>
    </xf>
    <xf numFmtId="4" fontId="34" fillId="6" borderId="48" xfId="0" applyFont="1" applyFill="1" applyBorder="1" applyAlignment="1">
      <alignment horizontal="left" vertical="center"/>
    </xf>
    <xf numFmtId="4" fontId="34" fillId="6" borderId="28" xfId="0" applyFont="1" applyFill="1" applyBorder="1" applyAlignment="1">
      <alignment horizontal="left" vertical="center"/>
    </xf>
    <xf numFmtId="4" fontId="34" fillId="6" borderId="43" xfId="0" applyFont="1" applyFill="1" applyBorder="1" applyAlignment="1">
      <alignment horizontal="left" vertical="center"/>
    </xf>
    <xf numFmtId="4" fontId="34" fillId="15" borderId="28" xfId="0" applyFont="1" applyFill="1" applyBorder="1" applyAlignment="1">
      <alignment horizontal="left"/>
    </xf>
    <xf numFmtId="4" fontId="34" fillId="15" borderId="49" xfId="0" applyFont="1" applyFill="1" applyBorder="1" applyAlignment="1">
      <alignment horizontal="left"/>
    </xf>
    <xf numFmtId="4" fontId="34" fillId="15" borderId="43" xfId="0" applyFont="1" applyFill="1" applyBorder="1" applyAlignment="1">
      <alignment horizontal="left"/>
    </xf>
    <xf numFmtId="4" fontId="34" fillId="6" borderId="42" xfId="0" applyFont="1" applyFill="1" applyBorder="1" applyAlignment="1">
      <alignment horizontal="left" vertical="center"/>
    </xf>
    <xf numFmtId="4" fontId="34" fillId="6" borderId="51" xfId="0" applyFont="1" applyFill="1" applyBorder="1" applyAlignment="1">
      <alignment horizontal="left" vertical="center"/>
    </xf>
    <xf numFmtId="4" fontId="59" fillId="0" borderId="49" xfId="0" applyFont="1" applyBorder="1" applyAlignment="1">
      <alignment horizontal="left" vertical="center" wrapText="1"/>
    </xf>
    <xf numFmtId="4" fontId="59" fillId="0" borderId="43" xfId="0" applyFont="1" applyBorder="1" applyAlignment="1">
      <alignment horizontal="left" vertical="center" wrapText="1"/>
    </xf>
    <xf numFmtId="4" fontId="34" fillId="15" borderId="5" xfId="0" applyFont="1" applyFill="1" applyBorder="1" applyAlignment="1">
      <alignment horizontal="left"/>
    </xf>
    <xf numFmtId="4" fontId="34" fillId="15" borderId="45" xfId="0" applyFont="1" applyFill="1" applyBorder="1" applyAlignment="1">
      <alignment horizontal="left"/>
    </xf>
    <xf numFmtId="4" fontId="60" fillId="15" borderId="5" xfId="0" applyNumberFormat="1" applyFont="1" applyFill="1" applyBorder="1" applyAlignment="1">
      <alignment horizontal="left"/>
    </xf>
    <xf numFmtId="4" fontId="60" fillId="15" borderId="45" xfId="0" applyNumberFormat="1" applyFont="1" applyFill="1" applyBorder="1" applyAlignment="1">
      <alignment horizontal="left"/>
    </xf>
    <xf numFmtId="4" fontId="32" fillId="14" borderId="31" xfId="0" applyFont="1" applyFill="1" applyBorder="1" applyAlignment="1">
      <alignment horizontal="center"/>
    </xf>
    <xf numFmtId="4" fontId="32" fillId="14" borderId="63" xfId="0" applyFont="1" applyFill="1" applyBorder="1" applyAlignment="1">
      <alignment horizontal="center"/>
    </xf>
    <xf numFmtId="4" fontId="34" fillId="15" borderId="5" xfId="0" applyNumberFormat="1" applyFont="1" applyFill="1" applyBorder="1" applyAlignment="1">
      <alignment horizontal="left"/>
    </xf>
    <xf numFmtId="4" fontId="32" fillId="14" borderId="5" xfId="0" applyNumberFormat="1" applyFont="1" applyFill="1" applyBorder="1" applyAlignment="1">
      <alignment horizontal="center"/>
    </xf>
    <xf numFmtId="4" fontId="32" fillId="14" borderId="45" xfId="0" applyNumberFormat="1" applyFont="1" applyFill="1" applyBorder="1" applyAlignment="1">
      <alignment horizontal="center"/>
    </xf>
    <xf numFmtId="4" fontId="12" fillId="0" borderId="27" xfId="0" applyNumberFormat="1" applyFont="1" applyBorder="1" applyAlignment="1">
      <alignment horizontal="left" vertical="top" wrapText="1"/>
    </xf>
    <xf numFmtId="4" fontId="12" fillId="0" borderId="52" xfId="0" applyNumberFormat="1" applyFont="1" applyBorder="1" applyAlignment="1">
      <alignment horizontal="left" vertical="top" wrapText="1"/>
    </xf>
    <xf numFmtId="4" fontId="12" fillId="0" borderId="53" xfId="0" applyNumberFormat="1" applyFont="1" applyBorder="1" applyAlignment="1">
      <alignment horizontal="left" vertical="top" wrapText="1"/>
    </xf>
    <xf numFmtId="4" fontId="34" fillId="6" borderId="5" xfId="0" applyNumberFormat="1" applyFont="1" applyFill="1" applyBorder="1" applyAlignment="1">
      <alignment horizontal="center"/>
    </xf>
    <xf numFmtId="4" fontId="34" fillId="6" borderId="45" xfId="0" applyNumberFormat="1" applyFont="1" applyFill="1" applyBorder="1" applyAlignment="1">
      <alignment horizontal="center"/>
    </xf>
    <xf numFmtId="4" fontId="34" fillId="14" borderId="7" xfId="0" applyFont="1" applyFill="1" applyBorder="1" applyAlignment="1">
      <alignment horizontal="center" vertical="center" wrapText="1"/>
    </xf>
    <xf numFmtId="4" fontId="34" fillId="14" borderId="32" xfId="0" applyFont="1" applyFill="1" applyBorder="1" applyAlignment="1">
      <alignment horizontal="center" vertical="center" wrapText="1"/>
    </xf>
    <xf numFmtId="4" fontId="58" fillId="0" borderId="16" xfId="0" applyFont="1" applyBorder="1" applyAlignment="1">
      <alignment horizontal="left" vertical="center" wrapText="1"/>
    </xf>
    <xf numFmtId="4" fontId="0" fillId="0" borderId="46" xfId="0" applyBorder="1" applyAlignment="1">
      <alignment horizontal="left" vertical="center" wrapText="1"/>
    </xf>
    <xf numFmtId="4" fontId="0" fillId="0" borderId="37" xfId="0" applyBorder="1" applyAlignment="1">
      <alignment horizontal="left" vertical="center" wrapText="1"/>
    </xf>
    <xf numFmtId="4" fontId="0" fillId="0" borderId="61" xfId="0" applyBorder="1" applyAlignment="1">
      <alignment horizontal="left" vertical="center" wrapText="1"/>
    </xf>
    <xf numFmtId="14" fontId="41" fillId="0" borderId="44" xfId="0" applyNumberFormat="1" applyFont="1" applyBorder="1" applyAlignment="1">
      <alignment horizontal="center" vertical="center" wrapText="1"/>
    </xf>
    <xf numFmtId="4" fontId="0" fillId="0" borderId="64" xfId="0" applyBorder="1" applyAlignment="1">
      <alignment horizontal="center" vertical="center" wrapText="1"/>
    </xf>
    <xf numFmtId="14" fontId="41" fillId="0" borderId="69" xfId="0" applyNumberFormat="1" applyFont="1" applyBorder="1" applyAlignment="1">
      <alignment horizontal="center" vertical="center" wrapText="1"/>
    </xf>
    <xf numFmtId="4" fontId="0" fillId="0" borderId="76" xfId="0" applyBorder="1" applyAlignment="1">
      <alignment horizontal="center" vertical="center" wrapText="1"/>
    </xf>
    <xf numFmtId="4" fontId="0" fillId="0" borderId="35" xfId="0" applyBorder="1" applyAlignment="1">
      <alignment horizontal="left" vertical="center" wrapText="1"/>
    </xf>
    <xf numFmtId="4" fontId="0" fillId="0" borderId="58" xfId="0" applyBorder="1" applyAlignment="1">
      <alignment horizontal="left" vertical="center" wrapText="1"/>
    </xf>
    <xf numFmtId="4" fontId="0" fillId="0" borderId="51" xfId="0" applyBorder="1" applyAlignment="1">
      <alignment horizontal="center" vertical="center" wrapText="1"/>
    </xf>
    <xf numFmtId="4" fontId="0" fillId="0" borderId="77" xfId="0" applyBorder="1" applyAlignment="1">
      <alignment horizontal="center" vertical="center" wrapText="1"/>
    </xf>
    <xf numFmtId="4" fontId="37" fillId="0" borderId="16" xfId="0" applyFont="1" applyBorder="1" applyAlignment="1">
      <alignment horizontal="left" vertical="center" wrapText="1"/>
    </xf>
    <xf numFmtId="4" fontId="61" fillId="0" borderId="46" xfId="0" applyFont="1" applyBorder="1" applyAlignment="1">
      <alignment horizontal="left" vertical="center" wrapText="1"/>
    </xf>
    <xf numFmtId="4" fontId="61" fillId="0" borderId="37" xfId="0" applyFont="1" applyBorder="1" applyAlignment="1">
      <alignment horizontal="left" vertical="center" wrapText="1"/>
    </xf>
    <xf numFmtId="4" fontId="61" fillId="0" borderId="61" xfId="0" applyFont="1" applyBorder="1" applyAlignment="1">
      <alignment horizontal="left" vertical="center" wrapText="1"/>
    </xf>
    <xf numFmtId="4" fontId="61" fillId="0" borderId="64" xfId="0" applyFont="1" applyBorder="1" applyAlignment="1">
      <alignment horizontal="center" vertical="center" wrapText="1"/>
    </xf>
    <xf numFmtId="4" fontId="61" fillId="0" borderId="76" xfId="0" applyFont="1" applyBorder="1" applyAlignment="1">
      <alignment horizontal="center" vertical="center" wrapText="1"/>
    </xf>
    <xf numFmtId="4" fontId="58" fillId="0" borderId="35" xfId="0" applyFont="1" applyBorder="1" applyAlignment="1">
      <alignment horizontal="left" vertical="center" wrapText="1"/>
    </xf>
    <xf numFmtId="4" fontId="61" fillId="0" borderId="58" xfId="0" applyFont="1" applyBorder="1" applyAlignment="1">
      <alignment horizontal="left" vertical="center" wrapText="1"/>
    </xf>
    <xf numFmtId="14" fontId="41" fillId="0" borderId="51" xfId="0" applyNumberFormat="1" applyFont="1" applyBorder="1" applyAlignment="1">
      <alignment horizontal="center" vertical="center" wrapText="1"/>
    </xf>
    <xf numFmtId="14" fontId="41" fillId="0" borderId="77" xfId="0" applyNumberFormat="1" applyFont="1" applyBorder="1" applyAlignment="1">
      <alignment horizontal="center" vertical="center" wrapText="1"/>
    </xf>
    <xf numFmtId="4" fontId="37" fillId="0" borderId="46" xfId="0" applyFont="1" applyBorder="1" applyAlignment="1">
      <alignment horizontal="left" vertical="center" wrapText="1"/>
    </xf>
    <xf numFmtId="4" fontId="37" fillId="0" borderId="35" xfId="0" applyFont="1" applyBorder="1" applyAlignment="1">
      <alignment horizontal="left" vertical="center" wrapText="1"/>
    </xf>
    <xf numFmtId="4" fontId="37" fillId="0" borderId="58" xfId="0" applyFont="1" applyBorder="1" applyAlignment="1">
      <alignment horizontal="left" vertical="center" wrapText="1"/>
    </xf>
    <xf numFmtId="4" fontId="37" fillId="0" borderId="37" xfId="0" applyFont="1" applyBorder="1" applyAlignment="1">
      <alignment horizontal="left" vertical="center" wrapText="1"/>
    </xf>
    <xf numFmtId="4" fontId="37" fillId="0" borderId="61" xfId="0" applyFont="1" applyBorder="1" applyAlignment="1">
      <alignment horizontal="left" vertical="center" wrapText="1"/>
    </xf>
    <xf numFmtId="4" fontId="61" fillId="0" borderId="0" xfId="0" applyFont="1" applyBorder="1" applyAlignment="1">
      <alignment horizontal="left" vertical="center" wrapText="1"/>
    </xf>
    <xf numFmtId="4" fontId="53" fillId="0" borderId="28" xfId="0" applyFont="1" applyBorder="1" applyAlignment="1">
      <alignment horizontal="left" vertical="center" wrapText="1"/>
    </xf>
    <xf numFmtId="4" fontId="53" fillId="0" borderId="49" xfId="0" applyFont="1" applyBorder="1" applyAlignment="1">
      <alignment horizontal="left" vertical="center" wrapText="1"/>
    </xf>
    <xf numFmtId="4" fontId="53" fillId="0" borderId="43" xfId="0" applyFont="1" applyBorder="1" applyAlignment="1">
      <alignment horizontal="left" vertical="center" wrapText="1"/>
    </xf>
    <xf numFmtId="4" fontId="17" fillId="2" borderId="64" xfId="0" applyFont="1" applyFill="1" applyBorder="1" applyAlignment="1">
      <alignment horizontal="left" vertical="center"/>
    </xf>
    <xf numFmtId="4" fontId="12" fillId="0" borderId="4" xfId="0" applyNumberFormat="1" applyFont="1" applyBorder="1" applyAlignment="1">
      <alignment horizontal="left" vertical="top" wrapText="1"/>
    </xf>
    <xf numFmtId="4" fontId="21" fillId="0" borderId="4" xfId="0" applyNumberFormat="1" applyFont="1" applyBorder="1" applyAlignment="1">
      <alignment horizontal="left" vertical="top" wrapText="1"/>
    </xf>
    <xf numFmtId="4" fontId="18" fillId="0" borderId="2" xfId="0" applyNumberFormat="1" applyFont="1" applyBorder="1" applyAlignment="1">
      <alignment horizontal="left" vertical="top" wrapText="1"/>
    </xf>
    <xf numFmtId="4" fontId="21" fillId="0" borderId="2" xfId="0" applyNumberFormat="1" applyFont="1" applyBorder="1" applyAlignment="1">
      <alignment horizontal="left" vertical="top" wrapText="1"/>
    </xf>
    <xf numFmtId="4" fontId="12" fillId="0" borderId="27" xfId="0" applyNumberFormat="1" applyFont="1" applyBorder="1" applyAlignment="1">
      <alignment horizontal="left" vertical="center" wrapText="1"/>
    </xf>
    <xf numFmtId="4" fontId="12" fillId="0" borderId="52" xfId="0" applyNumberFormat="1" applyFont="1" applyBorder="1" applyAlignment="1">
      <alignment horizontal="left" vertical="center" wrapText="1"/>
    </xf>
    <xf numFmtId="4" fontId="12" fillId="0" borderId="53" xfId="0" applyNumberFormat="1" applyFont="1" applyBorder="1" applyAlignment="1">
      <alignment horizontal="left" vertical="center" wrapText="1"/>
    </xf>
    <xf numFmtId="4" fontId="37" fillId="0" borderId="17" xfId="0" applyFont="1" applyBorder="1" applyAlignment="1">
      <alignment horizontal="left" vertical="center" wrapText="1"/>
    </xf>
    <xf numFmtId="4" fontId="29" fillId="0" borderId="35" xfId="0" applyFont="1" applyBorder="1" applyAlignment="1">
      <alignment horizontal="left" vertical="center" wrapText="1"/>
    </xf>
    <xf numFmtId="4" fontId="29" fillId="0" borderId="36" xfId="0" applyFont="1" applyBorder="1" applyAlignment="1">
      <alignment horizontal="left" vertical="center" wrapText="1"/>
    </xf>
    <xf numFmtId="4" fontId="37" fillId="0" borderId="38" xfId="0" applyFont="1" applyBorder="1" applyAlignment="1">
      <alignment horizontal="left" vertical="center" wrapText="1"/>
    </xf>
    <xf numFmtId="4" fontId="37" fillId="0" borderId="6" xfId="0" applyFont="1" applyBorder="1" applyAlignment="1">
      <alignment horizontal="left" vertical="center" wrapText="1"/>
    </xf>
    <xf numFmtId="4" fontId="37" fillId="0" borderId="36" xfId="0" applyFont="1" applyBorder="1" applyAlignment="1">
      <alignment horizontal="left" vertical="center" wrapText="1"/>
    </xf>
    <xf numFmtId="4" fontId="41" fillId="0" borderId="36" xfId="0" applyFont="1" applyBorder="1" applyAlignment="1">
      <alignment horizontal="left" vertical="center" wrapText="1"/>
    </xf>
    <xf numFmtId="4" fontId="22" fillId="0" borderId="50" xfId="0" applyFont="1" applyBorder="1" applyAlignment="1">
      <alignment horizontal="left" vertical="center" wrapText="1"/>
    </xf>
    <xf numFmtId="4" fontId="22" fillId="0" borderId="0" xfId="0" applyFont="1" applyBorder="1" applyAlignment="1">
      <alignment horizontal="left" vertical="center" wrapText="1"/>
    </xf>
    <xf numFmtId="4" fontId="22" fillId="0" borderId="58" xfId="0" applyFont="1" applyBorder="1" applyAlignment="1">
      <alignment horizontal="left" vertical="center" wrapText="1"/>
    </xf>
    <xf numFmtId="4" fontId="37" fillId="0" borderId="57" xfId="0" applyFont="1" applyBorder="1" applyAlignment="1">
      <alignment horizontal="left" vertical="center" wrapText="1"/>
    </xf>
    <xf numFmtId="4" fontId="37" fillId="0" borderId="0" xfId="0" applyFont="1" applyBorder="1" applyAlignment="1">
      <alignment horizontal="left" vertical="center" wrapText="1"/>
    </xf>
    <xf numFmtId="4" fontId="37" fillId="0" borderId="35" xfId="0" applyFont="1" applyBorder="1" applyAlignment="1">
      <alignment horizontal="left" vertical="top" wrapText="1"/>
    </xf>
    <xf numFmtId="4" fontId="37" fillId="0" borderId="0" xfId="0" applyFont="1" applyBorder="1" applyAlignment="1">
      <alignment horizontal="left" vertical="top" wrapText="1"/>
    </xf>
    <xf numFmtId="49" fontId="37" fillId="0" borderId="37" xfId="0" applyNumberFormat="1" applyFont="1" applyBorder="1" applyAlignment="1">
      <alignment horizontal="left" vertical="center" wrapText="1"/>
    </xf>
    <xf numFmtId="49" fontId="37" fillId="0" borderId="6" xfId="0" applyNumberFormat="1" applyFont="1" applyBorder="1" applyAlignment="1">
      <alignment horizontal="left" vertical="center" wrapText="1"/>
    </xf>
    <xf numFmtId="4" fontId="53" fillId="0" borderId="37" xfId="0" applyFont="1" applyBorder="1" applyAlignment="1">
      <alignment horizontal="left" vertical="center" wrapText="1"/>
    </xf>
    <xf numFmtId="4" fontId="53" fillId="0" borderId="38" xfId="0" applyFont="1" applyBorder="1" applyAlignment="1">
      <alignment horizontal="left" vertical="center" wrapText="1"/>
    </xf>
    <xf numFmtId="4" fontId="53" fillId="0" borderId="16" xfId="0" applyFont="1" applyBorder="1" applyAlignment="1">
      <alignment horizontal="left" vertical="center" wrapText="1"/>
    </xf>
    <xf numFmtId="4" fontId="53" fillId="0" borderId="17" xfId="0" applyFont="1" applyBorder="1" applyAlignment="1">
      <alignment horizontal="left" vertical="center" wrapText="1"/>
    </xf>
    <xf numFmtId="4" fontId="29" fillId="0" borderId="37" xfId="0" applyFont="1" applyBorder="1" applyAlignment="1">
      <alignment horizontal="left" vertical="center" wrapText="1"/>
    </xf>
    <xf numFmtId="4" fontId="29" fillId="0" borderId="38" xfId="0" applyFont="1" applyBorder="1" applyAlignment="1">
      <alignment horizontal="left" vertical="center" wrapText="1"/>
    </xf>
    <xf numFmtId="4" fontId="29" fillId="0" borderId="17" xfId="0" applyFont="1" applyBorder="1" applyAlignment="1">
      <alignment horizontal="left" vertical="center" wrapText="1"/>
    </xf>
    <xf numFmtId="4" fontId="29" fillId="0" borderId="37" xfId="0" applyFont="1" applyBorder="1" applyAlignment="1">
      <alignment horizontal="center" vertical="center" wrapText="1"/>
    </xf>
    <xf numFmtId="4" fontId="29" fillId="0" borderId="38" xfId="0" applyFont="1" applyBorder="1" applyAlignment="1">
      <alignment horizontal="center" vertical="center" wrapText="1"/>
    </xf>
    <xf numFmtId="4" fontId="29" fillId="0" borderId="0" xfId="0" applyFont="1" applyBorder="1" applyAlignment="1">
      <alignment horizontal="left" vertical="center" wrapText="1"/>
    </xf>
    <xf numFmtId="4" fontId="53" fillId="0" borderId="35" xfId="0" applyFont="1" applyBorder="1" applyAlignment="1">
      <alignment horizontal="left" vertical="center" wrapText="1"/>
    </xf>
    <xf numFmtId="4" fontId="53" fillId="0" borderId="36" xfId="0" applyFont="1" applyBorder="1" applyAlignment="1">
      <alignment horizontal="left" vertical="center" wrapText="1"/>
    </xf>
    <xf numFmtId="4" fontId="29" fillId="0" borderId="9" xfId="0" applyFont="1" applyBorder="1" applyAlignment="1">
      <alignment horizontal="left" vertical="center" wrapText="1"/>
    </xf>
    <xf numFmtId="4" fontId="29" fillId="0" borderId="39" xfId="0" applyFont="1" applyBorder="1" applyAlignment="1">
      <alignment horizontal="left" vertical="center" wrapText="1"/>
    </xf>
    <xf numFmtId="4" fontId="25" fillId="2" borderId="33" xfId="0" applyFont="1" applyFill="1" applyBorder="1" applyAlignment="1">
      <alignment horizontal="center" vertical="center" wrapText="1"/>
    </xf>
    <xf numFmtId="4" fontId="28" fillId="0" borderId="0" xfId="0" applyFont="1" applyAlignment="1">
      <alignment horizontal="center"/>
    </xf>
    <xf numFmtId="4" fontId="0" fillId="0" borderId="0" xfId="0" applyAlignment="1">
      <alignment horizontal="center"/>
    </xf>
    <xf numFmtId="4" fontId="18" fillId="0" borderId="28" xfId="0" applyFont="1" applyBorder="1" applyAlignment="1"/>
    <xf numFmtId="4" fontId="0" fillId="0" borderId="49" xfId="0" applyBorder="1" applyAlignment="1"/>
    <xf numFmtId="4" fontId="0" fillId="0" borderId="43" xfId="0" applyBorder="1" applyAlignment="1"/>
    <xf numFmtId="4" fontId="18" fillId="0" borderId="28" xfId="0" applyFont="1" applyBorder="1" applyAlignment="1">
      <alignment wrapText="1"/>
    </xf>
    <xf numFmtId="4" fontId="0" fillId="0" borderId="49" xfId="0" applyBorder="1" applyAlignment="1">
      <alignment wrapText="1"/>
    </xf>
    <xf numFmtId="4" fontId="0" fillId="0" borderId="43" xfId="0" applyBorder="1" applyAlignment="1">
      <alignment wrapText="1"/>
    </xf>
    <xf numFmtId="4" fontId="12" fillId="0" borderId="28" xfId="0" applyFont="1" applyBorder="1" applyAlignment="1">
      <alignment horizontal="left" vertical="center" wrapText="1"/>
    </xf>
    <xf numFmtId="4" fontId="12" fillId="0" borderId="49" xfId="0" applyFont="1" applyBorder="1" applyAlignment="1">
      <alignment horizontal="left" vertical="center" wrapText="1"/>
    </xf>
    <xf numFmtId="4" fontId="12" fillId="0" borderId="43" xfId="0" applyFont="1" applyBorder="1" applyAlignment="1">
      <alignment horizontal="left" vertical="center" wrapText="1"/>
    </xf>
    <xf numFmtId="4" fontId="12" fillId="0" borderId="3" xfId="0" applyNumberFormat="1" applyFont="1" applyBorder="1" applyAlignment="1">
      <alignment horizontal="left" vertical="center" wrapText="1"/>
    </xf>
    <xf numFmtId="4" fontId="17" fillId="2" borderId="8" xfId="0" applyNumberFormat="1" applyFont="1" applyFill="1" applyBorder="1" applyAlignment="1">
      <alignment horizontal="center"/>
    </xf>
    <xf numFmtId="4" fontId="17" fillId="2" borderId="62" xfId="0" applyNumberFormat="1" applyFont="1" applyFill="1" applyBorder="1" applyAlignment="1">
      <alignment horizontal="center"/>
    </xf>
    <xf numFmtId="4" fontId="12" fillId="0" borderId="0" xfId="0" applyFont="1" applyFill="1" applyBorder="1" applyAlignment="1">
      <alignment vertical="top" wrapText="1"/>
    </xf>
    <xf numFmtId="4" fontId="0" fillId="0" borderId="0" xfId="0" applyAlignment="1">
      <alignment vertical="top" wrapText="1"/>
    </xf>
    <xf numFmtId="4" fontId="19" fillId="3" borderId="31" xfId="0" applyNumberFormat="1" applyFont="1" applyFill="1" applyBorder="1" applyAlignment="1">
      <alignment horizontal="center"/>
    </xf>
    <xf numFmtId="4" fontId="19" fillId="3" borderId="63" xfId="0" applyNumberFormat="1" applyFont="1" applyFill="1" applyBorder="1" applyAlignment="1">
      <alignment horizontal="center"/>
    </xf>
    <xf numFmtId="4" fontId="0" fillId="0" borderId="49" xfId="0" applyBorder="1" applyAlignment="1">
      <alignment horizontal="left" vertical="center" wrapText="1"/>
    </xf>
    <xf numFmtId="4" fontId="0" fillId="0" borderId="43" xfId="0" applyBorder="1" applyAlignment="1">
      <alignment horizontal="left" vertical="center" wrapText="1"/>
    </xf>
    <xf numFmtId="4" fontId="12" fillId="16" borderId="70" xfId="0" applyFont="1" applyFill="1" applyBorder="1" applyAlignment="1">
      <alignment horizontal="left" vertical="center" wrapText="1"/>
    </xf>
    <xf numFmtId="4" fontId="12" fillId="16" borderId="48" xfId="0" applyFont="1" applyFill="1" applyBorder="1" applyAlignment="1">
      <alignment horizontal="left" vertical="center" wrapText="1"/>
    </xf>
    <xf numFmtId="4" fontId="18" fillId="0" borderId="50" xfId="0" applyNumberFormat="1" applyFont="1" applyFill="1" applyBorder="1" applyAlignment="1">
      <alignment horizontal="left" wrapText="1"/>
    </xf>
    <xf numFmtId="4" fontId="18" fillId="0" borderId="0" xfId="0" applyNumberFormat="1" applyFont="1" applyFill="1" applyBorder="1" applyAlignment="1">
      <alignment horizontal="left" wrapText="1"/>
    </xf>
    <xf numFmtId="4" fontId="12" fillId="16" borderId="7" xfId="0" applyFont="1" applyFill="1" applyBorder="1" applyAlignment="1">
      <alignment horizontal="left" vertical="center" wrapText="1"/>
    </xf>
    <xf numFmtId="4" fontId="12" fillId="16" borderId="65" xfId="0" applyFont="1" applyFill="1" applyBorder="1" applyAlignment="1">
      <alignment horizontal="left" vertical="center" wrapText="1"/>
    </xf>
    <xf numFmtId="4" fontId="12" fillId="0" borderId="9" xfId="0" applyFont="1" applyFill="1" applyBorder="1" applyAlignment="1">
      <alignment horizontal="left" vertical="center" wrapText="1"/>
    </xf>
    <xf numFmtId="4" fontId="12" fillId="0" borderId="52" xfId="0" applyFont="1" applyFill="1" applyBorder="1" applyAlignment="1">
      <alignment horizontal="left" vertical="center" wrapText="1"/>
    </xf>
    <xf numFmtId="4" fontId="12" fillId="16" borderId="9" xfId="0" applyFont="1" applyFill="1" applyBorder="1" applyAlignment="1">
      <alignment horizontal="left" vertical="center" wrapText="1"/>
    </xf>
    <xf numFmtId="4" fontId="12" fillId="16" borderId="52" xfId="0" applyFont="1" applyFill="1" applyBorder="1" applyAlignment="1">
      <alignment horizontal="left" vertical="center" wrapText="1"/>
    </xf>
    <xf numFmtId="4" fontId="12" fillId="0" borderId="7" xfId="0" applyFont="1" applyFill="1" applyBorder="1" applyAlignment="1">
      <alignment horizontal="left" vertical="center" wrapText="1"/>
    </xf>
    <xf numFmtId="4" fontId="12" fillId="0" borderId="65" xfId="0" applyFont="1" applyFill="1" applyBorder="1" applyAlignment="1">
      <alignment horizontal="left" vertical="center" wrapText="1"/>
    </xf>
    <xf numFmtId="4" fontId="11" fillId="9" borderId="9" xfId="0" applyFont="1" applyFill="1" applyBorder="1" applyAlignment="1">
      <alignment horizontal="left" vertical="center" wrapText="1"/>
    </xf>
    <xf numFmtId="4" fontId="11" fillId="9" borderId="52" xfId="0" applyFont="1" applyFill="1" applyBorder="1" applyAlignment="1">
      <alignment horizontal="left" vertical="center" wrapText="1"/>
    </xf>
    <xf numFmtId="4" fontId="11" fillId="9" borderId="7" xfId="0" applyFont="1" applyFill="1" applyBorder="1" applyAlignment="1">
      <alignment horizontal="left" vertical="center" wrapText="1"/>
    </xf>
    <xf numFmtId="4" fontId="11" fillId="9" borderId="65" xfId="0" applyFont="1" applyFill="1" applyBorder="1" applyAlignment="1">
      <alignment horizontal="left" vertical="center" wrapText="1"/>
    </xf>
    <xf numFmtId="4" fontId="18" fillId="0" borderId="68" xfId="0" applyFont="1" applyBorder="1" applyAlignment="1">
      <alignment horizontal="left" wrapText="1"/>
    </xf>
    <xf numFmtId="4" fontId="29" fillId="0" borderId="0" xfId="0" applyFont="1" applyAlignment="1">
      <alignment horizontal="left"/>
    </xf>
    <xf numFmtId="4" fontId="25" fillId="0" borderId="10" xfId="0" applyFont="1" applyBorder="1" applyAlignment="1">
      <alignment horizontal="left" vertical="center" wrapText="1"/>
    </xf>
    <xf numFmtId="4" fontId="25" fillId="0" borderId="10" xfId="0" applyFont="1" applyBorder="1" applyAlignment="1">
      <alignment vertical="center" wrapText="1"/>
    </xf>
    <xf numFmtId="4" fontId="25" fillId="0" borderId="43" xfId="0" applyFont="1" applyBorder="1" applyAlignment="1">
      <alignment vertical="center" wrapText="1"/>
    </xf>
    <xf numFmtId="4" fontId="25" fillId="0" borderId="10" xfId="0" applyFont="1" applyBorder="1" applyAlignment="1">
      <alignment horizontal="left" vertical="center"/>
    </xf>
    <xf numFmtId="4" fontId="25" fillId="0" borderId="43" xfId="0" applyFont="1" applyBorder="1" applyAlignment="1">
      <alignment horizontal="left" vertical="center"/>
    </xf>
    <xf numFmtId="4" fontId="16" fillId="0" borderId="0" xfId="0" applyFont="1" applyAlignment="1">
      <alignment horizontal="center"/>
    </xf>
    <xf numFmtId="4" fontId="25" fillId="0" borderId="9" xfId="0" applyFont="1" applyBorder="1" applyAlignment="1">
      <alignment horizontal="left" vertical="center" wrapText="1"/>
    </xf>
    <xf numFmtId="4" fontId="25" fillId="0" borderId="53" xfId="0" applyFont="1" applyBorder="1" applyAlignment="1">
      <alignment horizontal="left" vertical="center" wrapText="1"/>
    </xf>
    <xf numFmtId="4" fontId="17" fillId="2" borderId="33" xfId="0" applyFont="1" applyFill="1" applyBorder="1" applyAlignment="1">
      <alignment horizontal="center" vertical="center" wrapText="1"/>
    </xf>
    <xf numFmtId="4" fontId="25" fillId="0" borderId="74" xfId="0" applyFont="1" applyBorder="1" applyAlignment="1">
      <alignment horizontal="left" vertical="center" wrapText="1"/>
    </xf>
    <xf numFmtId="4" fontId="25" fillId="0" borderId="67" xfId="0" applyFont="1" applyBorder="1" applyAlignment="1">
      <alignment horizontal="left" vertical="center" wrapText="1"/>
    </xf>
    <xf numFmtId="4" fontId="25" fillId="0" borderId="35" xfId="0" applyFont="1" applyBorder="1" applyAlignment="1">
      <alignment horizontal="left" vertical="center" wrapText="1"/>
    </xf>
    <xf numFmtId="4" fontId="25" fillId="0" borderId="58" xfId="0" applyFont="1" applyBorder="1" applyAlignment="1">
      <alignment horizontal="left" vertical="center" wrapText="1"/>
    </xf>
    <xf numFmtId="4" fontId="25" fillId="0" borderId="3" xfId="0" applyFont="1" applyBorder="1" applyAlignment="1">
      <alignment horizontal="left" vertical="center" wrapText="1"/>
    </xf>
    <xf numFmtId="4" fontId="25" fillId="0" borderId="70" xfId="0" applyFont="1" applyBorder="1" applyAlignment="1">
      <alignment horizontal="left" vertical="center" wrapText="1"/>
    </xf>
    <xf numFmtId="4" fontId="25" fillId="0" borderId="48" xfId="0" applyFont="1" applyBorder="1" applyAlignment="1">
      <alignment horizontal="left" vertical="center" wrapText="1"/>
    </xf>
    <xf numFmtId="4" fontId="25" fillId="0" borderId="68" xfId="0" applyFont="1" applyBorder="1" applyAlignment="1">
      <alignment horizontal="left" vertical="center" wrapText="1"/>
    </xf>
    <xf numFmtId="4" fontId="25" fillId="0" borderId="11" xfId="0" applyFont="1" applyBorder="1" applyAlignment="1">
      <alignment horizontal="left" vertical="center" wrapText="1"/>
    </xf>
    <xf numFmtId="4" fontId="25" fillId="0" borderId="55" xfId="0" applyFont="1" applyBorder="1" applyAlignment="1">
      <alignment horizontal="left" vertical="center" wrapText="1"/>
    </xf>
    <xf numFmtId="4" fontId="29" fillId="0" borderId="0" xfId="0" applyFont="1" applyAlignment="1">
      <alignment horizontal="center"/>
    </xf>
    <xf numFmtId="4" fontId="25" fillId="10" borderId="0" xfId="0" applyFont="1" applyFill="1" applyAlignment="1">
      <alignment horizontal="left"/>
    </xf>
    <xf numFmtId="4" fontId="30" fillId="0" borderId="28" xfId="0" applyFont="1" applyBorder="1" applyAlignment="1">
      <alignment horizontal="left" vertical="center" wrapText="1"/>
    </xf>
    <xf numFmtId="4" fontId="30" fillId="0" borderId="49" xfId="0" applyFont="1" applyBorder="1" applyAlignment="1">
      <alignment horizontal="left" vertical="center" wrapText="1"/>
    </xf>
    <xf numFmtId="4" fontId="25" fillId="11" borderId="5" xfId="0" applyNumberFormat="1" applyFont="1" applyFill="1" applyBorder="1" applyAlignment="1">
      <alignment horizontal="left"/>
    </xf>
    <xf numFmtId="4" fontId="25" fillId="11" borderId="8" xfId="0" applyNumberFormat="1" applyFont="1" applyFill="1" applyBorder="1" applyAlignment="1">
      <alignment horizontal="left"/>
    </xf>
    <xf numFmtId="4" fontId="25" fillId="2" borderId="5" xfId="0" applyNumberFormat="1" applyFont="1" applyFill="1" applyBorder="1" applyAlignment="1">
      <alignment horizontal="center"/>
    </xf>
    <xf numFmtId="4" fontId="25" fillId="2" borderId="45" xfId="0" applyNumberFormat="1" applyFont="1" applyFill="1" applyBorder="1" applyAlignment="1">
      <alignment horizontal="center"/>
    </xf>
    <xf numFmtId="4" fontId="25" fillId="17" borderId="7" xfId="0" applyFont="1" applyFill="1" applyBorder="1" applyAlignment="1">
      <alignment horizontal="center" vertical="center" wrapText="1"/>
    </xf>
    <xf numFmtId="4" fontId="25" fillId="17" borderId="32" xfId="0" applyFont="1" applyFill="1" applyBorder="1" applyAlignment="1">
      <alignment horizontal="center" vertical="center" wrapText="1"/>
    </xf>
    <xf numFmtId="4" fontId="30" fillId="0" borderId="16" xfId="0" applyFont="1" applyBorder="1" applyAlignment="1">
      <alignment horizontal="left" vertical="top" wrapText="1"/>
    </xf>
    <xf numFmtId="4" fontId="30" fillId="0" borderId="46" xfId="0" applyFont="1" applyBorder="1" applyAlignment="1">
      <alignment horizontal="left" vertical="top" wrapText="1"/>
    </xf>
    <xf numFmtId="4" fontId="30" fillId="0" borderId="35" xfId="0" applyFont="1" applyBorder="1" applyAlignment="1">
      <alignment horizontal="left" vertical="top" wrapText="1"/>
    </xf>
    <xf numFmtId="4" fontId="30" fillId="0" borderId="58" xfId="0" applyFont="1" applyBorder="1" applyAlignment="1">
      <alignment horizontal="left" vertical="top" wrapText="1"/>
    </xf>
    <xf numFmtId="4" fontId="30" fillId="0" borderId="70" xfId="0" applyFont="1" applyBorder="1" applyAlignment="1">
      <alignment horizontal="left" vertical="top" wrapText="1"/>
    </xf>
    <xf numFmtId="4" fontId="30" fillId="0" borderId="48" xfId="0" applyFont="1" applyBorder="1" applyAlignment="1">
      <alignment horizontal="left" vertical="top" wrapText="1"/>
    </xf>
    <xf numFmtId="4" fontId="30" fillId="0" borderId="74" xfId="0" applyFont="1" applyBorder="1" applyAlignment="1">
      <alignment horizontal="left" vertical="top" wrapText="1"/>
    </xf>
    <xf numFmtId="4" fontId="30" fillId="0" borderId="67" xfId="0" applyFont="1" applyBorder="1" applyAlignment="1">
      <alignment horizontal="left" vertical="top" wrapText="1"/>
    </xf>
    <xf numFmtId="4" fontId="30" fillId="0" borderId="10" xfId="0" applyFont="1" applyBorder="1" applyAlignment="1">
      <alignment horizontal="left" vertical="top" wrapText="1"/>
    </xf>
    <xf numFmtId="4" fontId="30" fillId="0" borderId="43" xfId="0" applyFont="1" applyBorder="1" applyAlignment="1">
      <alignment horizontal="left" vertical="top" wrapText="1"/>
    </xf>
    <xf numFmtId="4" fontId="25" fillId="3" borderId="7" xfId="0" applyFont="1" applyFill="1" applyBorder="1" applyAlignment="1">
      <alignment horizontal="center"/>
    </xf>
    <xf numFmtId="4" fontId="25" fillId="3" borderId="33" xfId="0" applyFont="1" applyFill="1" applyBorder="1" applyAlignment="1">
      <alignment horizontal="center"/>
    </xf>
    <xf numFmtId="4" fontId="25" fillId="3" borderId="5" xfId="0" applyFont="1" applyFill="1" applyBorder="1" applyAlignment="1">
      <alignment horizontal="center"/>
    </xf>
    <xf numFmtId="4" fontId="25" fillId="2" borderId="42" xfId="0" applyFont="1" applyFill="1" applyBorder="1" applyAlignment="1">
      <alignment horizontal="left" vertical="center"/>
    </xf>
    <xf numFmtId="4" fontId="25" fillId="2" borderId="51" xfId="0" applyFont="1" applyFill="1" applyBorder="1" applyAlignment="1">
      <alignment horizontal="left" vertical="center"/>
    </xf>
    <xf numFmtId="4" fontId="25" fillId="2" borderId="5" xfId="0" applyFont="1" applyFill="1" applyBorder="1" applyAlignment="1">
      <alignment horizontal="left" vertical="center"/>
    </xf>
    <xf numFmtId="4" fontId="29" fillId="11" borderId="46" xfId="0" applyFont="1" applyFill="1" applyBorder="1" applyAlignment="1">
      <alignment horizontal="left"/>
    </xf>
    <xf numFmtId="4" fontId="29" fillId="11" borderId="44" xfId="0" applyFont="1" applyFill="1" applyBorder="1" applyAlignment="1">
      <alignment horizontal="left"/>
    </xf>
    <xf numFmtId="4" fontId="25" fillId="2" borderId="47" xfId="0" applyFont="1" applyFill="1" applyBorder="1" applyAlignment="1">
      <alignment horizontal="left" vertical="center"/>
    </xf>
    <xf numFmtId="4" fontId="25" fillId="2" borderId="48" xfId="0" applyFont="1" applyFill="1" applyBorder="1" applyAlignment="1">
      <alignment horizontal="left" vertical="center"/>
    </xf>
    <xf numFmtId="4" fontId="30" fillId="0" borderId="47" xfId="0" applyFont="1" applyBorder="1" applyAlignment="1">
      <alignment horizontal="justify" vertical="center" wrapText="1"/>
    </xf>
    <xf numFmtId="4" fontId="30" fillId="0" borderId="66" xfId="0" applyFont="1" applyBorder="1" applyAlignment="1">
      <alignment horizontal="justify" vertical="center" wrapText="1"/>
    </xf>
    <xf numFmtId="4" fontId="30" fillId="0" borderId="48" xfId="0" applyFont="1" applyBorder="1" applyAlignment="1">
      <alignment horizontal="justify" vertical="center" wrapText="1"/>
    </xf>
    <xf numFmtId="4" fontId="25" fillId="2" borderId="28" xfId="0" applyFont="1" applyFill="1" applyBorder="1" applyAlignment="1">
      <alignment horizontal="left" vertical="center"/>
    </xf>
    <xf numFmtId="4" fontId="25" fillId="2" borderId="43" xfId="0" applyFont="1" applyFill="1" applyBorder="1" applyAlignment="1">
      <alignment horizontal="left" vertical="center"/>
    </xf>
    <xf numFmtId="4" fontId="25" fillId="11" borderId="47" xfId="0" applyFont="1" applyFill="1" applyBorder="1" applyAlignment="1">
      <alignment horizontal="left"/>
    </xf>
    <xf numFmtId="4" fontId="25" fillId="11" borderId="66" xfId="0" applyFont="1" applyFill="1" applyBorder="1" applyAlignment="1">
      <alignment horizontal="left"/>
    </xf>
    <xf numFmtId="4" fontId="25" fillId="11" borderId="48" xfId="0" applyFont="1" applyFill="1" applyBorder="1" applyAlignment="1">
      <alignment horizontal="left"/>
    </xf>
    <xf numFmtId="4" fontId="30" fillId="0" borderId="56" xfId="0" applyFont="1" applyBorder="1" applyAlignment="1">
      <alignment horizontal="justify" vertical="center" wrapText="1"/>
    </xf>
    <xf numFmtId="4" fontId="30" fillId="0" borderId="57" xfId="0" applyFont="1" applyBorder="1" applyAlignment="1">
      <alignment horizontal="justify" vertical="center" wrapText="1"/>
    </xf>
    <xf numFmtId="4" fontId="30" fillId="0" borderId="46" xfId="0" applyFont="1" applyBorder="1" applyAlignment="1">
      <alignment horizontal="justify" vertical="center" wrapText="1"/>
    </xf>
    <xf numFmtId="4" fontId="30" fillId="0" borderId="50" xfId="0" applyFont="1" applyBorder="1" applyAlignment="1">
      <alignment horizontal="justify" vertical="center" wrapText="1"/>
    </xf>
    <xf numFmtId="4" fontId="30" fillId="0" borderId="0" xfId="0" applyFont="1" applyBorder="1" applyAlignment="1">
      <alignment horizontal="justify" vertical="center" wrapText="1"/>
    </xf>
    <xf numFmtId="4" fontId="30" fillId="0" borderId="58" xfId="0" applyFont="1" applyBorder="1" applyAlignment="1">
      <alignment horizontal="justify" vertical="center" wrapText="1"/>
    </xf>
    <xf numFmtId="4" fontId="30" fillId="0" borderId="27" xfId="0" applyFont="1" applyBorder="1" applyAlignment="1">
      <alignment horizontal="justify" vertical="center" wrapText="1"/>
    </xf>
    <xf numFmtId="4" fontId="30" fillId="0" borderId="52" xfId="0" applyFont="1" applyBorder="1" applyAlignment="1">
      <alignment horizontal="justify" vertical="center" wrapText="1"/>
    </xf>
    <xf numFmtId="4" fontId="30" fillId="0" borderId="53" xfId="0" applyFont="1" applyBorder="1" applyAlignment="1">
      <alignment horizontal="justify" vertical="center" wrapText="1"/>
    </xf>
    <xf numFmtId="4" fontId="30" fillId="0" borderId="59" xfId="0" applyFont="1" applyBorder="1" applyAlignment="1">
      <alignment horizontal="justify" vertical="center" wrapText="1"/>
    </xf>
    <xf numFmtId="4" fontId="44" fillId="0" borderId="68" xfId="0" applyFont="1" applyBorder="1" applyAlignment="1">
      <alignment horizontal="justify" vertical="center" wrapText="1"/>
    </xf>
    <xf numFmtId="4" fontId="44" fillId="0" borderId="67" xfId="0" applyFont="1" applyBorder="1" applyAlignment="1">
      <alignment horizontal="justify" vertical="center" wrapText="1"/>
    </xf>
    <xf numFmtId="4" fontId="30" fillId="0" borderId="28" xfId="0" applyFont="1" applyBorder="1" applyAlignment="1">
      <alignment horizontal="justify" vertical="center" wrapText="1"/>
    </xf>
    <xf numFmtId="4" fontId="30" fillId="0" borderId="49" xfId="0" applyFont="1" applyBorder="1" applyAlignment="1">
      <alignment horizontal="justify" vertical="center" wrapText="1"/>
    </xf>
    <xf numFmtId="4" fontId="30" fillId="0" borderId="43" xfId="0" applyFont="1" applyBorder="1" applyAlignment="1">
      <alignment horizontal="justify" vertical="center" wrapText="1"/>
    </xf>
    <xf numFmtId="4" fontId="25" fillId="11" borderId="5" xfId="0" applyFont="1" applyFill="1" applyBorder="1" applyAlignment="1">
      <alignment horizontal="left"/>
    </xf>
    <xf numFmtId="4" fontId="25" fillId="11" borderId="45" xfId="0" applyFont="1" applyFill="1" applyBorder="1" applyAlignment="1">
      <alignment horizontal="left"/>
    </xf>
    <xf numFmtId="4" fontId="25" fillId="11" borderId="62" xfId="0" applyNumberFormat="1" applyFont="1" applyFill="1" applyBorder="1" applyAlignment="1">
      <alignment horizontal="left"/>
    </xf>
    <xf numFmtId="4" fontId="30" fillId="0" borderId="57" xfId="0" applyNumberFormat="1" applyFont="1" applyBorder="1" applyAlignment="1">
      <alignment horizontal="left" vertical="center" wrapText="1"/>
    </xf>
    <xf numFmtId="4" fontId="30" fillId="0" borderId="46" xfId="0" applyNumberFormat="1" applyFont="1" applyBorder="1" applyAlignment="1">
      <alignment horizontal="left" vertical="center" wrapText="1"/>
    </xf>
    <xf numFmtId="4" fontId="25" fillId="3" borderId="31" xfId="0" applyFont="1" applyFill="1" applyBorder="1" applyAlignment="1">
      <alignment horizontal="center"/>
    </xf>
    <xf numFmtId="4" fontId="25" fillId="3" borderId="63" xfId="0" applyFont="1" applyFill="1" applyBorder="1" applyAlignment="1">
      <alignment horizontal="center"/>
    </xf>
    <xf numFmtId="4" fontId="25" fillId="3" borderId="5" xfId="0" applyNumberFormat="1" applyFont="1" applyFill="1" applyBorder="1" applyAlignment="1">
      <alignment horizontal="center"/>
    </xf>
    <xf numFmtId="4" fontId="25" fillId="3" borderId="45" xfId="0" applyNumberFormat="1" applyFont="1" applyFill="1" applyBorder="1" applyAlignment="1">
      <alignment horizontal="center"/>
    </xf>
    <xf numFmtId="4" fontId="30" fillId="0" borderId="18" xfId="0" applyFont="1" applyBorder="1" applyAlignment="1">
      <alignment horizontal="left" vertical="top" wrapText="1"/>
    </xf>
    <xf numFmtId="4" fontId="30" fillId="0" borderId="19" xfId="0" applyFont="1" applyBorder="1" applyAlignment="1">
      <alignment horizontal="left" vertical="top" wrapText="1"/>
    </xf>
    <xf numFmtId="4" fontId="30" fillId="0" borderId="14" xfId="0" applyFont="1" applyBorder="1" applyAlignment="1">
      <alignment horizontal="left" vertical="top" wrapText="1"/>
    </xf>
    <xf numFmtId="4" fontId="30" fillId="0" borderId="3" xfId="0" applyFont="1" applyBorder="1" applyAlignment="1">
      <alignment horizontal="left" vertical="top" wrapText="1"/>
    </xf>
    <xf numFmtId="4" fontId="30" fillId="0" borderId="71" xfId="0" applyFont="1" applyBorder="1" applyAlignment="1">
      <alignment horizontal="left" vertical="top" wrapText="1"/>
    </xf>
    <xf numFmtId="4" fontId="30" fillId="0" borderId="42" xfId="0" applyFont="1" applyBorder="1" applyAlignment="1">
      <alignment horizontal="left" vertical="top" wrapText="1"/>
    </xf>
    <xf numFmtId="4" fontId="30" fillId="0" borderId="37" xfId="0" applyFont="1" applyBorder="1" applyAlignment="1">
      <alignment horizontal="left" vertical="top" wrapText="1"/>
    </xf>
    <xf numFmtId="4" fontId="30" fillId="0" borderId="61" xfId="0" applyFont="1" applyBorder="1" applyAlignment="1">
      <alignment horizontal="left" vertical="top" wrapText="1"/>
    </xf>
    <xf numFmtId="4" fontId="25" fillId="17" borderId="7" xfId="0" applyFont="1" applyFill="1" applyBorder="1" applyAlignment="1">
      <alignment horizontal="left" vertical="center" wrapText="1"/>
    </xf>
    <xf numFmtId="4" fontId="25" fillId="17" borderId="32" xfId="0" applyFont="1" applyFill="1" applyBorder="1" applyAlignment="1">
      <alignment horizontal="left" vertical="center" wrapText="1"/>
    </xf>
    <xf numFmtId="4" fontId="25" fillId="4" borderId="7" xfId="0" applyFont="1" applyFill="1" applyBorder="1" applyAlignment="1">
      <alignment horizontal="center" vertical="center" wrapText="1"/>
    </xf>
    <xf numFmtId="4" fontId="25" fillId="4" borderId="33" xfId="0" applyFont="1" applyFill="1" applyBorder="1" applyAlignment="1">
      <alignment horizontal="center" vertical="center" wrapText="1"/>
    </xf>
    <xf numFmtId="4" fontId="40" fillId="17" borderId="7" xfId="0" applyFont="1" applyFill="1" applyBorder="1" applyAlignment="1">
      <alignment horizontal="left" vertical="center" wrapText="1"/>
    </xf>
    <xf numFmtId="4" fontId="40" fillId="17" borderId="32" xfId="0" applyFont="1" applyFill="1" applyBorder="1" applyAlignment="1">
      <alignment horizontal="left" vertical="center" wrapText="1"/>
    </xf>
    <xf numFmtId="4" fontId="45" fillId="4" borderId="7" xfId="0" applyFont="1" applyFill="1" applyBorder="1" applyAlignment="1">
      <alignment horizontal="center" vertical="center" wrapText="1"/>
    </xf>
    <xf numFmtId="4" fontId="45" fillId="4" borderId="33" xfId="0" applyFont="1" applyFill="1" applyBorder="1" applyAlignment="1">
      <alignment horizontal="center" vertical="center" wrapText="1"/>
    </xf>
    <xf numFmtId="4" fontId="29" fillId="0" borderId="59" xfId="0" applyFont="1" applyBorder="1" applyAlignment="1">
      <alignment horizontal="left"/>
    </xf>
    <xf numFmtId="4" fontId="29" fillId="0" borderId="68" xfId="0" applyFont="1" applyBorder="1" applyAlignment="1">
      <alignment horizontal="left"/>
    </xf>
    <xf numFmtId="4" fontId="29" fillId="0" borderId="67" xfId="0" applyFont="1" applyBorder="1" applyAlignment="1">
      <alignment horizontal="left"/>
    </xf>
    <xf numFmtId="4" fontId="29" fillId="0" borderId="47" xfId="0" applyFont="1" applyBorder="1" applyAlignment="1">
      <alignment horizontal="left" vertical="center" wrapText="1"/>
    </xf>
    <xf numFmtId="4" fontId="40" fillId="10" borderId="0" xfId="0" applyFont="1" applyFill="1" applyAlignment="1">
      <alignment horizontal="left"/>
    </xf>
    <xf numFmtId="4" fontId="29" fillId="0" borderId="28" xfId="0" applyFont="1" applyBorder="1" applyAlignment="1">
      <alignment horizontal="left"/>
    </xf>
    <xf numFmtId="4" fontId="29" fillId="0" borderId="49" xfId="0" applyFont="1" applyBorder="1" applyAlignment="1">
      <alignment horizontal="left"/>
    </xf>
    <xf numFmtId="4" fontId="29" fillId="0" borderId="43" xfId="0" applyFont="1" applyBorder="1" applyAlignment="1">
      <alignment horizontal="left"/>
    </xf>
    <xf numFmtId="4" fontId="29" fillId="0" borderId="28" xfId="0" applyFont="1" applyBorder="1" applyAlignment="1">
      <alignment horizontal="left" vertical="center" wrapText="1"/>
    </xf>
    <xf numFmtId="4" fontId="29" fillId="0" borderId="49" xfId="0" applyFont="1" applyBorder="1" applyAlignment="1">
      <alignment horizontal="left" vertical="center" wrapText="1"/>
    </xf>
    <xf numFmtId="4" fontId="29" fillId="0" borderId="68" xfId="0" applyFont="1" applyBorder="1" applyAlignment="1">
      <alignment horizontal="left" vertical="center" wrapText="1"/>
    </xf>
    <xf numFmtId="4" fontId="25" fillId="10" borderId="0" xfId="0" applyFont="1" applyFill="1" applyBorder="1" applyAlignment="1">
      <alignment horizontal="left"/>
    </xf>
    <xf numFmtId="4" fontId="28" fillId="0" borderId="35" xfId="0" applyFont="1" applyBorder="1" applyAlignment="1">
      <alignment horizontal="left" vertical="center"/>
    </xf>
    <xf numFmtId="4" fontId="28" fillId="0" borderId="0" xfId="0" applyFont="1" applyBorder="1" applyAlignment="1">
      <alignment horizontal="left" vertical="center"/>
    </xf>
    <xf numFmtId="4" fontId="28" fillId="0" borderId="36" xfId="0" applyFont="1" applyBorder="1" applyAlignment="1">
      <alignment horizontal="left" vertical="center"/>
    </xf>
    <xf numFmtId="4" fontId="28" fillId="0" borderId="37" xfId="0" applyFont="1" applyBorder="1" applyAlignment="1">
      <alignment horizontal="left" wrapText="1"/>
    </xf>
    <xf numFmtId="4" fontId="28" fillId="0" borderId="6" xfId="0" applyFont="1" applyBorder="1" applyAlignment="1">
      <alignment horizontal="left" wrapText="1"/>
    </xf>
    <xf numFmtId="4" fontId="28" fillId="0" borderId="38" xfId="0" applyFont="1" applyBorder="1" applyAlignment="1">
      <alignment horizontal="left" wrapText="1"/>
    </xf>
    <xf numFmtId="4" fontId="18" fillId="0" borderId="35" xfId="0" applyFont="1" applyBorder="1" applyAlignment="1">
      <alignment horizontal="left" vertical="center" wrapText="1"/>
    </xf>
    <xf numFmtId="4" fontId="18" fillId="0" borderId="36" xfId="0" applyFont="1" applyBorder="1" applyAlignment="1">
      <alignment horizontal="left" vertical="center" wrapText="1"/>
    </xf>
    <xf numFmtId="4" fontId="18" fillId="0" borderId="37" xfId="0" applyFont="1" applyBorder="1" applyAlignment="1">
      <alignment horizontal="left" vertical="center" wrapText="1"/>
    </xf>
    <xf numFmtId="4" fontId="18" fillId="0" borderId="38" xfId="0" applyFont="1" applyBorder="1" applyAlignment="1">
      <alignment horizontal="left" vertical="center" wrapText="1"/>
    </xf>
    <xf numFmtId="4" fontId="18" fillId="0" borderId="7" xfId="0" applyFont="1" applyBorder="1" applyAlignment="1">
      <alignment horizontal="left" vertical="center" wrapText="1"/>
    </xf>
    <xf numFmtId="4" fontId="18" fillId="0" borderId="32" xfId="0" applyFont="1" applyBorder="1" applyAlignment="1">
      <alignment horizontal="left" vertical="center" wrapText="1"/>
    </xf>
    <xf numFmtId="4" fontId="18" fillId="0" borderId="33" xfId="0" applyFont="1" applyBorder="1" applyAlignment="1">
      <alignment horizontal="left" vertical="center" wrapText="1"/>
    </xf>
    <xf numFmtId="4" fontId="26" fillId="13" borderId="49" xfId="0" applyFont="1" applyFill="1" applyBorder="1" applyAlignment="1">
      <alignment horizontal="left" vertical="center"/>
    </xf>
    <xf numFmtId="4" fontId="26" fillId="13" borderId="43" xfId="0" applyFont="1" applyFill="1" applyBorder="1" applyAlignment="1">
      <alignment horizontal="left" vertical="center"/>
    </xf>
    <xf numFmtId="4" fontId="26" fillId="13" borderId="28" xfId="0" applyFont="1" applyFill="1" applyBorder="1" applyAlignment="1">
      <alignment horizontal="left" vertical="center"/>
    </xf>
    <xf numFmtId="4" fontId="18" fillId="0" borderId="16" xfId="0" applyFont="1" applyBorder="1" applyAlignment="1">
      <alignment horizontal="left" vertical="center" wrapText="1"/>
    </xf>
    <xf numFmtId="4" fontId="18" fillId="0" borderId="57" xfId="0" applyFont="1" applyBorder="1" applyAlignment="1">
      <alignment horizontal="left" vertical="center" wrapText="1"/>
    </xf>
    <xf numFmtId="4" fontId="18" fillId="0" borderId="17" xfId="0" applyFont="1" applyBorder="1" applyAlignment="1">
      <alignment horizontal="left" vertical="center" wrapText="1"/>
    </xf>
    <xf numFmtId="4" fontId="30" fillId="0" borderId="0" xfId="0" applyFont="1" applyFill="1" applyBorder="1" applyAlignment="1">
      <alignment horizontal="left" vertical="center"/>
    </xf>
    <xf numFmtId="4" fontId="0" fillId="0" borderId="0" xfId="0" applyBorder="1" applyAlignment="1">
      <alignment horizontal="left" vertical="center"/>
    </xf>
    <xf numFmtId="14" fontId="30" fillId="0" borderId="31" xfId="0" applyNumberFormat="1" applyFont="1" applyBorder="1" applyAlignment="1">
      <alignment horizontal="center" vertical="center"/>
    </xf>
    <xf numFmtId="4" fontId="90" fillId="0" borderId="8" xfId="0" applyFont="1" applyBorder="1" applyAlignment="1">
      <alignment vertical="center"/>
    </xf>
    <xf numFmtId="43" fontId="37" fillId="13" borderId="31" xfId="0" applyNumberFormat="1" applyFont="1" applyFill="1" applyBorder="1" applyAlignment="1">
      <alignment horizontal="left" vertical="center"/>
    </xf>
    <xf numFmtId="4" fontId="90" fillId="0" borderId="8" xfId="0" applyFont="1" applyBorder="1" applyAlignment="1">
      <alignment horizontal="left" vertical="center"/>
    </xf>
    <xf numFmtId="4" fontId="30" fillId="0" borderId="11" xfId="0" applyFont="1" applyBorder="1" applyAlignment="1">
      <alignment horizontal="left" vertical="center"/>
    </xf>
    <xf numFmtId="4" fontId="0" fillId="0" borderId="41" xfId="0" applyBorder="1" applyAlignment="1">
      <alignment horizontal="left" vertical="center"/>
    </xf>
    <xf numFmtId="4" fontId="90" fillId="0" borderId="34" xfId="0" applyFont="1" applyBorder="1" applyAlignment="1">
      <alignment vertical="center"/>
    </xf>
    <xf numFmtId="4" fontId="90" fillId="0" borderId="34" xfId="0" applyFont="1" applyBorder="1" applyAlignment="1">
      <alignment horizontal="left" vertical="center"/>
    </xf>
    <xf numFmtId="4" fontId="30" fillId="0" borderId="37" xfId="0" applyFont="1" applyBorder="1" applyAlignment="1">
      <alignment horizontal="left" vertical="center"/>
    </xf>
    <xf numFmtId="4" fontId="0" fillId="0" borderId="38" xfId="0" applyBorder="1" applyAlignment="1">
      <alignment horizontal="left" vertical="center"/>
    </xf>
    <xf numFmtId="14" fontId="30" fillId="5" borderId="31" xfId="0" applyNumberFormat="1" applyFont="1" applyFill="1" applyBorder="1" applyAlignment="1">
      <alignment horizontal="center" vertical="center"/>
    </xf>
    <xf numFmtId="4" fontId="30" fillId="0" borderId="31" xfId="0" applyNumberFormat="1" applyFont="1" applyBorder="1" applyAlignment="1">
      <alignment horizontal="center" vertical="center"/>
    </xf>
    <xf numFmtId="4" fontId="30" fillId="0" borderId="16" xfId="0" applyFont="1" applyBorder="1" applyAlignment="1">
      <alignment horizontal="left" vertical="center"/>
    </xf>
    <xf numFmtId="4" fontId="0" fillId="0" borderId="17" xfId="0" applyBorder="1" applyAlignment="1">
      <alignment horizontal="left" vertical="center"/>
    </xf>
    <xf numFmtId="4" fontId="0" fillId="0" borderId="37" xfId="0" applyBorder="1" applyAlignment="1">
      <alignment horizontal="left" vertical="center"/>
    </xf>
    <xf numFmtId="4" fontId="90" fillId="0" borderId="8" xfId="0" applyFont="1" applyBorder="1" applyAlignment="1">
      <alignment horizontal="center" vertical="center"/>
    </xf>
    <xf numFmtId="4" fontId="29" fillId="0" borderId="8" xfId="0" applyFont="1" applyBorder="1" applyAlignment="1">
      <alignment horizontal="left" vertical="center"/>
    </xf>
    <xf numFmtId="4" fontId="30" fillId="5" borderId="37" xfId="0" applyFont="1" applyFill="1" applyBorder="1" applyAlignment="1">
      <alignment horizontal="left" vertical="center"/>
    </xf>
    <xf numFmtId="4" fontId="21" fillId="0" borderId="50" xfId="0" applyFont="1" applyFill="1" applyBorder="1" applyAlignment="1">
      <alignment vertical="center" wrapText="1"/>
    </xf>
    <xf numFmtId="4" fontId="0" fillId="0" borderId="0" xfId="0" applyAlignment="1">
      <alignment vertical="center" wrapText="1"/>
    </xf>
    <xf numFmtId="4" fontId="21" fillId="0" borderId="35" xfId="0" applyFont="1" applyFill="1" applyBorder="1" applyAlignment="1">
      <alignment horizontal="left" vertical="center"/>
    </xf>
    <xf numFmtId="4" fontId="0" fillId="0" borderId="0" xfId="0" applyAlignment="1">
      <alignment horizontal="left" vertical="center"/>
    </xf>
    <xf numFmtId="4" fontId="65" fillId="0" borderId="7" xfId="0" applyFont="1" applyBorder="1" applyAlignment="1">
      <alignment horizontal="left" vertical="center" wrapText="1"/>
    </xf>
    <xf numFmtId="4" fontId="65" fillId="0" borderId="33" xfId="0" applyFont="1" applyBorder="1" applyAlignment="1">
      <alignment horizontal="left" vertical="center" wrapText="1"/>
    </xf>
    <xf numFmtId="4" fontId="65" fillId="0" borderId="7" xfId="0" applyFont="1" applyBorder="1" applyAlignment="1">
      <alignment horizontal="center" vertical="center" wrapText="1"/>
    </xf>
    <xf numFmtId="4" fontId="65" fillId="0" borderId="33" xfId="0" applyFont="1" applyBorder="1" applyAlignment="1">
      <alignment horizontal="center" vertical="center" wrapText="1"/>
    </xf>
    <xf numFmtId="4" fontId="95" fillId="0" borderId="85" xfId="0" applyFont="1" applyBorder="1" applyAlignment="1">
      <alignment horizontal="left" vertical="center" wrapText="1"/>
    </xf>
    <xf numFmtId="4" fontId="96" fillId="0" borderId="86" xfId="0" applyFont="1" applyBorder="1" applyAlignment="1"/>
    <xf numFmtId="4" fontId="95" fillId="0" borderId="87" xfId="0" applyFont="1" applyBorder="1" applyAlignment="1">
      <alignment horizontal="left" vertical="center" wrapText="1"/>
    </xf>
    <xf numFmtId="4" fontId="96" fillId="0" borderId="88" xfId="0" applyFont="1" applyBorder="1" applyAlignment="1"/>
    <xf numFmtId="4" fontId="95" fillId="0" borderId="79" xfId="0" applyFont="1" applyBorder="1" applyAlignment="1">
      <alignment horizontal="left" vertical="center" wrapText="1"/>
    </xf>
    <xf numFmtId="4" fontId="96" fillId="0" borderId="80" xfId="0" applyFont="1" applyBorder="1" applyAlignment="1"/>
  </cellXfs>
  <cellStyles count="4">
    <cellStyle name="Čárka" xfId="2" builtinId="3"/>
    <cellStyle name="Normální" xfId="0" builtinId="0"/>
    <cellStyle name="Normální 2" xfId="3"/>
    <cellStyle name="normální_MŠ Raisova"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tabSelected="1" zoomScale="150" zoomScaleNormal="150" workbookViewId="0">
      <selection activeCell="A107" sqref="A107:XFD107"/>
    </sheetView>
  </sheetViews>
  <sheetFormatPr defaultColWidth="6.5" defaultRowHeight="8.25" x14ac:dyDescent="0.15"/>
  <cols>
    <col min="1" max="1" width="5.5" style="1" customWidth="1"/>
    <col min="2" max="2" width="6.5" customWidth="1"/>
    <col min="3" max="3" width="36.75" customWidth="1"/>
    <col min="4" max="4" width="9.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2" customFormat="1" ht="15.75" x14ac:dyDescent="0.25">
      <c r="A1" s="1019" t="s">
        <v>75</v>
      </c>
      <c r="B1" s="1019"/>
      <c r="C1" s="1019"/>
      <c r="D1" s="1019"/>
      <c r="E1" s="1019"/>
      <c r="F1" s="1019"/>
      <c r="G1" s="1019"/>
      <c r="H1" s="1019"/>
      <c r="I1" s="1019"/>
      <c r="J1" s="1019"/>
      <c r="K1" s="1019"/>
      <c r="L1" s="1019"/>
      <c r="M1" s="1019"/>
      <c r="N1" s="1019"/>
      <c r="O1" s="1019"/>
      <c r="P1" s="1019"/>
      <c r="Q1" s="1019"/>
      <c r="R1" s="1019"/>
      <c r="S1" s="1019"/>
      <c r="T1" s="1019"/>
      <c r="U1" s="1019"/>
      <c r="V1" s="1019"/>
      <c r="W1" s="1019"/>
      <c r="X1" s="1019"/>
    </row>
    <row r="3" spans="1:24" s="3" customFormat="1" ht="9.75" customHeight="1" x14ac:dyDescent="0.2">
      <c r="A3" s="1012" t="s">
        <v>40</v>
      </c>
      <c r="B3" s="1022" t="s">
        <v>41</v>
      </c>
      <c r="C3" s="1023"/>
      <c r="D3" s="1028" t="s">
        <v>42</v>
      </c>
      <c r="E3" s="1031" t="s">
        <v>34</v>
      </c>
      <c r="F3" s="1032"/>
      <c r="G3" s="1032"/>
      <c r="H3" s="1032"/>
      <c r="I3" s="1033"/>
      <c r="J3" s="1031" t="s">
        <v>39</v>
      </c>
      <c r="K3" s="1032"/>
      <c r="L3" s="1032"/>
      <c r="M3" s="1032"/>
      <c r="N3" s="1033"/>
      <c r="O3" s="1031" t="s">
        <v>43</v>
      </c>
      <c r="P3" s="1032"/>
      <c r="Q3" s="1032"/>
      <c r="R3" s="1032"/>
      <c r="S3" s="1033"/>
      <c r="T3" s="1031" t="s">
        <v>38</v>
      </c>
      <c r="U3" s="1032"/>
      <c r="V3" s="1032"/>
      <c r="W3" s="1032"/>
      <c r="X3" s="1033"/>
    </row>
    <row r="4" spans="1:24" s="4" customFormat="1" ht="9.75" customHeight="1" x14ac:dyDescent="0.2">
      <c r="A4" s="1020"/>
      <c r="B4" s="1024"/>
      <c r="C4" s="1025"/>
      <c r="D4" s="1029"/>
      <c r="E4" s="1014" t="s">
        <v>44</v>
      </c>
      <c r="F4" s="1016" t="s">
        <v>336</v>
      </c>
      <c r="G4" s="1017"/>
      <c r="H4" s="1018"/>
      <c r="I4" s="1012" t="s">
        <v>337</v>
      </c>
      <c r="J4" s="1014" t="s">
        <v>44</v>
      </c>
      <c r="K4" s="1016" t="s">
        <v>336</v>
      </c>
      <c r="L4" s="1017"/>
      <c r="M4" s="1018"/>
      <c r="N4" s="1012" t="s">
        <v>337</v>
      </c>
      <c r="O4" s="1014" t="s">
        <v>44</v>
      </c>
      <c r="P4" s="1016" t="s">
        <v>336</v>
      </c>
      <c r="Q4" s="1017"/>
      <c r="R4" s="1018"/>
      <c r="S4" s="1012" t="s">
        <v>337</v>
      </c>
      <c r="T4" s="1014" t="s">
        <v>44</v>
      </c>
      <c r="U4" s="1016" t="s">
        <v>336</v>
      </c>
      <c r="V4" s="1017"/>
      <c r="W4" s="1018"/>
      <c r="X4" s="1012" t="s">
        <v>337</v>
      </c>
    </row>
    <row r="5" spans="1:24" s="5" customFormat="1" ht="9.75" customHeight="1" x14ac:dyDescent="0.2">
      <c r="A5" s="1021"/>
      <c r="B5" s="1026"/>
      <c r="C5" s="1027"/>
      <c r="D5" s="1030"/>
      <c r="E5" s="1015"/>
      <c r="F5" s="14" t="s">
        <v>35</v>
      </c>
      <c r="G5" s="15" t="s">
        <v>36</v>
      </c>
      <c r="H5" s="14" t="s">
        <v>37</v>
      </c>
      <c r="I5" s="1013"/>
      <c r="J5" s="1015"/>
      <c r="K5" s="14" t="s">
        <v>35</v>
      </c>
      <c r="L5" s="15" t="s">
        <v>36</v>
      </c>
      <c r="M5" s="14" t="s">
        <v>37</v>
      </c>
      <c r="N5" s="1013"/>
      <c r="O5" s="1015"/>
      <c r="P5" s="14" t="s">
        <v>35</v>
      </c>
      <c r="Q5" s="15" t="s">
        <v>36</v>
      </c>
      <c r="R5" s="14" t="s">
        <v>37</v>
      </c>
      <c r="S5" s="1013"/>
      <c r="T5" s="1015"/>
      <c r="U5" s="14" t="s">
        <v>35</v>
      </c>
      <c r="V5" s="15" t="s">
        <v>36</v>
      </c>
      <c r="W5" s="14" t="s">
        <v>37</v>
      </c>
      <c r="X5" s="1013"/>
    </row>
    <row r="6" spans="1:24" s="3" customFormat="1" ht="9.75" customHeight="1" x14ac:dyDescent="0.2">
      <c r="A6" s="16" t="s">
        <v>0</v>
      </c>
      <c r="B6" s="1007" t="s">
        <v>1</v>
      </c>
      <c r="C6" s="1007"/>
      <c r="D6" s="17" t="s">
        <v>25</v>
      </c>
      <c r="E6" s="52">
        <f>SUM(E7:E9)</f>
        <v>12967119</v>
      </c>
      <c r="F6" s="52">
        <f>SUM(F7:F9)</f>
        <v>13947569</v>
      </c>
      <c r="G6" s="52">
        <f>SUM(G7:G9)</f>
        <v>13947569</v>
      </c>
      <c r="H6" s="18">
        <f t="shared" ref="H6:H36" si="0">G6/F6*100</f>
        <v>100</v>
      </c>
      <c r="I6" s="52">
        <f>SUM(I7:I9)</f>
        <v>13308303</v>
      </c>
      <c r="J6" s="52">
        <f>SUM(J7:J9)</f>
        <v>5705959</v>
      </c>
      <c r="K6" s="52">
        <f t="shared" ref="K6:V6" si="1">SUM(K7:K9)</f>
        <v>6220092</v>
      </c>
      <c r="L6" s="52">
        <f t="shared" si="1"/>
        <v>6220092</v>
      </c>
      <c r="M6" s="18">
        <f t="shared" ref="M6:M36" si="2">L6/K6*100</f>
        <v>100</v>
      </c>
      <c r="N6" s="52">
        <v>6126782</v>
      </c>
      <c r="O6" s="52">
        <f t="shared" si="1"/>
        <v>7261160</v>
      </c>
      <c r="P6" s="52">
        <f t="shared" si="1"/>
        <v>7727477</v>
      </c>
      <c r="Q6" s="52">
        <f t="shared" si="1"/>
        <v>7727477</v>
      </c>
      <c r="R6" s="18">
        <f t="shared" ref="R6:R36" si="3">Q6/P6*100</f>
        <v>100</v>
      </c>
      <c r="S6" s="52">
        <v>7181521</v>
      </c>
      <c r="T6" s="52">
        <f t="shared" si="1"/>
        <v>43438</v>
      </c>
      <c r="U6" s="52">
        <f t="shared" si="1"/>
        <v>43438</v>
      </c>
      <c r="V6" s="52">
        <f t="shared" si="1"/>
        <v>43438</v>
      </c>
      <c r="W6" s="18">
        <f t="shared" ref="W6:W36" si="4">V6/U6*100</f>
        <v>100</v>
      </c>
      <c r="X6" s="52">
        <v>43438</v>
      </c>
    </row>
    <row r="7" spans="1:24" s="3" customFormat="1" ht="9.75" x14ac:dyDescent="0.2">
      <c r="A7" s="19" t="s">
        <v>2</v>
      </c>
      <c r="B7" s="1010" t="s">
        <v>46</v>
      </c>
      <c r="C7" s="1011"/>
      <c r="D7" s="47" t="s">
        <v>25</v>
      </c>
      <c r="E7" s="53">
        <f t="shared" ref="E7:G10" si="5">SUM(J7,O7)</f>
        <v>2920000</v>
      </c>
      <c r="F7" s="54">
        <f t="shared" si="5"/>
        <v>3353337</v>
      </c>
      <c r="G7" s="54">
        <f t="shared" si="5"/>
        <v>3353337</v>
      </c>
      <c r="H7" s="6">
        <f t="shared" si="0"/>
        <v>100</v>
      </c>
      <c r="I7" s="60">
        <f>SUM(N7,S7)</f>
        <v>3227541</v>
      </c>
      <c r="J7" s="61">
        <v>2920000</v>
      </c>
      <c r="K7" s="62">
        <v>3353337</v>
      </c>
      <c r="L7" s="62">
        <v>3353337</v>
      </c>
      <c r="M7" s="6">
        <f t="shared" si="2"/>
        <v>100</v>
      </c>
      <c r="N7" s="62">
        <v>3227541</v>
      </c>
      <c r="O7" s="77"/>
      <c r="P7" s="62"/>
      <c r="Q7" s="62"/>
      <c r="R7" s="6">
        <v>0</v>
      </c>
      <c r="S7" s="62"/>
      <c r="T7" s="77">
        <v>43438</v>
      </c>
      <c r="U7" s="62">
        <v>43438</v>
      </c>
      <c r="V7" s="62">
        <v>43438</v>
      </c>
      <c r="W7" s="6">
        <f t="shared" si="4"/>
        <v>100</v>
      </c>
      <c r="X7" s="62">
        <v>43438</v>
      </c>
    </row>
    <row r="8" spans="1:24" s="3" customFormat="1" ht="9.75" x14ac:dyDescent="0.2">
      <c r="A8" s="20" t="s">
        <v>3</v>
      </c>
      <c r="B8" s="1005" t="s">
        <v>47</v>
      </c>
      <c r="C8" s="1006"/>
      <c r="D8" s="48" t="s">
        <v>25</v>
      </c>
      <c r="E8" s="55">
        <f t="shared" si="5"/>
        <v>0</v>
      </c>
      <c r="F8" s="56">
        <f t="shared" si="5"/>
        <v>0</v>
      </c>
      <c r="G8" s="56">
        <f t="shared" si="5"/>
        <v>0</v>
      </c>
      <c r="H8" s="7">
        <v>0</v>
      </c>
      <c r="I8" s="63">
        <f>SUM(N8,S8)</f>
        <v>0</v>
      </c>
      <c r="J8" s="64"/>
      <c r="K8" s="56"/>
      <c r="L8" s="56"/>
      <c r="M8" s="7">
        <v>0</v>
      </c>
      <c r="N8" s="56">
        <v>0</v>
      </c>
      <c r="O8" s="55"/>
      <c r="P8" s="56"/>
      <c r="Q8" s="56"/>
      <c r="R8" s="7">
        <v>0</v>
      </c>
      <c r="S8" s="56"/>
      <c r="T8" s="55"/>
      <c r="U8" s="56"/>
      <c r="V8" s="56"/>
      <c r="W8" s="7">
        <v>0</v>
      </c>
      <c r="X8" s="56"/>
    </row>
    <row r="9" spans="1:24" s="3" customFormat="1" ht="9.75" x14ac:dyDescent="0.2">
      <c r="A9" s="21" t="s">
        <v>4</v>
      </c>
      <c r="B9" s="22" t="s">
        <v>62</v>
      </c>
      <c r="C9" s="23"/>
      <c r="D9" s="50" t="s">
        <v>25</v>
      </c>
      <c r="E9" s="57">
        <f t="shared" si="5"/>
        <v>10047119</v>
      </c>
      <c r="F9" s="58">
        <f t="shared" si="5"/>
        <v>10594232</v>
      </c>
      <c r="G9" s="58">
        <f t="shared" si="5"/>
        <v>10594232</v>
      </c>
      <c r="H9" s="24">
        <f t="shared" si="0"/>
        <v>100</v>
      </c>
      <c r="I9" s="65">
        <f>SUM(N9,S9)</f>
        <v>10080762</v>
      </c>
      <c r="J9" s="66">
        <v>2785959</v>
      </c>
      <c r="K9" s="58">
        <v>2866755</v>
      </c>
      <c r="L9" s="58">
        <v>2866755</v>
      </c>
      <c r="M9" s="24">
        <f t="shared" si="2"/>
        <v>100</v>
      </c>
      <c r="N9" s="58">
        <v>2899241</v>
      </c>
      <c r="O9" s="57">
        <v>7261160</v>
      </c>
      <c r="P9" s="58">
        <v>7727477</v>
      </c>
      <c r="Q9" s="58">
        <v>7727477</v>
      </c>
      <c r="R9" s="24">
        <f t="shared" si="3"/>
        <v>100</v>
      </c>
      <c r="S9" s="58">
        <v>7181521</v>
      </c>
      <c r="T9" s="57"/>
      <c r="U9" s="58"/>
      <c r="V9" s="58"/>
      <c r="W9" s="24">
        <v>0</v>
      </c>
      <c r="X9" s="58"/>
    </row>
    <row r="10" spans="1:24" s="3" customFormat="1" ht="9.75" x14ac:dyDescent="0.2">
      <c r="A10" s="16" t="s">
        <v>5</v>
      </c>
      <c r="B10" s="1007" t="s">
        <v>7</v>
      </c>
      <c r="C10" s="1007"/>
      <c r="D10" s="25" t="s">
        <v>25</v>
      </c>
      <c r="E10" s="59">
        <f t="shared" si="5"/>
        <v>0</v>
      </c>
      <c r="F10" s="59">
        <f t="shared" si="5"/>
        <v>0</v>
      </c>
      <c r="G10" s="59">
        <f t="shared" si="5"/>
        <v>0</v>
      </c>
      <c r="H10" s="18">
        <v>0</v>
      </c>
      <c r="I10" s="67">
        <f>SUM(N10,S10)</f>
        <v>0</v>
      </c>
      <c r="J10" s="68"/>
      <c r="K10" s="59"/>
      <c r="L10" s="59"/>
      <c r="M10" s="18">
        <v>0</v>
      </c>
      <c r="N10" s="59"/>
      <c r="O10" s="59"/>
      <c r="P10" s="59"/>
      <c r="Q10" s="59"/>
      <c r="R10" s="18">
        <v>0</v>
      </c>
      <c r="S10" s="59"/>
      <c r="T10" s="59"/>
      <c r="U10" s="59"/>
      <c r="V10" s="59"/>
      <c r="W10" s="18">
        <v>0</v>
      </c>
      <c r="X10" s="59"/>
    </row>
    <row r="11" spans="1:24" s="3" customFormat="1" ht="9.75" x14ac:dyDescent="0.2">
      <c r="A11" s="16" t="s">
        <v>6</v>
      </c>
      <c r="B11" s="1007" t="s">
        <v>9</v>
      </c>
      <c r="C11" s="1007"/>
      <c r="D11" s="25" t="s">
        <v>25</v>
      </c>
      <c r="E11" s="52">
        <f>SUM(E12:E31)</f>
        <v>12967119</v>
      </c>
      <c r="F11" s="52">
        <f>SUM(F12:F31)</f>
        <v>13947569</v>
      </c>
      <c r="G11" s="52">
        <f>SUM(G12:G31)</f>
        <v>13796965</v>
      </c>
      <c r="H11" s="18">
        <f t="shared" si="0"/>
        <v>98.920213264404708</v>
      </c>
      <c r="I11" s="69">
        <f>SUM(I12:I32)</f>
        <v>13072018</v>
      </c>
      <c r="J11" s="52">
        <f>SUM(J12:J31)</f>
        <v>5705959</v>
      </c>
      <c r="K11" s="52">
        <f>SUM(K12:K31)</f>
        <v>6220092</v>
      </c>
      <c r="L11" s="52">
        <f>SUM(L12:L31)</f>
        <v>6069488</v>
      </c>
      <c r="M11" s="18">
        <f t="shared" si="2"/>
        <v>97.578749639072853</v>
      </c>
      <c r="N11" s="52">
        <v>5890497</v>
      </c>
      <c r="O11" s="52">
        <f>SUM(O12:O31)</f>
        <v>7261160</v>
      </c>
      <c r="P11" s="52">
        <f>SUM(P12:P31)</f>
        <v>7727477</v>
      </c>
      <c r="Q11" s="52">
        <f>SUM(Q12:Q31)</f>
        <v>7727477</v>
      </c>
      <c r="R11" s="18">
        <f t="shared" si="3"/>
        <v>100</v>
      </c>
      <c r="S11" s="52">
        <v>7181521</v>
      </c>
      <c r="T11" s="52">
        <f>SUM(T12:T31)</f>
        <v>10640</v>
      </c>
      <c r="U11" s="52">
        <f>SUM(U12:U31)</f>
        <v>10640</v>
      </c>
      <c r="V11" s="52">
        <f>SUM(V12:V31)</f>
        <v>5640</v>
      </c>
      <c r="W11" s="18">
        <f t="shared" si="4"/>
        <v>53.007518796992478</v>
      </c>
      <c r="X11" s="52">
        <v>7240</v>
      </c>
    </row>
    <row r="12" spans="1:24" s="3" customFormat="1" ht="9.75" x14ac:dyDescent="0.2">
      <c r="A12" s="26" t="s">
        <v>8</v>
      </c>
      <c r="B12" s="1008" t="s">
        <v>28</v>
      </c>
      <c r="C12" s="1009"/>
      <c r="D12" s="51" t="s">
        <v>25</v>
      </c>
      <c r="E12" s="53">
        <f t="shared" ref="E12:I27" si="6">SUM(J12,O12)</f>
        <v>3163999</v>
      </c>
      <c r="F12" s="54">
        <f t="shared" si="6"/>
        <v>3023426</v>
      </c>
      <c r="G12" s="54">
        <f t="shared" si="6"/>
        <v>3023285</v>
      </c>
      <c r="H12" s="6">
        <f t="shared" si="0"/>
        <v>99.995336416370037</v>
      </c>
      <c r="I12" s="60">
        <f t="shared" si="6"/>
        <v>3074310</v>
      </c>
      <c r="J12" s="70">
        <v>3163999</v>
      </c>
      <c r="K12" s="71">
        <v>3013996</v>
      </c>
      <c r="L12" s="71">
        <v>3013855</v>
      </c>
      <c r="M12" s="6">
        <f t="shared" si="2"/>
        <v>99.995321825244616</v>
      </c>
      <c r="N12" s="71">
        <v>3073288</v>
      </c>
      <c r="O12" s="79"/>
      <c r="P12" s="71">
        <v>9430</v>
      </c>
      <c r="Q12" s="71">
        <v>9430</v>
      </c>
      <c r="R12" s="6">
        <f t="shared" si="3"/>
        <v>100</v>
      </c>
      <c r="S12" s="71">
        <v>1022</v>
      </c>
      <c r="T12" s="79"/>
      <c r="U12" s="71"/>
      <c r="V12" s="71"/>
      <c r="W12" s="6">
        <v>0</v>
      </c>
      <c r="X12" s="71"/>
    </row>
    <row r="13" spans="1:24" s="3" customFormat="1" ht="9.75" x14ac:dyDescent="0.2">
      <c r="A13" s="27" t="s">
        <v>10</v>
      </c>
      <c r="B13" s="997" t="s">
        <v>29</v>
      </c>
      <c r="C13" s="998"/>
      <c r="D13" s="48" t="s">
        <v>25</v>
      </c>
      <c r="E13" s="55">
        <f t="shared" si="6"/>
        <v>770000</v>
      </c>
      <c r="F13" s="56">
        <f t="shared" si="6"/>
        <v>620000</v>
      </c>
      <c r="G13" s="56">
        <f t="shared" si="6"/>
        <v>472083</v>
      </c>
      <c r="H13" s="7">
        <f t="shared" si="0"/>
        <v>76.142419354838708</v>
      </c>
      <c r="I13" s="63">
        <f t="shared" si="6"/>
        <v>673768</v>
      </c>
      <c r="J13" s="72">
        <v>770000</v>
      </c>
      <c r="K13" s="56">
        <v>620000</v>
      </c>
      <c r="L13" s="56">
        <v>472083</v>
      </c>
      <c r="M13" s="7">
        <f t="shared" si="2"/>
        <v>76.142419354838708</v>
      </c>
      <c r="N13" s="56">
        <v>673768</v>
      </c>
      <c r="O13" s="55"/>
      <c r="P13" s="56"/>
      <c r="Q13" s="56"/>
      <c r="R13" s="7">
        <v>0</v>
      </c>
      <c r="S13" s="56"/>
      <c r="T13" s="55"/>
      <c r="U13" s="56"/>
      <c r="V13" s="56"/>
      <c r="W13" s="7">
        <v>0</v>
      </c>
      <c r="X13" s="56"/>
    </row>
    <row r="14" spans="1:24" s="3" customFormat="1" ht="9.75" x14ac:dyDescent="0.2">
      <c r="A14" s="27" t="s">
        <v>11</v>
      </c>
      <c r="B14" s="418" t="s">
        <v>63</v>
      </c>
      <c r="C14" s="419"/>
      <c r="D14" s="48" t="s">
        <v>25</v>
      </c>
      <c r="E14" s="55">
        <f t="shared" si="6"/>
        <v>0</v>
      </c>
      <c r="F14" s="56">
        <f t="shared" si="6"/>
        <v>0</v>
      </c>
      <c r="G14" s="56">
        <f t="shared" si="6"/>
        <v>0</v>
      </c>
      <c r="H14" s="7">
        <v>0</v>
      </c>
      <c r="I14" s="63">
        <f t="shared" si="6"/>
        <v>0</v>
      </c>
      <c r="J14" s="72"/>
      <c r="K14" s="56"/>
      <c r="L14" s="56"/>
      <c r="M14" s="7">
        <v>0</v>
      </c>
      <c r="N14" s="56"/>
      <c r="O14" s="55"/>
      <c r="P14" s="56"/>
      <c r="Q14" s="56"/>
      <c r="R14" s="7">
        <v>0</v>
      </c>
      <c r="S14" s="56"/>
      <c r="T14" s="55"/>
      <c r="U14" s="56"/>
      <c r="V14" s="56"/>
      <c r="W14" s="7">
        <v>0</v>
      </c>
      <c r="X14" s="56"/>
    </row>
    <row r="15" spans="1:24" s="3" customFormat="1" ht="9.75" x14ac:dyDescent="0.2">
      <c r="A15" s="27" t="s">
        <v>12</v>
      </c>
      <c r="B15" s="997" t="s">
        <v>64</v>
      </c>
      <c r="C15" s="998"/>
      <c r="D15" s="48" t="s">
        <v>25</v>
      </c>
      <c r="E15" s="55">
        <f t="shared" si="6"/>
        <v>403000</v>
      </c>
      <c r="F15" s="56">
        <f t="shared" si="6"/>
        <v>1032944</v>
      </c>
      <c r="G15" s="56">
        <f t="shared" si="6"/>
        <v>1032943</v>
      </c>
      <c r="H15" s="7">
        <f t="shared" si="0"/>
        <v>99.999903189330681</v>
      </c>
      <c r="I15" s="63">
        <f t="shared" si="6"/>
        <v>521673</v>
      </c>
      <c r="J15" s="72">
        <v>403000</v>
      </c>
      <c r="K15" s="56">
        <v>1032944</v>
      </c>
      <c r="L15" s="56">
        <v>1032943</v>
      </c>
      <c r="M15" s="7">
        <f t="shared" si="2"/>
        <v>99.999903189330681</v>
      </c>
      <c r="N15" s="56">
        <v>521673</v>
      </c>
      <c r="O15" s="55"/>
      <c r="P15" s="56"/>
      <c r="Q15" s="56"/>
      <c r="R15" s="7">
        <v>0</v>
      </c>
      <c r="S15" s="56"/>
      <c r="T15" s="55">
        <v>3000</v>
      </c>
      <c r="U15" s="56">
        <v>3000</v>
      </c>
      <c r="V15" s="56">
        <v>0</v>
      </c>
      <c r="W15" s="7">
        <f t="shared" si="4"/>
        <v>0</v>
      </c>
      <c r="X15" s="56">
        <v>0</v>
      </c>
    </row>
    <row r="16" spans="1:24" s="3" customFormat="1" ht="9.75" x14ac:dyDescent="0.2">
      <c r="A16" s="27" t="s">
        <v>13</v>
      </c>
      <c r="B16" s="997" t="s">
        <v>30</v>
      </c>
      <c r="C16" s="998"/>
      <c r="D16" s="48" t="s">
        <v>25</v>
      </c>
      <c r="E16" s="55">
        <f t="shared" si="6"/>
        <v>5000</v>
      </c>
      <c r="F16" s="56">
        <f t="shared" si="6"/>
        <v>2398</v>
      </c>
      <c r="G16" s="56">
        <f t="shared" si="6"/>
        <v>2398</v>
      </c>
      <c r="H16" s="7">
        <f t="shared" si="0"/>
        <v>100</v>
      </c>
      <c r="I16" s="63">
        <f t="shared" si="6"/>
        <v>1035</v>
      </c>
      <c r="J16" s="72">
        <v>5000</v>
      </c>
      <c r="K16" s="56">
        <v>2398</v>
      </c>
      <c r="L16" s="56">
        <v>2398</v>
      </c>
      <c r="M16" s="7">
        <f t="shared" si="2"/>
        <v>100</v>
      </c>
      <c r="N16" s="56">
        <v>1035</v>
      </c>
      <c r="O16" s="55"/>
      <c r="P16" s="56"/>
      <c r="Q16" s="56"/>
      <c r="R16" s="7">
        <v>0</v>
      </c>
      <c r="S16" s="56"/>
      <c r="T16" s="55"/>
      <c r="U16" s="56"/>
      <c r="V16" s="56"/>
      <c r="W16" s="7">
        <v>0</v>
      </c>
      <c r="X16" s="56"/>
    </row>
    <row r="17" spans="1:24" s="3" customFormat="1" ht="9.75" x14ac:dyDescent="0.2">
      <c r="A17" s="27" t="s">
        <v>14</v>
      </c>
      <c r="B17" s="418" t="s">
        <v>48</v>
      </c>
      <c r="C17" s="419"/>
      <c r="D17" s="48" t="s">
        <v>25</v>
      </c>
      <c r="E17" s="55">
        <f t="shared" si="6"/>
        <v>0</v>
      </c>
      <c r="F17" s="56">
        <f t="shared" si="6"/>
        <v>0</v>
      </c>
      <c r="G17" s="56">
        <f t="shared" si="6"/>
        <v>0</v>
      </c>
      <c r="H17" s="7">
        <v>0</v>
      </c>
      <c r="I17" s="63">
        <f t="shared" si="6"/>
        <v>0</v>
      </c>
      <c r="J17" s="72"/>
      <c r="K17" s="56"/>
      <c r="L17" s="56"/>
      <c r="M17" s="7">
        <v>0</v>
      </c>
      <c r="N17" s="56"/>
      <c r="O17" s="55"/>
      <c r="P17" s="56"/>
      <c r="Q17" s="56"/>
      <c r="R17" s="7">
        <v>0</v>
      </c>
      <c r="S17" s="56"/>
      <c r="T17" s="55"/>
      <c r="U17" s="56"/>
      <c r="V17" s="56"/>
      <c r="W17" s="7">
        <v>0</v>
      </c>
      <c r="X17" s="56"/>
    </row>
    <row r="18" spans="1:24" s="3" customFormat="1" ht="9.75" x14ac:dyDescent="0.2">
      <c r="A18" s="27" t="s">
        <v>15</v>
      </c>
      <c r="B18" s="997" t="s">
        <v>31</v>
      </c>
      <c r="C18" s="998"/>
      <c r="D18" s="48" t="s">
        <v>25</v>
      </c>
      <c r="E18" s="55">
        <f t="shared" si="6"/>
        <v>331240</v>
      </c>
      <c r="F18" s="56">
        <f t="shared" si="6"/>
        <v>367128</v>
      </c>
      <c r="G18" s="56">
        <f t="shared" si="6"/>
        <v>367128</v>
      </c>
      <c r="H18" s="7">
        <f t="shared" si="0"/>
        <v>100</v>
      </c>
      <c r="I18" s="63">
        <f t="shared" si="6"/>
        <v>290093</v>
      </c>
      <c r="J18" s="72">
        <v>331240</v>
      </c>
      <c r="K18" s="56">
        <v>358378</v>
      </c>
      <c r="L18" s="56">
        <v>358378</v>
      </c>
      <c r="M18" s="7">
        <f t="shared" si="2"/>
        <v>100</v>
      </c>
      <c r="N18" s="56">
        <v>290093</v>
      </c>
      <c r="O18" s="55"/>
      <c r="P18" s="56">
        <v>8750</v>
      </c>
      <c r="Q18" s="56">
        <v>8750</v>
      </c>
      <c r="R18" s="7">
        <f t="shared" si="3"/>
        <v>100</v>
      </c>
      <c r="S18" s="56"/>
      <c r="T18" s="55">
        <v>2000</v>
      </c>
      <c r="U18" s="56">
        <v>2000</v>
      </c>
      <c r="V18" s="56">
        <v>0</v>
      </c>
      <c r="W18" s="7">
        <f t="shared" si="4"/>
        <v>0</v>
      </c>
      <c r="X18" s="56">
        <v>2070</v>
      </c>
    </row>
    <row r="19" spans="1:24" s="8" customFormat="1" ht="9.75" x14ac:dyDescent="0.2">
      <c r="A19" s="27" t="s">
        <v>16</v>
      </c>
      <c r="B19" s="997" t="s">
        <v>32</v>
      </c>
      <c r="C19" s="998"/>
      <c r="D19" s="48" t="s">
        <v>25</v>
      </c>
      <c r="E19" s="55">
        <f t="shared" si="6"/>
        <v>5507216</v>
      </c>
      <c r="F19" s="56">
        <f t="shared" si="6"/>
        <v>5874058</v>
      </c>
      <c r="G19" s="56">
        <f t="shared" si="6"/>
        <v>5874058</v>
      </c>
      <c r="H19" s="7">
        <f t="shared" si="0"/>
        <v>100</v>
      </c>
      <c r="I19" s="63">
        <f t="shared" si="6"/>
        <v>5507066</v>
      </c>
      <c r="J19" s="73">
        <v>195000</v>
      </c>
      <c r="K19" s="56">
        <v>216900</v>
      </c>
      <c r="L19" s="56">
        <v>216900</v>
      </c>
      <c r="M19" s="7">
        <f t="shared" si="2"/>
        <v>100</v>
      </c>
      <c r="N19" s="56">
        <v>219178</v>
      </c>
      <c r="O19" s="55">
        <v>5312216</v>
      </c>
      <c r="P19" s="56">
        <v>5657158</v>
      </c>
      <c r="Q19" s="56">
        <v>5657158</v>
      </c>
      <c r="R19" s="7">
        <f t="shared" si="3"/>
        <v>100</v>
      </c>
      <c r="S19" s="56">
        <v>5287888</v>
      </c>
      <c r="T19" s="84"/>
      <c r="U19" s="85"/>
      <c r="V19" s="85"/>
      <c r="W19" s="7">
        <v>0</v>
      </c>
      <c r="X19" s="85"/>
    </row>
    <row r="20" spans="1:24" s="3" customFormat="1" ht="9.75" x14ac:dyDescent="0.2">
      <c r="A20" s="27" t="s">
        <v>17</v>
      </c>
      <c r="B20" s="997" t="s">
        <v>49</v>
      </c>
      <c r="C20" s="998"/>
      <c r="D20" s="48" t="s">
        <v>25</v>
      </c>
      <c r="E20" s="55">
        <f t="shared" si="6"/>
        <v>1885455</v>
      </c>
      <c r="F20" s="56">
        <f t="shared" si="6"/>
        <v>2003486</v>
      </c>
      <c r="G20" s="56">
        <f t="shared" si="6"/>
        <v>2003485</v>
      </c>
      <c r="H20" s="7">
        <f t="shared" si="0"/>
        <v>99.999950086998354</v>
      </c>
      <c r="I20" s="63">
        <f t="shared" si="6"/>
        <v>1877865</v>
      </c>
      <c r="J20" s="72">
        <v>67119</v>
      </c>
      <c r="K20" s="56">
        <v>78645</v>
      </c>
      <c r="L20" s="56">
        <v>78644</v>
      </c>
      <c r="M20" s="7">
        <f t="shared" si="2"/>
        <v>99.998728463347959</v>
      </c>
      <c r="N20" s="56">
        <v>76469</v>
      </c>
      <c r="O20" s="55">
        <v>1818336</v>
      </c>
      <c r="P20" s="56">
        <v>1924841</v>
      </c>
      <c r="Q20" s="56">
        <v>1924841</v>
      </c>
      <c r="R20" s="7">
        <f t="shared" si="3"/>
        <v>100</v>
      </c>
      <c r="S20" s="56">
        <v>1801396</v>
      </c>
      <c r="T20" s="55"/>
      <c r="U20" s="56"/>
      <c r="V20" s="56"/>
      <c r="W20" s="7">
        <v>0</v>
      </c>
      <c r="X20" s="56"/>
    </row>
    <row r="21" spans="1:24" s="3" customFormat="1" ht="9.75" x14ac:dyDescent="0.2">
      <c r="A21" s="27" t="s">
        <v>18</v>
      </c>
      <c r="B21" s="997" t="s">
        <v>50</v>
      </c>
      <c r="C21" s="998"/>
      <c r="D21" s="48" t="s">
        <v>25</v>
      </c>
      <c r="E21" s="55">
        <f t="shared" si="6"/>
        <v>147708</v>
      </c>
      <c r="F21" s="56">
        <f t="shared" si="6"/>
        <v>144678</v>
      </c>
      <c r="G21" s="56">
        <f t="shared" si="6"/>
        <v>144678</v>
      </c>
      <c r="H21" s="7">
        <f t="shared" si="0"/>
        <v>100</v>
      </c>
      <c r="I21" s="63">
        <f t="shared" si="6"/>
        <v>108645</v>
      </c>
      <c r="J21" s="72">
        <v>17100</v>
      </c>
      <c r="K21" s="56">
        <v>17380</v>
      </c>
      <c r="L21" s="56">
        <v>17380</v>
      </c>
      <c r="M21" s="7">
        <f t="shared" si="2"/>
        <v>100</v>
      </c>
      <c r="N21" s="56">
        <v>17430</v>
      </c>
      <c r="O21" s="55">
        <v>130608</v>
      </c>
      <c r="P21" s="56">
        <v>127298</v>
      </c>
      <c r="Q21" s="56">
        <v>127298</v>
      </c>
      <c r="R21" s="7">
        <f t="shared" si="3"/>
        <v>100</v>
      </c>
      <c r="S21" s="56">
        <v>91215</v>
      </c>
      <c r="T21" s="55"/>
      <c r="U21" s="56"/>
      <c r="V21" s="56"/>
      <c r="W21" s="7">
        <v>0</v>
      </c>
      <c r="X21" s="56"/>
    </row>
    <row r="22" spans="1:24" s="3" customFormat="1" ht="9.75" x14ac:dyDescent="0.2">
      <c r="A22" s="27" t="s">
        <v>19</v>
      </c>
      <c r="B22" s="997" t="s">
        <v>65</v>
      </c>
      <c r="C22" s="998"/>
      <c r="D22" s="48" t="s">
        <v>25</v>
      </c>
      <c r="E22" s="55">
        <f t="shared" si="6"/>
        <v>0</v>
      </c>
      <c r="F22" s="56">
        <f t="shared" si="6"/>
        <v>0</v>
      </c>
      <c r="G22" s="56">
        <f t="shared" si="6"/>
        <v>0</v>
      </c>
      <c r="H22" s="7">
        <v>0</v>
      </c>
      <c r="I22" s="63">
        <f t="shared" si="6"/>
        <v>0</v>
      </c>
      <c r="J22" s="72"/>
      <c r="K22" s="56"/>
      <c r="L22" s="56"/>
      <c r="M22" s="7">
        <v>0</v>
      </c>
      <c r="N22" s="56"/>
      <c r="O22" s="55"/>
      <c r="P22" s="56"/>
      <c r="Q22" s="56"/>
      <c r="R22" s="7">
        <v>0</v>
      </c>
      <c r="S22" s="56"/>
      <c r="T22" s="55"/>
      <c r="U22" s="56"/>
      <c r="V22" s="56"/>
      <c r="W22" s="7">
        <v>0</v>
      </c>
      <c r="X22" s="56"/>
    </row>
    <row r="23" spans="1:24" s="3" customFormat="1" ht="9.75" x14ac:dyDescent="0.2">
      <c r="A23" s="27" t="s">
        <v>20</v>
      </c>
      <c r="B23" s="418" t="s">
        <v>66</v>
      </c>
      <c r="C23" s="419"/>
      <c r="D23" s="48" t="s">
        <v>25</v>
      </c>
      <c r="E23" s="55">
        <f t="shared" si="6"/>
        <v>0</v>
      </c>
      <c r="F23" s="56">
        <f t="shared" si="6"/>
        <v>0</v>
      </c>
      <c r="G23" s="56">
        <f t="shared" si="6"/>
        <v>0</v>
      </c>
      <c r="H23" s="7">
        <v>0</v>
      </c>
      <c r="I23" s="63">
        <f t="shared" si="6"/>
        <v>0</v>
      </c>
      <c r="J23" s="72"/>
      <c r="K23" s="56"/>
      <c r="L23" s="56"/>
      <c r="M23" s="7">
        <v>0</v>
      </c>
      <c r="N23" s="56"/>
      <c r="O23" s="55"/>
      <c r="P23" s="56"/>
      <c r="Q23" s="56"/>
      <c r="R23" s="7">
        <v>0</v>
      </c>
      <c r="S23" s="56"/>
      <c r="T23" s="55"/>
      <c r="U23" s="56"/>
      <c r="V23" s="56"/>
      <c r="W23" s="7">
        <v>0</v>
      </c>
      <c r="X23" s="56"/>
    </row>
    <row r="24" spans="1:24" s="3" customFormat="1" ht="9.75" x14ac:dyDescent="0.2">
      <c r="A24" s="27" t="s">
        <v>21</v>
      </c>
      <c r="B24" s="418" t="s">
        <v>73</v>
      </c>
      <c r="C24" s="419"/>
      <c r="D24" s="48" t="s">
        <v>25</v>
      </c>
      <c r="E24" s="55">
        <f t="shared" si="6"/>
        <v>0</v>
      </c>
      <c r="F24" s="56">
        <f t="shared" si="6"/>
        <v>0</v>
      </c>
      <c r="G24" s="56">
        <f t="shared" si="6"/>
        <v>0</v>
      </c>
      <c r="H24" s="7">
        <v>0</v>
      </c>
      <c r="I24" s="63">
        <f t="shared" si="6"/>
        <v>0</v>
      </c>
      <c r="J24" s="72"/>
      <c r="K24" s="56"/>
      <c r="L24" s="56"/>
      <c r="M24" s="7">
        <v>0</v>
      </c>
      <c r="N24" s="56"/>
      <c r="O24" s="55"/>
      <c r="P24" s="56"/>
      <c r="Q24" s="56"/>
      <c r="R24" s="7">
        <v>0</v>
      </c>
      <c r="S24" s="56"/>
      <c r="T24" s="55"/>
      <c r="U24" s="56"/>
      <c r="V24" s="56"/>
      <c r="W24" s="7">
        <v>0</v>
      </c>
      <c r="X24" s="56"/>
    </row>
    <row r="25" spans="1:24" s="3" customFormat="1" ht="9.75" x14ac:dyDescent="0.2">
      <c r="A25" s="28" t="s">
        <v>22</v>
      </c>
      <c r="B25" s="29" t="s">
        <v>68</v>
      </c>
      <c r="C25" s="30"/>
      <c r="D25" s="48" t="s">
        <v>25</v>
      </c>
      <c r="E25" s="55">
        <f t="shared" si="6"/>
        <v>0</v>
      </c>
      <c r="F25" s="56">
        <f t="shared" si="6"/>
        <v>0</v>
      </c>
      <c r="G25" s="56">
        <f t="shared" si="6"/>
        <v>0</v>
      </c>
      <c r="H25" s="7">
        <v>0</v>
      </c>
      <c r="I25" s="63">
        <f t="shared" si="6"/>
        <v>0</v>
      </c>
      <c r="J25" s="72"/>
      <c r="K25" s="74"/>
      <c r="L25" s="74"/>
      <c r="M25" s="7">
        <v>0</v>
      </c>
      <c r="N25" s="74"/>
      <c r="O25" s="81"/>
      <c r="P25" s="74"/>
      <c r="Q25" s="74"/>
      <c r="R25" s="7">
        <v>0</v>
      </c>
      <c r="S25" s="74"/>
      <c r="T25" s="81"/>
      <c r="U25" s="74"/>
      <c r="V25" s="74"/>
      <c r="W25" s="7">
        <v>0</v>
      </c>
      <c r="X25" s="74"/>
    </row>
    <row r="26" spans="1:24" s="10" customFormat="1" ht="9.75" x14ac:dyDescent="0.2">
      <c r="A26" s="27" t="s">
        <v>23</v>
      </c>
      <c r="B26" s="997" t="s">
        <v>69</v>
      </c>
      <c r="C26" s="998"/>
      <c r="D26" s="48" t="s">
        <v>25</v>
      </c>
      <c r="E26" s="55">
        <f t="shared" si="6"/>
        <v>571132</v>
      </c>
      <c r="F26" s="56">
        <f t="shared" si="6"/>
        <v>651928</v>
      </c>
      <c r="G26" s="56">
        <f t="shared" si="6"/>
        <v>649384</v>
      </c>
      <c r="H26" s="11">
        <f t="shared" si="0"/>
        <v>99.609772858352457</v>
      </c>
      <c r="I26" s="63">
        <f t="shared" si="6"/>
        <v>602931</v>
      </c>
      <c r="J26" s="72">
        <v>571132</v>
      </c>
      <c r="K26" s="75">
        <v>651928</v>
      </c>
      <c r="L26" s="75">
        <v>649384</v>
      </c>
      <c r="M26" s="7">
        <f t="shared" si="2"/>
        <v>99.609772858352457</v>
      </c>
      <c r="N26" s="75">
        <v>602931</v>
      </c>
      <c r="O26" s="82"/>
      <c r="P26" s="75"/>
      <c r="Q26" s="75"/>
      <c r="R26" s="7">
        <v>0</v>
      </c>
      <c r="S26" s="75"/>
      <c r="T26" s="87">
        <v>5640</v>
      </c>
      <c r="U26" s="88">
        <v>5640</v>
      </c>
      <c r="V26" s="88">
        <v>5640</v>
      </c>
      <c r="W26" s="7">
        <f t="shared" si="4"/>
        <v>100</v>
      </c>
      <c r="X26" s="75">
        <v>5170</v>
      </c>
    </row>
    <row r="27" spans="1:24" s="12" customFormat="1" ht="9.75" x14ac:dyDescent="0.2">
      <c r="A27" s="27" t="s">
        <v>45</v>
      </c>
      <c r="B27" s="418" t="s">
        <v>70</v>
      </c>
      <c r="C27" s="419"/>
      <c r="D27" s="48" t="s">
        <v>25</v>
      </c>
      <c r="E27" s="55">
        <f t="shared" si="6"/>
        <v>0</v>
      </c>
      <c r="F27" s="56">
        <f t="shared" si="6"/>
        <v>0</v>
      </c>
      <c r="G27" s="56">
        <f t="shared" si="6"/>
        <v>0</v>
      </c>
      <c r="H27" s="11">
        <v>0</v>
      </c>
      <c r="I27" s="63">
        <f t="shared" si="6"/>
        <v>0</v>
      </c>
      <c r="J27" s="72"/>
      <c r="K27" s="75"/>
      <c r="L27" s="75"/>
      <c r="M27" s="7">
        <v>0</v>
      </c>
      <c r="N27" s="75"/>
      <c r="O27" s="82"/>
      <c r="P27" s="75"/>
      <c r="Q27" s="75"/>
      <c r="R27" s="7">
        <v>0</v>
      </c>
      <c r="S27" s="75"/>
      <c r="T27" s="87"/>
      <c r="U27" s="88"/>
      <c r="V27" s="88"/>
      <c r="W27" s="7">
        <v>0</v>
      </c>
      <c r="X27" s="88"/>
    </row>
    <row r="28" spans="1:24" s="12" customFormat="1" ht="9.75" x14ac:dyDescent="0.2">
      <c r="A28" s="27" t="s">
        <v>51</v>
      </c>
      <c r="B28" s="418" t="s">
        <v>74</v>
      </c>
      <c r="C28" s="419"/>
      <c r="D28" s="48" t="s">
        <v>25</v>
      </c>
      <c r="E28" s="55">
        <v>182000</v>
      </c>
      <c r="F28" s="56">
        <v>227154</v>
      </c>
      <c r="G28" s="56">
        <v>227154</v>
      </c>
      <c r="H28" s="11">
        <f t="shared" si="0"/>
        <v>100</v>
      </c>
      <c r="I28" s="63">
        <v>414263</v>
      </c>
      <c r="J28" s="72">
        <v>182000</v>
      </c>
      <c r="K28" s="75">
        <v>227154</v>
      </c>
      <c r="L28" s="75">
        <v>227154</v>
      </c>
      <c r="M28" s="7">
        <f t="shared" si="2"/>
        <v>100</v>
      </c>
      <c r="N28" s="75">
        <v>414263</v>
      </c>
      <c r="O28" s="82"/>
      <c r="P28" s="75"/>
      <c r="Q28" s="75"/>
      <c r="R28" s="7">
        <v>0</v>
      </c>
      <c r="S28" s="75"/>
      <c r="T28" s="87"/>
      <c r="U28" s="88"/>
      <c r="V28" s="88"/>
      <c r="W28" s="7">
        <v>0</v>
      </c>
      <c r="X28" s="88"/>
    </row>
    <row r="29" spans="1:24" s="10" customFormat="1" ht="9.75" x14ac:dyDescent="0.2">
      <c r="A29" s="27" t="s">
        <v>52</v>
      </c>
      <c r="B29" s="997" t="s">
        <v>67</v>
      </c>
      <c r="C29" s="998"/>
      <c r="D29" s="48" t="s">
        <v>25</v>
      </c>
      <c r="E29" s="55">
        <f t="shared" ref="E29:G31" si="7">SUM(J29,O29)</f>
        <v>369</v>
      </c>
      <c r="F29" s="56">
        <f t="shared" si="7"/>
        <v>369</v>
      </c>
      <c r="G29" s="56">
        <f t="shared" si="7"/>
        <v>369</v>
      </c>
      <c r="H29" s="11">
        <f t="shared" si="0"/>
        <v>100</v>
      </c>
      <c r="I29" s="63">
        <f>SUM(N29,S29)</f>
        <v>369</v>
      </c>
      <c r="J29" s="72">
        <v>369</v>
      </c>
      <c r="K29" s="75">
        <v>369</v>
      </c>
      <c r="L29" s="75">
        <v>369</v>
      </c>
      <c r="M29" s="7">
        <f t="shared" si="2"/>
        <v>100</v>
      </c>
      <c r="N29" s="75">
        <v>369</v>
      </c>
      <c r="O29" s="82"/>
      <c r="P29" s="75"/>
      <c r="Q29" s="75"/>
      <c r="R29" s="7">
        <v>0</v>
      </c>
      <c r="S29" s="75"/>
      <c r="T29" s="87"/>
      <c r="U29" s="88"/>
      <c r="V29" s="88"/>
      <c r="W29" s="7">
        <v>0</v>
      </c>
      <c r="X29" s="88"/>
    </row>
    <row r="30" spans="1:24" s="3" customFormat="1" ht="9.75" x14ac:dyDescent="0.2">
      <c r="A30" s="27" t="s">
        <v>54</v>
      </c>
      <c r="B30" s="418" t="s">
        <v>53</v>
      </c>
      <c r="C30" s="419"/>
      <c r="D30" s="48" t="s">
        <v>25</v>
      </c>
      <c r="E30" s="55">
        <f t="shared" si="7"/>
        <v>0</v>
      </c>
      <c r="F30" s="56">
        <f t="shared" si="7"/>
        <v>0</v>
      </c>
      <c r="G30" s="56">
        <f t="shared" si="7"/>
        <v>0</v>
      </c>
      <c r="H30" s="11">
        <v>0</v>
      </c>
      <c r="I30" s="63">
        <f>SUM(N30,S30)</f>
        <v>0</v>
      </c>
      <c r="J30" s="72"/>
      <c r="K30" s="75"/>
      <c r="L30" s="75"/>
      <c r="M30" s="7">
        <v>0</v>
      </c>
      <c r="N30" s="75"/>
      <c r="O30" s="82"/>
      <c r="P30" s="75"/>
      <c r="Q30" s="75"/>
      <c r="R30" s="7">
        <v>0</v>
      </c>
      <c r="S30" s="75"/>
      <c r="T30" s="87"/>
      <c r="U30" s="88"/>
      <c r="V30" s="88"/>
      <c r="W30" s="7">
        <v>0</v>
      </c>
      <c r="X30" s="88"/>
    </row>
    <row r="31" spans="1:24" s="31" customFormat="1" ht="9.75" x14ac:dyDescent="0.2">
      <c r="A31" s="27" t="s">
        <v>55</v>
      </c>
      <c r="B31" s="102" t="s">
        <v>71</v>
      </c>
      <c r="C31" s="103"/>
      <c r="D31" s="48" t="s">
        <v>25</v>
      </c>
      <c r="E31" s="55">
        <f t="shared" si="7"/>
        <v>0</v>
      </c>
      <c r="F31" s="56">
        <f t="shared" si="7"/>
        <v>0</v>
      </c>
      <c r="G31" s="56">
        <f t="shared" si="7"/>
        <v>0</v>
      </c>
      <c r="H31" s="11">
        <v>0</v>
      </c>
      <c r="I31" s="63">
        <f>SUM(N31,S31)</f>
        <v>0</v>
      </c>
      <c r="J31" s="72"/>
      <c r="K31" s="104"/>
      <c r="L31" s="104"/>
      <c r="M31" s="7">
        <v>0</v>
      </c>
      <c r="N31" s="104"/>
      <c r="O31" s="106"/>
      <c r="P31" s="104"/>
      <c r="Q31" s="104"/>
      <c r="R31" s="7">
        <v>0</v>
      </c>
      <c r="S31" s="104"/>
      <c r="T31" s="107"/>
      <c r="U31" s="108"/>
      <c r="V31" s="108"/>
      <c r="W31" s="7">
        <v>0</v>
      </c>
      <c r="X31" s="108"/>
    </row>
    <row r="32" spans="1:24" s="31" customFormat="1" ht="9.75" x14ac:dyDescent="0.2">
      <c r="A32" s="110" t="s">
        <v>56</v>
      </c>
      <c r="B32" s="111" t="s">
        <v>72</v>
      </c>
      <c r="C32" s="112"/>
      <c r="D32" s="49" t="s">
        <v>25</v>
      </c>
      <c r="E32" s="57">
        <f>SUM(J32,O32)</f>
        <v>0</v>
      </c>
      <c r="F32" s="58">
        <f>SUM(K32,P32)</f>
        <v>0</v>
      </c>
      <c r="G32" s="58">
        <f>SUM(L32,Q32)</f>
        <v>0</v>
      </c>
      <c r="H32" s="13">
        <v>0</v>
      </c>
      <c r="I32" s="65">
        <f>SUM(N32,S32)</f>
        <v>0</v>
      </c>
      <c r="J32" s="113"/>
      <c r="K32" s="90"/>
      <c r="L32" s="90"/>
      <c r="M32" s="24">
        <v>0</v>
      </c>
      <c r="N32" s="90"/>
      <c r="O32" s="89"/>
      <c r="P32" s="90"/>
      <c r="Q32" s="90"/>
      <c r="R32" s="24">
        <v>0</v>
      </c>
      <c r="S32" s="90"/>
      <c r="T32" s="89"/>
      <c r="U32" s="90"/>
      <c r="V32" s="90"/>
      <c r="W32" s="24">
        <v>0</v>
      </c>
      <c r="X32" s="90"/>
    </row>
    <row r="33" spans="1:24" s="31" customFormat="1" ht="9.75" x14ac:dyDescent="0.2">
      <c r="A33" s="16" t="s">
        <v>57</v>
      </c>
      <c r="B33" s="34" t="s">
        <v>58</v>
      </c>
      <c r="C33" s="35"/>
      <c r="D33" s="17" t="s">
        <v>25</v>
      </c>
      <c r="E33" s="52">
        <f>E6-E11</f>
        <v>0</v>
      </c>
      <c r="F33" s="52">
        <f t="shared" ref="F33:G33" si="8">F6-F11</f>
        <v>0</v>
      </c>
      <c r="G33" s="52">
        <f t="shared" si="8"/>
        <v>150604</v>
      </c>
      <c r="H33" s="32">
        <v>0</v>
      </c>
      <c r="I33" s="52">
        <f t="shared" ref="I33:L33" si="9">I6-I11</f>
        <v>236285</v>
      </c>
      <c r="J33" s="52">
        <f t="shared" si="9"/>
        <v>0</v>
      </c>
      <c r="K33" s="52">
        <f t="shared" si="9"/>
        <v>0</v>
      </c>
      <c r="L33" s="52">
        <f t="shared" si="9"/>
        <v>150604</v>
      </c>
      <c r="M33" s="33">
        <v>0</v>
      </c>
      <c r="N33" s="52">
        <v>236285</v>
      </c>
      <c r="O33" s="52">
        <f t="shared" ref="O33:Q33" si="10">O6-O11</f>
        <v>0</v>
      </c>
      <c r="P33" s="52">
        <f t="shared" si="10"/>
        <v>0</v>
      </c>
      <c r="Q33" s="52">
        <f t="shared" si="10"/>
        <v>0</v>
      </c>
      <c r="R33" s="33">
        <v>0</v>
      </c>
      <c r="S33" s="52">
        <v>0</v>
      </c>
      <c r="T33" s="52">
        <f t="shared" ref="T33:V33" si="11">T6-T11</f>
        <v>32798</v>
      </c>
      <c r="U33" s="52">
        <f t="shared" si="11"/>
        <v>32798</v>
      </c>
      <c r="V33" s="52">
        <f t="shared" si="11"/>
        <v>37798</v>
      </c>
      <c r="W33" s="178">
        <f t="shared" si="4"/>
        <v>115.24483200195135</v>
      </c>
      <c r="X33" s="52">
        <f>X6-X11</f>
        <v>36198</v>
      </c>
    </row>
    <row r="34" spans="1:24" s="37" customFormat="1" ht="9.75" x14ac:dyDescent="0.2">
      <c r="A34" s="36" t="s">
        <v>59</v>
      </c>
      <c r="B34" s="999" t="s">
        <v>24</v>
      </c>
      <c r="C34" s="1000"/>
      <c r="D34" s="99" t="s">
        <v>25</v>
      </c>
      <c r="E34" s="441">
        <v>18251</v>
      </c>
      <c r="F34" s="442">
        <v>18251</v>
      </c>
      <c r="G34" s="442">
        <v>20103</v>
      </c>
      <c r="H34" s="443">
        <f t="shared" si="0"/>
        <v>110.14738918415429</v>
      </c>
      <c r="I34" s="44">
        <v>18356</v>
      </c>
      <c r="J34" s="444">
        <v>13390</v>
      </c>
      <c r="K34" s="444">
        <v>13390</v>
      </c>
      <c r="L34" s="444">
        <v>14120</v>
      </c>
      <c r="M34" s="178">
        <f t="shared" si="2"/>
        <v>105.45182972367438</v>
      </c>
      <c r="N34" s="444">
        <v>13103</v>
      </c>
      <c r="O34" s="444">
        <v>19247</v>
      </c>
      <c r="P34" s="444">
        <v>19247</v>
      </c>
      <c r="Q34" s="444">
        <v>20496</v>
      </c>
      <c r="R34" s="178">
        <f t="shared" si="3"/>
        <v>106.48932301137839</v>
      </c>
      <c r="S34" s="444">
        <v>19159</v>
      </c>
      <c r="T34" s="444">
        <v>0</v>
      </c>
      <c r="U34" s="444">
        <v>0</v>
      </c>
      <c r="V34" s="444">
        <v>0</v>
      </c>
      <c r="W34" s="178">
        <v>0</v>
      </c>
      <c r="X34" s="444">
        <v>0</v>
      </c>
    </row>
    <row r="35" spans="1:24" s="37" customFormat="1" ht="9.75" x14ac:dyDescent="0.2">
      <c r="A35" s="38" t="s">
        <v>60</v>
      </c>
      <c r="B35" s="1001" t="s">
        <v>33</v>
      </c>
      <c r="C35" s="1002"/>
      <c r="D35" s="100" t="s">
        <v>26</v>
      </c>
      <c r="E35" s="445">
        <v>24</v>
      </c>
      <c r="F35" s="446">
        <v>24</v>
      </c>
      <c r="G35" s="446">
        <v>24</v>
      </c>
      <c r="H35" s="447">
        <f t="shared" si="0"/>
        <v>100</v>
      </c>
      <c r="I35" s="45">
        <v>25</v>
      </c>
      <c r="J35" s="444">
        <v>1.2</v>
      </c>
      <c r="K35" s="444">
        <v>1</v>
      </c>
      <c r="L35" s="444">
        <v>1</v>
      </c>
      <c r="M35" s="178">
        <f t="shared" si="2"/>
        <v>100</v>
      </c>
      <c r="N35" s="444">
        <v>1</v>
      </c>
      <c r="O35" s="444">
        <v>23</v>
      </c>
      <c r="P35" s="444">
        <v>23</v>
      </c>
      <c r="Q35" s="444">
        <v>23</v>
      </c>
      <c r="R35" s="178">
        <f t="shared" si="3"/>
        <v>100</v>
      </c>
      <c r="S35" s="444">
        <v>24</v>
      </c>
      <c r="T35" s="444">
        <v>0</v>
      </c>
      <c r="U35" s="444">
        <v>0</v>
      </c>
      <c r="V35" s="444">
        <v>0</v>
      </c>
      <c r="W35" s="178">
        <v>0</v>
      </c>
      <c r="X35" s="444">
        <v>0</v>
      </c>
    </row>
    <row r="36" spans="1:24" s="37" customFormat="1" ht="9.75" x14ac:dyDescent="0.2">
      <c r="A36" s="39" t="s">
        <v>61</v>
      </c>
      <c r="B36" s="1003" t="s">
        <v>27</v>
      </c>
      <c r="C36" s="1004"/>
      <c r="D36" s="101" t="s">
        <v>26</v>
      </c>
      <c r="E36" s="448">
        <v>37</v>
      </c>
      <c r="F36" s="449">
        <v>37</v>
      </c>
      <c r="G36" s="449">
        <v>39</v>
      </c>
      <c r="H36" s="450">
        <f t="shared" si="0"/>
        <v>105.40540540540539</v>
      </c>
      <c r="I36" s="46">
        <v>39</v>
      </c>
      <c r="J36" s="444">
        <v>1</v>
      </c>
      <c r="K36" s="444">
        <v>1</v>
      </c>
      <c r="L36" s="444">
        <v>1</v>
      </c>
      <c r="M36" s="178">
        <f t="shared" si="2"/>
        <v>100</v>
      </c>
      <c r="N36" s="444">
        <v>1</v>
      </c>
      <c r="O36" s="444">
        <v>36</v>
      </c>
      <c r="P36" s="444">
        <v>36</v>
      </c>
      <c r="Q36" s="444">
        <v>38</v>
      </c>
      <c r="R36" s="178">
        <f t="shared" si="3"/>
        <v>105.55555555555556</v>
      </c>
      <c r="S36" s="444">
        <v>38</v>
      </c>
      <c r="T36" s="444">
        <v>0</v>
      </c>
      <c r="U36" s="444">
        <v>0</v>
      </c>
      <c r="V36" s="444">
        <v>0</v>
      </c>
      <c r="W36" s="178" t="e">
        <f t="shared" si="4"/>
        <v>#DIV/0!</v>
      </c>
      <c r="X36" s="444">
        <v>0</v>
      </c>
    </row>
  </sheetData>
  <mergeCells count="39">
    <mergeCell ref="A1:X1"/>
    <mergeCell ref="A3:A5"/>
    <mergeCell ref="B3:C5"/>
    <mergeCell ref="D3:D5"/>
    <mergeCell ref="E3:I3"/>
    <mergeCell ref="J3:N3"/>
    <mergeCell ref="O3:S3"/>
    <mergeCell ref="T3:X3"/>
    <mergeCell ref="E4:E5"/>
    <mergeCell ref="F4:H4"/>
    <mergeCell ref="S4:S5"/>
    <mergeCell ref="T4:T5"/>
    <mergeCell ref="U4:W4"/>
    <mergeCell ref="X4:X5"/>
    <mergeCell ref="O4:O5"/>
    <mergeCell ref="P4:R4"/>
    <mergeCell ref="B7:C7"/>
    <mergeCell ref="I4:I5"/>
    <mergeCell ref="J4:J5"/>
    <mergeCell ref="K4:M4"/>
    <mergeCell ref="N4:N5"/>
    <mergeCell ref="B6:C6"/>
    <mergeCell ref="B22:C22"/>
    <mergeCell ref="B8:C8"/>
    <mergeCell ref="B10:C10"/>
    <mergeCell ref="B11:C11"/>
    <mergeCell ref="B12:C12"/>
    <mergeCell ref="B13:C13"/>
    <mergeCell ref="B15:C15"/>
    <mergeCell ref="B16:C16"/>
    <mergeCell ref="B18:C18"/>
    <mergeCell ref="B19:C19"/>
    <mergeCell ref="B20:C20"/>
    <mergeCell ref="B21:C21"/>
    <mergeCell ref="B26:C26"/>
    <mergeCell ref="B29:C29"/>
    <mergeCell ref="B34:C34"/>
    <mergeCell ref="B35:C35"/>
    <mergeCell ref="B36:C36"/>
  </mergeCells>
  <pageMargins left="0.70866141732283472" right="0.70866141732283472" top="0.78740157480314965" bottom="0.78740157480314965" header="0.31496062992125984" footer="0.31496062992125984"/>
  <pageSetup paperSize="9" scale="91" firstPageNumber="81" orientation="landscape" useFirstPageNumber="1"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1"/>
  <sheetViews>
    <sheetView topLeftCell="A52" workbookViewId="0">
      <selection activeCell="A107" sqref="A107:XFD107"/>
    </sheetView>
  </sheetViews>
  <sheetFormatPr defaultRowHeight="12.75" x14ac:dyDescent="0.2"/>
  <cols>
    <col min="1" max="1" width="58" style="240" customWidth="1"/>
    <col min="2" max="2" width="33.5" style="240" customWidth="1"/>
    <col min="3" max="5" width="25.75" style="240" customWidth="1"/>
    <col min="6" max="6" width="22.75" style="240" customWidth="1"/>
    <col min="7" max="16384" width="10" style="240"/>
  </cols>
  <sheetData>
    <row r="1" spans="1:9" s="425" customFormat="1" ht="18.75" x14ac:dyDescent="0.3">
      <c r="A1" s="425" t="s">
        <v>510</v>
      </c>
    </row>
    <row r="3" spans="1:9" s="180" customFormat="1" ht="10.5" x14ac:dyDescent="0.15">
      <c r="A3" s="1039" t="s">
        <v>354</v>
      </c>
      <c r="B3" s="1039"/>
      <c r="C3" s="1039"/>
      <c r="D3" s="1039"/>
      <c r="E3" s="1039"/>
      <c r="F3" s="1039"/>
      <c r="G3" s="1039"/>
      <c r="H3" s="1039"/>
      <c r="I3" s="1039"/>
    </row>
    <row r="4" spans="1:9" s="181" customFormat="1" ht="11.25" x14ac:dyDescent="0.2"/>
    <row r="5" spans="1:9" s="182" customFormat="1" ht="9.75" x14ac:dyDescent="0.2">
      <c r="A5" s="1040" t="s">
        <v>93</v>
      </c>
      <c r="B5" s="1041"/>
      <c r="C5" s="420" t="s">
        <v>25</v>
      </c>
      <c r="D5" s="1042" t="s">
        <v>355</v>
      </c>
      <c r="E5" s="1042"/>
      <c r="F5" s="1042"/>
      <c r="G5" s="1042"/>
      <c r="H5" s="1042"/>
      <c r="I5" s="1042"/>
    </row>
    <row r="6" spans="1:9" s="181" customFormat="1" ht="15" customHeight="1" x14ac:dyDescent="0.2">
      <c r="A6" s="1043" t="s">
        <v>356</v>
      </c>
      <c r="B6" s="1043"/>
      <c r="C6" s="183">
        <f>SUM(C7:C9)</f>
        <v>196965.46</v>
      </c>
      <c r="D6" s="1044"/>
      <c r="E6" s="1045"/>
      <c r="F6" s="1045"/>
      <c r="G6" s="1045"/>
      <c r="H6" s="1045"/>
      <c r="I6" s="1045"/>
    </row>
    <row r="7" spans="1:9" s="181" customFormat="1" ht="24.75" customHeight="1" x14ac:dyDescent="0.2">
      <c r="A7" s="1046" t="s">
        <v>94</v>
      </c>
      <c r="B7" s="1047"/>
      <c r="C7" s="184">
        <v>196965.46</v>
      </c>
      <c r="D7" s="1048" t="s">
        <v>511</v>
      </c>
      <c r="E7" s="1048"/>
      <c r="F7" s="1048"/>
      <c r="G7" s="1048"/>
      <c r="H7" s="1048"/>
      <c r="I7" s="1048"/>
    </row>
    <row r="8" spans="1:9" s="180" customFormat="1" ht="15.75" customHeight="1" x14ac:dyDescent="0.15">
      <c r="A8" s="1049" t="s">
        <v>95</v>
      </c>
      <c r="B8" s="1050"/>
      <c r="C8" s="185">
        <v>0</v>
      </c>
      <c r="D8" s="1048" t="s">
        <v>512</v>
      </c>
      <c r="E8" s="1048"/>
      <c r="F8" s="1048"/>
      <c r="G8" s="1048"/>
      <c r="H8" s="1048"/>
      <c r="I8" s="1048"/>
    </row>
    <row r="9" spans="1:9" s="180" customFormat="1" ht="15" customHeight="1" x14ac:dyDescent="0.15">
      <c r="A9" s="1049" t="s">
        <v>96</v>
      </c>
      <c r="B9" s="1050"/>
      <c r="C9" s="185">
        <v>0</v>
      </c>
      <c r="D9" s="1051"/>
      <c r="E9" s="1052"/>
      <c r="F9" s="1052"/>
      <c r="G9" s="1052"/>
      <c r="H9" s="1052"/>
      <c r="I9" s="1053"/>
    </row>
    <row r="10" spans="1:9" s="181" customFormat="1" ht="11.25" x14ac:dyDescent="0.2">
      <c r="C10" s="186"/>
    </row>
    <row r="11" spans="1:9" s="181" customFormat="1" ht="11.25" x14ac:dyDescent="0.2">
      <c r="A11" s="1039" t="s">
        <v>359</v>
      </c>
      <c r="B11" s="1039"/>
      <c r="C11" s="1039"/>
      <c r="D11" s="1039"/>
      <c r="E11" s="1039"/>
      <c r="F11" s="1039"/>
      <c r="G11" s="1039"/>
      <c r="H11" s="1039"/>
      <c r="I11" s="1039"/>
    </row>
    <row r="12" spans="1:9" s="181" customFormat="1" ht="11.25" x14ac:dyDescent="0.2">
      <c r="C12" s="186"/>
      <c r="D12" s="187"/>
      <c r="E12" s="187"/>
      <c r="F12" s="187"/>
      <c r="G12" s="187"/>
      <c r="H12" s="187"/>
      <c r="I12" s="187"/>
    </row>
    <row r="13" spans="1:9" s="190" customFormat="1" ht="9.75" x14ac:dyDescent="0.2">
      <c r="A13" s="420" t="s">
        <v>93</v>
      </c>
      <c r="B13" s="420" t="s">
        <v>97</v>
      </c>
      <c r="C13" s="420" t="s">
        <v>25</v>
      </c>
      <c r="D13" s="188"/>
      <c r="E13" s="189"/>
      <c r="F13" s="189"/>
      <c r="G13" s="189"/>
      <c r="H13" s="189"/>
      <c r="I13" s="189"/>
    </row>
    <row r="14" spans="1:9" s="181" customFormat="1" ht="15" customHeight="1" x14ac:dyDescent="0.2">
      <c r="A14" s="191" t="s">
        <v>98</v>
      </c>
      <c r="B14" s="192"/>
      <c r="C14" s="193">
        <v>15300</v>
      </c>
      <c r="D14" s="194"/>
      <c r="E14" s="195"/>
      <c r="F14" s="195"/>
      <c r="G14" s="195"/>
      <c r="H14" s="195"/>
      <c r="I14" s="195"/>
    </row>
    <row r="15" spans="1:9" s="181" customFormat="1" ht="15" customHeight="1" x14ac:dyDescent="0.2">
      <c r="A15" s="1037" t="s">
        <v>99</v>
      </c>
      <c r="B15" s="196" t="s">
        <v>100</v>
      </c>
      <c r="C15" s="197">
        <v>181665.46</v>
      </c>
      <c r="D15" s="198"/>
      <c r="E15" s="199"/>
      <c r="F15" s="199"/>
      <c r="G15" s="199"/>
      <c r="H15" s="199"/>
      <c r="I15" s="199"/>
    </row>
    <row r="16" spans="1:9" s="181" customFormat="1" ht="15" customHeight="1" x14ac:dyDescent="0.2">
      <c r="A16" s="1038"/>
      <c r="B16" s="200" t="s">
        <v>100</v>
      </c>
      <c r="C16" s="201"/>
      <c r="D16" s="198"/>
      <c r="E16" s="199"/>
      <c r="F16" s="199"/>
      <c r="G16" s="199"/>
      <c r="H16" s="199"/>
      <c r="I16" s="199"/>
    </row>
    <row r="17" spans="1:9" s="181" customFormat="1" ht="15" customHeight="1" x14ac:dyDescent="0.2">
      <c r="A17" s="1038"/>
      <c r="B17" s="200" t="s">
        <v>101</v>
      </c>
      <c r="C17" s="202"/>
      <c r="D17" s="203"/>
      <c r="E17" s="204"/>
      <c r="F17" s="204"/>
      <c r="G17" s="204"/>
      <c r="H17" s="204"/>
      <c r="I17" s="204"/>
    </row>
    <row r="18" spans="1:9" s="181" customFormat="1" ht="15" customHeight="1" x14ac:dyDescent="0.2">
      <c r="A18" s="421" t="s">
        <v>356</v>
      </c>
      <c r="B18" s="205"/>
      <c r="C18" s="206">
        <f>SUM(C14:C17)</f>
        <v>196965.46</v>
      </c>
      <c r="D18" s="207"/>
      <c r="E18" s="207"/>
      <c r="F18" s="207"/>
      <c r="G18" s="207"/>
      <c r="H18" s="207"/>
      <c r="I18" s="207"/>
    </row>
    <row r="19" spans="1:9" s="209" customFormat="1" ht="11.25" x14ac:dyDescent="0.2">
      <c r="A19" s="208"/>
      <c r="C19" s="210"/>
      <c r="D19" s="211"/>
      <c r="E19" s="211"/>
      <c r="F19" s="211"/>
      <c r="G19" s="211"/>
      <c r="H19" s="211"/>
      <c r="I19" s="211"/>
    </row>
    <row r="20" spans="1:9" s="181" customFormat="1" ht="11.25" x14ac:dyDescent="0.2">
      <c r="A20" s="1039" t="s">
        <v>360</v>
      </c>
      <c r="B20" s="1039"/>
      <c r="C20" s="1039"/>
      <c r="D20" s="1039"/>
      <c r="E20" s="1039"/>
      <c r="F20" s="1039"/>
      <c r="G20" s="1039"/>
      <c r="H20" s="1039"/>
      <c r="I20" s="1039"/>
    </row>
    <row r="21" spans="1:9" s="181" customFormat="1" ht="11.25" x14ac:dyDescent="0.2">
      <c r="C21" s="186"/>
    </row>
    <row r="22" spans="1:9" s="212" customFormat="1" ht="9.75" x14ac:dyDescent="0.2">
      <c r="A22" s="420" t="s">
        <v>97</v>
      </c>
      <c r="B22" s="420" t="s">
        <v>361</v>
      </c>
      <c r="C22" s="423" t="s">
        <v>362</v>
      </c>
      <c r="D22" s="420" t="s">
        <v>363</v>
      </c>
      <c r="E22" s="420" t="s">
        <v>364</v>
      </c>
      <c r="F22" s="1042" t="s">
        <v>365</v>
      </c>
      <c r="G22" s="1042"/>
      <c r="H22" s="1042"/>
      <c r="I22" s="1042"/>
    </row>
    <row r="23" spans="1:9" s="181" customFormat="1" ht="56.25" customHeight="1" x14ac:dyDescent="0.2">
      <c r="A23" s="213" t="s">
        <v>102</v>
      </c>
      <c r="B23" s="214">
        <v>130177.21</v>
      </c>
      <c r="C23" s="214">
        <v>415506.94</v>
      </c>
      <c r="D23" s="214">
        <v>5000</v>
      </c>
      <c r="E23" s="214">
        <f>B23+C23-D23</f>
        <v>540684.15</v>
      </c>
      <c r="F23" s="1054" t="s">
        <v>513</v>
      </c>
      <c r="G23" s="1055"/>
      <c r="H23" s="1055"/>
      <c r="I23" s="1056"/>
    </row>
    <row r="24" spans="1:9" s="181" customFormat="1" ht="18" customHeight="1" x14ac:dyDescent="0.2">
      <c r="A24" s="196" t="s">
        <v>103</v>
      </c>
      <c r="B24" s="215">
        <v>92302.1</v>
      </c>
      <c r="C24" s="215">
        <v>608432.12</v>
      </c>
      <c r="D24" s="215">
        <v>500220</v>
      </c>
      <c r="E24" s="215">
        <f t="shared" ref="E24:E26" si="0">B24+C24-D24</f>
        <v>200514.21999999997</v>
      </c>
      <c r="F24" s="1057" t="s">
        <v>514</v>
      </c>
      <c r="G24" s="1058"/>
      <c r="H24" s="1058"/>
      <c r="I24" s="1059"/>
    </row>
    <row r="25" spans="1:9" s="181" customFormat="1" ht="21" customHeight="1" x14ac:dyDescent="0.2">
      <c r="A25" s="196" t="s">
        <v>101</v>
      </c>
      <c r="B25" s="215">
        <v>68810.67</v>
      </c>
      <c r="C25" s="215">
        <v>10000</v>
      </c>
      <c r="D25" s="215">
        <v>0</v>
      </c>
      <c r="E25" s="215">
        <f t="shared" si="0"/>
        <v>78810.67</v>
      </c>
      <c r="F25" s="1057" t="s">
        <v>515</v>
      </c>
      <c r="G25" s="1058"/>
      <c r="H25" s="1058"/>
      <c r="I25" s="1059"/>
    </row>
    <row r="26" spans="1:9" s="181" customFormat="1" ht="24.75" customHeight="1" x14ac:dyDescent="0.2">
      <c r="A26" s="200" t="s">
        <v>104</v>
      </c>
      <c r="B26" s="216">
        <v>178977.47</v>
      </c>
      <c r="C26" s="216">
        <v>220742.62</v>
      </c>
      <c r="D26" s="216">
        <v>98402</v>
      </c>
      <c r="E26" s="215">
        <f t="shared" si="0"/>
        <v>301318.08999999997</v>
      </c>
      <c r="F26" s="1060" t="s">
        <v>516</v>
      </c>
      <c r="G26" s="1061"/>
      <c r="H26" s="1061"/>
      <c r="I26" s="1062"/>
    </row>
    <row r="27" spans="1:9" s="180" customFormat="1" ht="10.5" x14ac:dyDescent="0.15">
      <c r="A27" s="217" t="s">
        <v>34</v>
      </c>
      <c r="B27" s="183">
        <f>SUM(B23:B26)</f>
        <v>470267.44999999995</v>
      </c>
      <c r="C27" s="183">
        <f t="shared" ref="C27:E27" si="1">SUM(C23:C26)</f>
        <v>1254681.6800000002</v>
      </c>
      <c r="D27" s="183">
        <f t="shared" si="1"/>
        <v>603622</v>
      </c>
      <c r="E27" s="183">
        <f t="shared" si="1"/>
        <v>1121327.1299999999</v>
      </c>
      <c r="F27" s="1063"/>
      <c r="G27" s="1063"/>
      <c r="H27" s="1063"/>
      <c r="I27" s="1064"/>
    </row>
    <row r="28" spans="1:9" s="181" customFormat="1" ht="11.25" x14ac:dyDescent="0.2">
      <c r="C28" s="186"/>
    </row>
    <row r="29" spans="1:9" s="181" customFormat="1" ht="11.25" x14ac:dyDescent="0.2">
      <c r="A29" s="1039" t="s">
        <v>370</v>
      </c>
      <c r="B29" s="1039"/>
      <c r="C29" s="1039"/>
      <c r="D29" s="1039"/>
      <c r="E29" s="1039"/>
      <c r="F29" s="1039"/>
      <c r="G29" s="1039"/>
      <c r="H29" s="1039"/>
      <c r="I29" s="1039"/>
    </row>
    <row r="30" spans="1:9" s="181" customFormat="1" ht="11.25" x14ac:dyDescent="0.2">
      <c r="A30" s="181" t="s">
        <v>517</v>
      </c>
      <c r="C30" s="186"/>
    </row>
    <row r="31" spans="1:9" s="181" customFormat="1" ht="11.25" x14ac:dyDescent="0.2">
      <c r="A31" s="420" t="s">
        <v>105</v>
      </c>
      <c r="B31" s="420" t="s">
        <v>25</v>
      </c>
      <c r="C31" s="423" t="s">
        <v>106</v>
      </c>
      <c r="D31" s="1042" t="s">
        <v>107</v>
      </c>
      <c r="E31" s="1042"/>
      <c r="F31" s="1042"/>
      <c r="G31" s="1042"/>
      <c r="H31" s="1042"/>
      <c r="I31" s="1042"/>
    </row>
    <row r="32" spans="1:9" s="181" customFormat="1" ht="15" customHeight="1" x14ac:dyDescent="0.2">
      <c r="A32" s="218"/>
      <c r="B32" s="214"/>
      <c r="C32" s="219"/>
      <c r="D32" s="1065"/>
      <c r="E32" s="1066"/>
      <c r="F32" s="1066"/>
      <c r="G32" s="1066"/>
      <c r="H32" s="1066"/>
      <c r="I32" s="1067"/>
    </row>
    <row r="33" spans="1:9" s="180" customFormat="1" ht="11.25" x14ac:dyDescent="0.2">
      <c r="A33" s="217" t="s">
        <v>34</v>
      </c>
      <c r="B33" s="183">
        <f>SUM(B32:B32)</f>
        <v>0</v>
      </c>
      <c r="C33" s="1068"/>
      <c r="D33" s="1069"/>
      <c r="E33" s="1069"/>
      <c r="F33" s="1069"/>
      <c r="G33" s="1069"/>
      <c r="H33" s="1069"/>
      <c r="I33" s="1070"/>
    </row>
    <row r="34" spans="1:9" s="181" customFormat="1" ht="11.25" x14ac:dyDescent="0.2">
      <c r="C34" s="186"/>
    </row>
    <row r="35" spans="1:9" s="181" customFormat="1" ht="11.25" x14ac:dyDescent="0.2">
      <c r="A35" s="1039" t="s">
        <v>372</v>
      </c>
      <c r="B35" s="1039"/>
      <c r="C35" s="1039"/>
      <c r="D35" s="1039"/>
      <c r="E35" s="1039"/>
      <c r="F35" s="1039"/>
      <c r="G35" s="1039"/>
      <c r="H35" s="1039"/>
      <c r="I35" s="1039"/>
    </row>
    <row r="36" spans="1:9" s="181" customFormat="1" ht="11.25" x14ac:dyDescent="0.2">
      <c r="A36" s="181" t="s">
        <v>518</v>
      </c>
      <c r="C36" s="186"/>
    </row>
    <row r="37" spans="1:9" s="181" customFormat="1" ht="11.25" x14ac:dyDescent="0.2">
      <c r="A37" s="420" t="s">
        <v>105</v>
      </c>
      <c r="B37" s="420" t="s">
        <v>25</v>
      </c>
      <c r="C37" s="423" t="s">
        <v>106</v>
      </c>
      <c r="D37" s="1071" t="s">
        <v>107</v>
      </c>
      <c r="E37" s="1071"/>
      <c r="F37" s="1071"/>
      <c r="G37" s="1071"/>
      <c r="H37" s="1071"/>
      <c r="I37" s="1072"/>
    </row>
    <row r="38" spans="1:9" s="181" customFormat="1" ht="15" customHeight="1" x14ac:dyDescent="0.2">
      <c r="A38" s="218"/>
      <c r="B38" s="214"/>
      <c r="C38" s="219"/>
      <c r="D38" s="1057"/>
      <c r="E38" s="1073"/>
      <c r="F38" s="1073"/>
      <c r="G38" s="1073"/>
      <c r="H38" s="1073"/>
      <c r="I38" s="1074"/>
    </row>
    <row r="39" spans="1:9" s="180" customFormat="1" ht="10.5" x14ac:dyDescent="0.15">
      <c r="A39" s="217" t="s">
        <v>34</v>
      </c>
      <c r="B39" s="183">
        <f>SUM(B38:B38)</f>
        <v>0</v>
      </c>
      <c r="C39" s="1075"/>
      <c r="D39" s="1076"/>
      <c r="E39" s="1076"/>
      <c r="F39" s="1076"/>
      <c r="G39" s="1076"/>
      <c r="H39" s="1076"/>
      <c r="I39" s="1076"/>
    </row>
    <row r="40" spans="1:9" s="181" customFormat="1" ht="11.25" x14ac:dyDescent="0.2">
      <c r="C40" s="186"/>
    </row>
    <row r="41" spans="1:9" s="181" customFormat="1" ht="11.25" x14ac:dyDescent="0.2">
      <c r="A41" s="1039" t="s">
        <v>374</v>
      </c>
      <c r="B41" s="1039"/>
      <c r="C41" s="1039"/>
      <c r="D41" s="1039"/>
      <c r="E41" s="1039"/>
      <c r="F41" s="1039"/>
      <c r="G41" s="1039"/>
      <c r="H41" s="1039"/>
      <c r="I41" s="1039"/>
    </row>
    <row r="42" spans="1:9" s="181" customFormat="1" ht="11.25" x14ac:dyDescent="0.2">
      <c r="C42" s="186"/>
    </row>
    <row r="43" spans="1:9" s="181" customFormat="1" ht="11.25" x14ac:dyDescent="0.2">
      <c r="A43" s="420" t="s">
        <v>25</v>
      </c>
      <c r="B43" s="423" t="s">
        <v>375</v>
      </c>
      <c r="C43" s="1077" t="s">
        <v>108</v>
      </c>
      <c r="D43" s="1077"/>
      <c r="E43" s="1077"/>
      <c r="F43" s="1077"/>
      <c r="G43" s="1077"/>
      <c r="H43" s="1077"/>
      <c r="I43" s="1078"/>
    </row>
    <row r="44" spans="1:9" s="181" customFormat="1" ht="11.25" x14ac:dyDescent="0.2">
      <c r="A44" s="228">
        <v>5000</v>
      </c>
      <c r="B44" s="228">
        <v>5000</v>
      </c>
      <c r="C44" s="1079" t="s">
        <v>519</v>
      </c>
      <c r="D44" s="1079"/>
      <c r="E44" s="1079"/>
      <c r="F44" s="1079"/>
      <c r="G44" s="1079"/>
      <c r="H44" s="1079"/>
      <c r="I44" s="1080"/>
    </row>
    <row r="45" spans="1:9" s="180" customFormat="1" ht="10.5" x14ac:dyDescent="0.15">
      <c r="A45" s="183" t="e">
        <f>A44+#REF!+#REF!</f>
        <v>#REF!</v>
      </c>
      <c r="B45" s="183" t="e">
        <f>B44+#REF!+#REF!</f>
        <v>#REF!</v>
      </c>
      <c r="C45" s="1081" t="s">
        <v>34</v>
      </c>
      <c r="D45" s="1081"/>
      <c r="E45" s="1081"/>
      <c r="F45" s="1081"/>
      <c r="G45" s="1081"/>
      <c r="H45" s="1081"/>
      <c r="I45" s="1082"/>
    </row>
    <row r="46" spans="1:9" s="181" customFormat="1" ht="11.25" x14ac:dyDescent="0.2">
      <c r="C46" s="186"/>
    </row>
    <row r="47" spans="1:9" s="181" customFormat="1" ht="11.25" x14ac:dyDescent="0.2">
      <c r="A47" s="1039" t="s">
        <v>377</v>
      </c>
      <c r="B47" s="1039"/>
      <c r="C47" s="1039"/>
      <c r="D47" s="1039"/>
      <c r="E47" s="1039"/>
      <c r="F47" s="1039"/>
      <c r="G47" s="1039"/>
      <c r="H47" s="1039"/>
      <c r="I47" s="1039"/>
    </row>
    <row r="48" spans="1:9" s="181" customFormat="1" ht="11.25" x14ac:dyDescent="0.2">
      <c r="C48" s="186"/>
    </row>
    <row r="49" spans="1:5" s="232" customFormat="1" ht="11.25" x14ac:dyDescent="0.2">
      <c r="A49" s="1071" t="s">
        <v>109</v>
      </c>
      <c r="B49" s="1071"/>
      <c r="C49" s="423" t="s">
        <v>110</v>
      </c>
      <c r="D49" s="420" t="s">
        <v>111</v>
      </c>
      <c r="E49" s="420" t="s">
        <v>25</v>
      </c>
    </row>
    <row r="50" spans="1:5" s="181" customFormat="1" ht="11.25" x14ac:dyDescent="0.2">
      <c r="A50" s="245" t="s">
        <v>520</v>
      </c>
      <c r="B50" s="645">
        <v>551300</v>
      </c>
      <c r="C50" s="646">
        <v>42801</v>
      </c>
      <c r="D50" s="253"/>
      <c r="E50" s="254">
        <v>7140</v>
      </c>
    </row>
    <row r="51" spans="1:5" s="181" customFormat="1" ht="11.25" x14ac:dyDescent="0.2">
      <c r="A51" s="245" t="s">
        <v>521</v>
      </c>
      <c r="B51" s="645">
        <v>549300</v>
      </c>
      <c r="C51" s="646"/>
      <c r="D51" s="253">
        <v>42801</v>
      </c>
      <c r="E51" s="254">
        <v>-7140</v>
      </c>
    </row>
    <row r="52" spans="1:5" s="181" customFormat="1" ht="11.25" x14ac:dyDescent="0.2">
      <c r="A52" s="245" t="s">
        <v>522</v>
      </c>
      <c r="B52" s="645">
        <v>672500</v>
      </c>
      <c r="C52" s="646">
        <v>42836</v>
      </c>
      <c r="D52" s="253"/>
      <c r="E52" s="254">
        <v>150000</v>
      </c>
    </row>
    <row r="53" spans="1:5" s="181" customFormat="1" ht="11.25" x14ac:dyDescent="0.2">
      <c r="A53" s="245" t="s">
        <v>523</v>
      </c>
      <c r="B53" s="645">
        <v>511310</v>
      </c>
      <c r="C53" s="646"/>
      <c r="D53" s="253">
        <v>42855</v>
      </c>
      <c r="E53" s="254">
        <v>150000</v>
      </c>
    </row>
    <row r="54" spans="1:5" s="181" customFormat="1" ht="11.25" x14ac:dyDescent="0.2">
      <c r="A54" s="245" t="s">
        <v>524</v>
      </c>
      <c r="B54" s="645">
        <v>648300</v>
      </c>
      <c r="C54" s="646">
        <v>42814</v>
      </c>
      <c r="D54" s="253"/>
      <c r="E54" s="254">
        <v>5000</v>
      </c>
    </row>
    <row r="55" spans="1:5" s="181" customFormat="1" ht="11.25" x14ac:dyDescent="0.2">
      <c r="A55" s="245" t="s">
        <v>525</v>
      </c>
      <c r="B55" s="645">
        <v>558300</v>
      </c>
      <c r="C55" s="646"/>
      <c r="D55" s="253">
        <v>42879</v>
      </c>
      <c r="E55" s="254">
        <v>5000</v>
      </c>
    </row>
    <row r="56" spans="1:5" s="181" customFormat="1" ht="11.25" x14ac:dyDescent="0.2">
      <c r="A56" s="245" t="s">
        <v>526</v>
      </c>
      <c r="B56" s="645">
        <v>672500</v>
      </c>
      <c r="C56" s="646">
        <v>42969</v>
      </c>
      <c r="D56" s="253"/>
      <c r="E56" s="254">
        <v>375100</v>
      </c>
    </row>
    <row r="57" spans="1:5" s="181" customFormat="1" ht="11.25" x14ac:dyDescent="0.2">
      <c r="A57" s="245" t="s">
        <v>527</v>
      </c>
      <c r="B57" s="245">
        <v>511</v>
      </c>
      <c r="C57" s="646"/>
      <c r="D57" s="253">
        <v>43080</v>
      </c>
      <c r="E57" s="254">
        <v>375100</v>
      </c>
    </row>
    <row r="58" spans="1:5" s="181" customFormat="1" ht="11.25" x14ac:dyDescent="0.2">
      <c r="A58" s="245" t="s">
        <v>528</v>
      </c>
      <c r="B58" s="645">
        <v>649300</v>
      </c>
      <c r="C58" s="646">
        <v>42982</v>
      </c>
      <c r="D58" s="253"/>
      <c r="E58" s="254">
        <v>204191</v>
      </c>
    </row>
    <row r="59" spans="1:5" s="181" customFormat="1" ht="11.25" x14ac:dyDescent="0.2">
      <c r="A59" s="245" t="s">
        <v>529</v>
      </c>
      <c r="B59" s="245">
        <v>518</v>
      </c>
      <c r="C59" s="646"/>
      <c r="D59" s="253">
        <v>42982</v>
      </c>
      <c r="E59" s="254">
        <v>204191</v>
      </c>
    </row>
    <row r="60" spans="1:5" s="181" customFormat="1" ht="11.25" x14ac:dyDescent="0.2">
      <c r="A60" s="245" t="s">
        <v>530</v>
      </c>
      <c r="B60" s="645">
        <v>672500</v>
      </c>
      <c r="C60" s="646">
        <v>42997</v>
      </c>
      <c r="D60" s="253"/>
      <c r="E60" s="254">
        <v>160200</v>
      </c>
    </row>
    <row r="61" spans="1:5" s="181" customFormat="1" ht="11.25" x14ac:dyDescent="0.2">
      <c r="A61" s="245" t="s">
        <v>531</v>
      </c>
      <c r="B61" s="245">
        <v>511</v>
      </c>
      <c r="C61" s="646"/>
      <c r="D61" s="253">
        <v>43096</v>
      </c>
      <c r="E61" s="254">
        <v>160121</v>
      </c>
    </row>
    <row r="62" spans="1:5" s="181" customFormat="1" ht="11.25" x14ac:dyDescent="0.2">
      <c r="A62" s="245" t="s">
        <v>532</v>
      </c>
      <c r="B62" s="645">
        <v>649300</v>
      </c>
      <c r="C62" s="646">
        <v>43024</v>
      </c>
      <c r="D62" s="253"/>
      <c r="E62" s="254">
        <v>216193</v>
      </c>
    </row>
    <row r="63" spans="1:5" s="181" customFormat="1" ht="11.25" x14ac:dyDescent="0.2">
      <c r="A63" s="245" t="s">
        <v>533</v>
      </c>
      <c r="B63" s="245">
        <v>518</v>
      </c>
      <c r="C63" s="646"/>
      <c r="D63" s="253">
        <v>43024</v>
      </c>
      <c r="E63" s="254">
        <v>4309</v>
      </c>
    </row>
    <row r="64" spans="1:5" s="181" customFormat="1" ht="11.25" x14ac:dyDescent="0.2">
      <c r="A64" s="245" t="s">
        <v>534</v>
      </c>
      <c r="B64" s="245">
        <v>511</v>
      </c>
      <c r="C64" s="646"/>
      <c r="D64" s="253">
        <v>43024</v>
      </c>
      <c r="E64" s="254">
        <v>211884</v>
      </c>
    </row>
    <row r="65" spans="1:9" s="181" customFormat="1" ht="11.25" x14ac:dyDescent="0.2">
      <c r="A65" s="245" t="s">
        <v>535</v>
      </c>
      <c r="B65" s="245">
        <v>649300</v>
      </c>
      <c r="C65" s="646">
        <v>43040</v>
      </c>
      <c r="D65" s="253"/>
      <c r="E65" s="254">
        <v>131105</v>
      </c>
    </row>
    <row r="66" spans="1:9" s="181" customFormat="1" ht="11.25" x14ac:dyDescent="0.2">
      <c r="A66" s="245" t="s">
        <v>534</v>
      </c>
      <c r="B66" s="245">
        <v>511</v>
      </c>
      <c r="C66" s="646"/>
      <c r="D66" s="253">
        <v>43040</v>
      </c>
      <c r="E66" s="254">
        <v>26720</v>
      </c>
    </row>
    <row r="67" spans="1:9" s="181" customFormat="1" ht="11.25" x14ac:dyDescent="0.2">
      <c r="A67" s="245" t="s">
        <v>536</v>
      </c>
      <c r="B67" s="245">
        <v>558</v>
      </c>
      <c r="C67" s="646"/>
      <c r="D67" s="253">
        <v>43040</v>
      </c>
      <c r="E67" s="254">
        <v>104385</v>
      </c>
    </row>
    <row r="68" spans="1:9" s="181" customFormat="1" ht="11.25" x14ac:dyDescent="0.2">
      <c r="A68" s="245" t="s">
        <v>537</v>
      </c>
      <c r="B68" s="245">
        <v>672500</v>
      </c>
      <c r="C68" s="646">
        <v>43040</v>
      </c>
      <c r="D68" s="253"/>
      <c r="E68" s="254">
        <v>398350</v>
      </c>
    </row>
    <row r="69" spans="1:9" s="181" customFormat="1" ht="11.25" x14ac:dyDescent="0.2">
      <c r="A69" s="245" t="s">
        <v>538</v>
      </c>
      <c r="B69" s="245">
        <v>511</v>
      </c>
      <c r="C69" s="646"/>
      <c r="D69" s="253">
        <v>43087</v>
      </c>
      <c r="E69" s="254">
        <v>398304</v>
      </c>
    </row>
    <row r="70" spans="1:9" s="181" customFormat="1" ht="11.25" x14ac:dyDescent="0.2">
      <c r="A70" s="245" t="s">
        <v>539</v>
      </c>
      <c r="B70" s="245">
        <v>521</v>
      </c>
      <c r="C70" s="646">
        <v>43053</v>
      </c>
      <c r="D70" s="253"/>
      <c r="E70" s="254">
        <v>5600</v>
      </c>
    </row>
    <row r="71" spans="1:9" s="181" customFormat="1" ht="11.25" x14ac:dyDescent="0.2">
      <c r="A71" s="245" t="s">
        <v>540</v>
      </c>
      <c r="B71" s="245">
        <v>502</v>
      </c>
      <c r="C71" s="646"/>
      <c r="D71" s="253">
        <v>43053</v>
      </c>
      <c r="E71" s="254">
        <v>-5600</v>
      </c>
    </row>
    <row r="72" spans="1:9" s="181" customFormat="1" ht="11.25" x14ac:dyDescent="0.2">
      <c r="A72" s="245" t="s">
        <v>541</v>
      </c>
      <c r="B72" s="245">
        <v>524.52499999999998</v>
      </c>
      <c r="C72" s="646">
        <v>43053</v>
      </c>
      <c r="D72" s="253"/>
      <c r="E72" s="254">
        <v>1000</v>
      </c>
    </row>
    <row r="73" spans="1:9" s="181" customFormat="1" ht="11.25" x14ac:dyDescent="0.2">
      <c r="A73" s="245" t="s">
        <v>540</v>
      </c>
      <c r="B73" s="245">
        <v>502</v>
      </c>
      <c r="C73" s="646"/>
      <c r="D73" s="253">
        <v>43053</v>
      </c>
      <c r="E73" s="254">
        <v>-1000</v>
      </c>
    </row>
    <row r="74" spans="1:9" s="181" customFormat="1" ht="11.25" x14ac:dyDescent="0.2">
      <c r="A74" s="245" t="s">
        <v>542</v>
      </c>
      <c r="B74" s="245">
        <v>501</v>
      </c>
      <c r="C74" s="646">
        <v>43096</v>
      </c>
      <c r="D74" s="253"/>
      <c r="E74" s="254">
        <v>101000</v>
      </c>
    </row>
    <row r="75" spans="1:9" s="181" customFormat="1" ht="11.25" x14ac:dyDescent="0.2">
      <c r="A75" s="245" t="s">
        <v>543</v>
      </c>
      <c r="B75" s="245">
        <v>502</v>
      </c>
      <c r="C75" s="646"/>
      <c r="D75" s="253">
        <v>43096</v>
      </c>
      <c r="E75" s="254">
        <v>-101000</v>
      </c>
    </row>
    <row r="76" spans="1:9" s="181" customFormat="1" ht="11.25" x14ac:dyDescent="0.2">
      <c r="A76" s="245" t="s">
        <v>544</v>
      </c>
      <c r="B76" s="245">
        <v>518</v>
      </c>
      <c r="C76" s="646">
        <v>43096</v>
      </c>
      <c r="D76" s="253"/>
      <c r="E76" s="254">
        <v>11500</v>
      </c>
    </row>
    <row r="77" spans="1:9" s="181" customFormat="1" ht="11.25" x14ac:dyDescent="0.2">
      <c r="A77" s="245" t="s">
        <v>540</v>
      </c>
      <c r="B77" s="245">
        <v>502</v>
      </c>
      <c r="C77" s="646"/>
      <c r="D77" s="253">
        <v>43096</v>
      </c>
      <c r="E77" s="254">
        <v>-11500</v>
      </c>
    </row>
    <row r="78" spans="1:9" s="181" customFormat="1" ht="11.25" x14ac:dyDescent="0.2">
      <c r="A78" s="426"/>
      <c r="B78" s="426"/>
      <c r="C78" s="237"/>
      <c r="D78" s="237"/>
      <c r="E78" s="238"/>
    </row>
    <row r="79" spans="1:9" s="181" customFormat="1" ht="11.25" x14ac:dyDescent="0.2">
      <c r="A79" s="1083" t="s">
        <v>397</v>
      </c>
      <c r="B79" s="1083"/>
      <c r="C79" s="1083"/>
      <c r="D79" s="1083"/>
      <c r="E79" s="1083"/>
      <c r="F79" s="1083"/>
      <c r="G79" s="1083"/>
      <c r="H79" s="1083"/>
      <c r="I79" s="1083"/>
    </row>
    <row r="80" spans="1:9" s="181" customFormat="1" ht="11.25" x14ac:dyDescent="0.2">
      <c r="A80" s="1193" t="s">
        <v>545</v>
      </c>
      <c r="B80" s="1194"/>
      <c r="C80" s="1194"/>
      <c r="D80" s="1194"/>
      <c r="E80" s="1194"/>
      <c r="F80" s="1194"/>
      <c r="G80" s="1194"/>
      <c r="H80" s="1194"/>
      <c r="I80" s="1195"/>
    </row>
    <row r="81" spans="1:9" s="181" customFormat="1" ht="11.25" x14ac:dyDescent="0.2">
      <c r="A81" s="647" t="s">
        <v>546</v>
      </c>
      <c r="B81" s="648"/>
      <c r="C81" s="648"/>
      <c r="D81" s="648"/>
      <c r="E81" s="648"/>
      <c r="F81" s="648"/>
      <c r="G81" s="648"/>
      <c r="H81" s="648"/>
      <c r="I81" s="649"/>
    </row>
    <row r="82" spans="1:9" s="181" customFormat="1" ht="11.25" x14ac:dyDescent="0.2">
      <c r="A82" s="1196"/>
      <c r="B82" s="1196"/>
      <c r="C82" s="1196"/>
      <c r="D82" s="1196"/>
      <c r="E82" s="1196"/>
      <c r="F82" s="1196"/>
      <c r="G82" s="1196"/>
      <c r="H82" s="1196"/>
      <c r="I82" s="1196"/>
    </row>
    <row r="83" spans="1:9" s="181" customFormat="1" ht="0.75" customHeight="1" x14ac:dyDescent="0.2">
      <c r="A83" s="1116"/>
      <c r="B83" s="1117"/>
      <c r="C83" s="1117"/>
      <c r="D83" s="1117"/>
      <c r="E83" s="1117"/>
      <c r="F83" s="1117"/>
      <c r="G83" s="1117"/>
      <c r="H83" s="1117"/>
      <c r="I83" s="1118"/>
    </row>
    <row r="84" spans="1:9" s="181" customFormat="1" ht="11.25" hidden="1" x14ac:dyDescent="0.2"/>
    <row r="85" spans="1:9" s="180" customFormat="1" ht="10.5" x14ac:dyDescent="0.15">
      <c r="A85" s="1039" t="s">
        <v>399</v>
      </c>
      <c r="B85" s="1039"/>
      <c r="C85" s="1039"/>
      <c r="D85" s="1039"/>
      <c r="E85" s="1039"/>
      <c r="F85" s="1039"/>
      <c r="G85" s="1039"/>
      <c r="H85" s="1039"/>
      <c r="I85" s="1039"/>
    </row>
    <row r="86" spans="1:9" s="181" customFormat="1" ht="11.25" x14ac:dyDescent="0.2">
      <c r="A86" s="181" t="s">
        <v>112</v>
      </c>
    </row>
    <row r="87" spans="1:9" s="181" customFormat="1" ht="50.1" customHeight="1" x14ac:dyDescent="0.2">
      <c r="A87" s="1034" t="s">
        <v>547</v>
      </c>
      <c r="B87" s="1035"/>
      <c r="C87" s="1035"/>
      <c r="D87" s="1035"/>
      <c r="E87" s="1035"/>
      <c r="F87" s="1035"/>
      <c r="G87" s="1035"/>
      <c r="H87" s="1035"/>
      <c r="I87" s="1036"/>
    </row>
    <row r="90" spans="1:9" x14ac:dyDescent="0.2">
      <c r="A90" s="239"/>
    </row>
    <row r="91" spans="1:9" x14ac:dyDescent="0.2">
      <c r="A91" s="239"/>
    </row>
  </sheetData>
  <mergeCells count="40">
    <mergeCell ref="A47:I47"/>
    <mergeCell ref="D37:I37"/>
    <mergeCell ref="C39:I39"/>
    <mergeCell ref="A41:I41"/>
    <mergeCell ref="C43:I43"/>
    <mergeCell ref="C44:I44"/>
    <mergeCell ref="D38:I38"/>
    <mergeCell ref="D31:I31"/>
    <mergeCell ref="D32:I32"/>
    <mergeCell ref="C33:I33"/>
    <mergeCell ref="A35:I35"/>
    <mergeCell ref="C45:I45"/>
    <mergeCell ref="A7:B7"/>
    <mergeCell ref="D7:I7"/>
    <mergeCell ref="A3:I3"/>
    <mergeCell ref="A5:B5"/>
    <mergeCell ref="D5:I5"/>
    <mergeCell ref="A6:B6"/>
    <mergeCell ref="D6:I6"/>
    <mergeCell ref="A8:B8"/>
    <mergeCell ref="D8:I8"/>
    <mergeCell ref="A9:B9"/>
    <mergeCell ref="D9:I9"/>
    <mergeCell ref="A11:I11"/>
    <mergeCell ref="A15:A17"/>
    <mergeCell ref="A20:I20"/>
    <mergeCell ref="A85:I85"/>
    <mergeCell ref="A87:I87"/>
    <mergeCell ref="A49:B49"/>
    <mergeCell ref="A79:I79"/>
    <mergeCell ref="A80:I80"/>
    <mergeCell ref="A82:I82"/>
    <mergeCell ref="A83:I83"/>
    <mergeCell ref="F22:I22"/>
    <mergeCell ref="F23:I23"/>
    <mergeCell ref="F24:I24"/>
    <mergeCell ref="F25:I25"/>
    <mergeCell ref="F27:I27"/>
    <mergeCell ref="F26:I26"/>
    <mergeCell ref="A29:I29"/>
  </mergeCells>
  <pageMargins left="0.70866141732283472" right="0.70866141732283472" top="0.78740157480314965" bottom="0.78740157480314965" header="0.31496062992125984" footer="0.31496062992125984"/>
  <pageSetup paperSize="9" scale="73" firstPageNumber="93" fitToHeight="8" orientation="portrait" useFirstPageNumber="1"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zoomScale="150" zoomScaleNormal="150" workbookViewId="0">
      <selection activeCell="A107" sqref="A107:XFD107"/>
    </sheetView>
  </sheetViews>
  <sheetFormatPr defaultColWidth="6.5" defaultRowHeight="8.25" x14ac:dyDescent="0.15"/>
  <cols>
    <col min="1" max="1" width="5.5" style="1" customWidth="1"/>
    <col min="2" max="2" width="6.5" customWidth="1"/>
    <col min="3" max="3" width="36.75" customWidth="1"/>
    <col min="4" max="4" width="9.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2" customFormat="1" ht="15.75" x14ac:dyDescent="0.25">
      <c r="A1" s="1019" t="s">
        <v>83</v>
      </c>
      <c r="B1" s="1019"/>
      <c r="C1" s="1019"/>
      <c r="D1" s="1019"/>
      <c r="E1" s="1019"/>
      <c r="F1" s="1019"/>
      <c r="G1" s="1019"/>
      <c r="H1" s="1019"/>
      <c r="I1" s="1019"/>
      <c r="J1" s="1019"/>
      <c r="K1" s="1019"/>
      <c r="L1" s="1019"/>
      <c r="M1" s="1019"/>
      <c r="N1" s="1019"/>
      <c r="O1" s="1019"/>
      <c r="P1" s="1019"/>
      <c r="Q1" s="1019"/>
      <c r="R1" s="1019"/>
      <c r="S1" s="1019"/>
      <c r="T1" s="1019"/>
      <c r="U1" s="1019"/>
      <c r="V1" s="1019"/>
      <c r="W1" s="1019"/>
      <c r="X1" s="1019"/>
    </row>
    <row r="3" spans="1:24" s="3" customFormat="1" ht="9.75" customHeight="1" x14ac:dyDescent="0.2">
      <c r="A3" s="1012" t="s">
        <v>40</v>
      </c>
      <c r="B3" s="1022" t="s">
        <v>41</v>
      </c>
      <c r="C3" s="1023"/>
      <c r="D3" s="1028" t="s">
        <v>42</v>
      </c>
      <c r="E3" s="1031" t="s">
        <v>34</v>
      </c>
      <c r="F3" s="1032"/>
      <c r="G3" s="1032"/>
      <c r="H3" s="1032"/>
      <c r="I3" s="1033"/>
      <c r="J3" s="1031" t="s">
        <v>39</v>
      </c>
      <c r="K3" s="1032"/>
      <c r="L3" s="1032"/>
      <c r="M3" s="1032"/>
      <c r="N3" s="1033"/>
      <c r="O3" s="1031" t="s">
        <v>43</v>
      </c>
      <c r="P3" s="1032"/>
      <c r="Q3" s="1032"/>
      <c r="R3" s="1032"/>
      <c r="S3" s="1033"/>
      <c r="T3" s="1031" t="s">
        <v>38</v>
      </c>
      <c r="U3" s="1032"/>
      <c r="V3" s="1032"/>
      <c r="W3" s="1032"/>
      <c r="X3" s="1033"/>
    </row>
    <row r="4" spans="1:24" s="4" customFormat="1" ht="9.75" customHeight="1" x14ac:dyDescent="0.2">
      <c r="A4" s="1020"/>
      <c r="B4" s="1024"/>
      <c r="C4" s="1025"/>
      <c r="D4" s="1029"/>
      <c r="E4" s="1014" t="s">
        <v>44</v>
      </c>
      <c r="F4" s="1016" t="s">
        <v>336</v>
      </c>
      <c r="G4" s="1017"/>
      <c r="H4" s="1018"/>
      <c r="I4" s="1012" t="s">
        <v>337</v>
      </c>
      <c r="J4" s="1014" t="s">
        <v>44</v>
      </c>
      <c r="K4" s="1016" t="s">
        <v>336</v>
      </c>
      <c r="L4" s="1017"/>
      <c r="M4" s="1018"/>
      <c r="N4" s="1012" t="s">
        <v>337</v>
      </c>
      <c r="O4" s="1014" t="s">
        <v>44</v>
      </c>
      <c r="P4" s="1016" t="s">
        <v>336</v>
      </c>
      <c r="Q4" s="1017"/>
      <c r="R4" s="1018"/>
      <c r="S4" s="1012" t="s">
        <v>337</v>
      </c>
      <c r="T4" s="1014" t="s">
        <v>44</v>
      </c>
      <c r="U4" s="1016" t="s">
        <v>336</v>
      </c>
      <c r="V4" s="1017"/>
      <c r="W4" s="1018"/>
      <c r="X4" s="1012" t="s">
        <v>337</v>
      </c>
    </row>
    <row r="5" spans="1:24" s="5" customFormat="1" ht="9.75" customHeight="1" x14ac:dyDescent="0.2">
      <c r="A5" s="1021"/>
      <c r="B5" s="1026"/>
      <c r="C5" s="1027"/>
      <c r="D5" s="1030"/>
      <c r="E5" s="1015"/>
      <c r="F5" s="14" t="s">
        <v>35</v>
      </c>
      <c r="G5" s="15" t="s">
        <v>36</v>
      </c>
      <c r="H5" s="14" t="s">
        <v>37</v>
      </c>
      <c r="I5" s="1013"/>
      <c r="J5" s="1015"/>
      <c r="K5" s="14" t="s">
        <v>35</v>
      </c>
      <c r="L5" s="15" t="s">
        <v>36</v>
      </c>
      <c r="M5" s="14" t="s">
        <v>37</v>
      </c>
      <c r="N5" s="1013"/>
      <c r="O5" s="1015"/>
      <c r="P5" s="14" t="s">
        <v>35</v>
      </c>
      <c r="Q5" s="15" t="s">
        <v>36</v>
      </c>
      <c r="R5" s="14" t="s">
        <v>37</v>
      </c>
      <c r="S5" s="1013"/>
      <c r="T5" s="1015"/>
      <c r="U5" s="14" t="s">
        <v>35</v>
      </c>
      <c r="V5" s="15" t="s">
        <v>36</v>
      </c>
      <c r="W5" s="14" t="s">
        <v>37</v>
      </c>
      <c r="X5" s="1013"/>
    </row>
    <row r="6" spans="1:24" s="3" customFormat="1" ht="9.75" customHeight="1" x14ac:dyDescent="0.2">
      <c r="A6" s="16" t="s">
        <v>0</v>
      </c>
      <c r="B6" s="1007" t="s">
        <v>1</v>
      </c>
      <c r="C6" s="1007"/>
      <c r="D6" s="17" t="s">
        <v>25</v>
      </c>
      <c r="E6" s="52">
        <f>SUM(E7:E9)</f>
        <v>30235685</v>
      </c>
      <c r="F6" s="52">
        <f>SUM(F7:F9)</f>
        <v>32670621</v>
      </c>
      <c r="G6" s="52">
        <f>SUM(G7:G9)</f>
        <v>32669488.200000003</v>
      </c>
      <c r="H6" s="18">
        <f t="shared" ref="H6:H36" si="0">G6/F6*100</f>
        <v>99.99653266462245</v>
      </c>
      <c r="I6" s="52">
        <f>SUM(I7:I9)</f>
        <v>30372712.799999997</v>
      </c>
      <c r="J6" s="52">
        <f>SUM(J7:J9)</f>
        <v>6971145</v>
      </c>
      <c r="K6" s="52">
        <f t="shared" ref="K6:X6" si="1">SUM(K7:K9)</f>
        <v>7771595</v>
      </c>
      <c r="L6" s="52">
        <f t="shared" si="1"/>
        <v>7770462.0800000001</v>
      </c>
      <c r="M6" s="18">
        <f t="shared" ref="M6:M29" si="2">L6/K6*100</f>
        <v>99.985422297482046</v>
      </c>
      <c r="N6" s="69">
        <f t="shared" si="1"/>
        <v>7882226.4000000004</v>
      </c>
      <c r="O6" s="52">
        <f t="shared" si="1"/>
        <v>23264540</v>
      </c>
      <c r="P6" s="52">
        <f t="shared" si="1"/>
        <v>24899026</v>
      </c>
      <c r="Q6" s="52">
        <f t="shared" si="1"/>
        <v>24899026.120000001</v>
      </c>
      <c r="R6" s="18">
        <f t="shared" ref="R6:R28" si="3">Q6/P6*100</f>
        <v>100.00000048194657</v>
      </c>
      <c r="S6" s="52">
        <f t="shared" si="1"/>
        <v>22490486.399999999</v>
      </c>
      <c r="T6" s="52">
        <f t="shared" si="1"/>
        <v>565000</v>
      </c>
      <c r="U6" s="52">
        <f t="shared" si="1"/>
        <v>708000</v>
      </c>
      <c r="V6" s="52">
        <f t="shared" si="1"/>
        <v>701045.5</v>
      </c>
      <c r="W6" s="18">
        <f t="shared" ref="W6:W36" si="4">V6/U6*100</f>
        <v>99.017725988700562</v>
      </c>
      <c r="X6" s="52">
        <f t="shared" si="1"/>
        <v>677298</v>
      </c>
    </row>
    <row r="7" spans="1:24" s="3" customFormat="1" ht="9.75" x14ac:dyDescent="0.2">
      <c r="A7" s="19" t="s">
        <v>2</v>
      </c>
      <c r="B7" s="1010" t="s">
        <v>46</v>
      </c>
      <c r="C7" s="1011"/>
      <c r="D7" s="47" t="s">
        <v>25</v>
      </c>
      <c r="E7" s="53">
        <f t="shared" ref="E7:G10" si="5">SUM(J7,O7)</f>
        <v>2092000</v>
      </c>
      <c r="F7" s="54">
        <f t="shared" si="5"/>
        <v>2363250</v>
      </c>
      <c r="G7" s="54">
        <f t="shared" si="5"/>
        <v>2362148</v>
      </c>
      <c r="H7" s="6">
        <f t="shared" si="0"/>
        <v>99.953369300751078</v>
      </c>
      <c r="I7" s="60">
        <f>SUM(N7,S7)</f>
        <v>2337615</v>
      </c>
      <c r="J7" s="61">
        <v>2092000</v>
      </c>
      <c r="K7" s="62">
        <v>2363250</v>
      </c>
      <c r="L7" s="62">
        <v>2362148</v>
      </c>
      <c r="M7" s="6">
        <f t="shared" si="2"/>
        <v>99.953369300751078</v>
      </c>
      <c r="N7" s="76">
        <v>2337615</v>
      </c>
      <c r="O7" s="77">
        <v>0</v>
      </c>
      <c r="P7" s="62">
        <v>0</v>
      </c>
      <c r="Q7" s="62">
        <v>0</v>
      </c>
      <c r="R7" s="6">
        <v>0</v>
      </c>
      <c r="S7" s="76">
        <v>0</v>
      </c>
      <c r="T7" s="77">
        <v>565000</v>
      </c>
      <c r="U7" s="62">
        <v>598000</v>
      </c>
      <c r="V7" s="62">
        <f>31136+560198</f>
        <v>591334</v>
      </c>
      <c r="W7" s="6">
        <f t="shared" si="4"/>
        <v>98.88528428093646</v>
      </c>
      <c r="X7" s="91">
        <v>575257</v>
      </c>
    </row>
    <row r="8" spans="1:24" s="3" customFormat="1" ht="9.75" x14ac:dyDescent="0.2">
      <c r="A8" s="20" t="s">
        <v>3</v>
      </c>
      <c r="B8" s="1005" t="s">
        <v>47</v>
      </c>
      <c r="C8" s="1006"/>
      <c r="D8" s="48" t="s">
        <v>25</v>
      </c>
      <c r="E8" s="55">
        <f t="shared" si="5"/>
        <v>3000</v>
      </c>
      <c r="F8" s="56">
        <f t="shared" si="5"/>
        <v>1200</v>
      </c>
      <c r="G8" s="56">
        <f t="shared" si="5"/>
        <v>1169.08</v>
      </c>
      <c r="H8" s="7">
        <f t="shared" si="0"/>
        <v>97.423333333333332</v>
      </c>
      <c r="I8" s="63">
        <f>SUM(N8,S8)</f>
        <v>1648.5</v>
      </c>
      <c r="J8" s="64">
        <v>3000</v>
      </c>
      <c r="K8" s="56">
        <v>1200</v>
      </c>
      <c r="L8" s="56">
        <v>1169.08</v>
      </c>
      <c r="M8" s="7">
        <f t="shared" si="2"/>
        <v>97.423333333333332</v>
      </c>
      <c r="N8" s="63">
        <v>1648.5</v>
      </c>
      <c r="O8" s="55">
        <v>0</v>
      </c>
      <c r="P8" s="56">
        <v>0</v>
      </c>
      <c r="Q8" s="56">
        <v>0</v>
      </c>
      <c r="R8" s="7">
        <v>0</v>
      </c>
      <c r="S8" s="63">
        <v>0</v>
      </c>
      <c r="T8" s="55">
        <v>0</v>
      </c>
      <c r="U8" s="56">
        <v>0</v>
      </c>
      <c r="V8" s="56">
        <v>0</v>
      </c>
      <c r="W8" s="7">
        <v>0</v>
      </c>
      <c r="X8" s="92">
        <v>0</v>
      </c>
    </row>
    <row r="9" spans="1:24" s="3" customFormat="1" ht="9.75" x14ac:dyDescent="0.2">
      <c r="A9" s="21" t="s">
        <v>4</v>
      </c>
      <c r="B9" s="22" t="s">
        <v>62</v>
      </c>
      <c r="C9" s="23"/>
      <c r="D9" s="50" t="s">
        <v>25</v>
      </c>
      <c r="E9" s="57">
        <f t="shared" si="5"/>
        <v>28140685</v>
      </c>
      <c r="F9" s="58">
        <f t="shared" si="5"/>
        <v>30306171</v>
      </c>
      <c r="G9" s="58">
        <f t="shared" si="5"/>
        <v>30306171.120000001</v>
      </c>
      <c r="H9" s="24">
        <f t="shared" si="0"/>
        <v>100.00000039595895</v>
      </c>
      <c r="I9" s="65">
        <f>SUM(N9,S9)</f>
        <v>28033449.299999997</v>
      </c>
      <c r="J9" s="66">
        <v>4876145</v>
      </c>
      <c r="K9" s="58">
        <v>5407145</v>
      </c>
      <c r="L9" s="58">
        <v>5407145</v>
      </c>
      <c r="M9" s="24">
        <f t="shared" si="2"/>
        <v>100</v>
      </c>
      <c r="N9" s="65">
        <v>5542962.9000000004</v>
      </c>
      <c r="O9" s="57">
        <v>23264540</v>
      </c>
      <c r="P9" s="58">
        <v>24899026</v>
      </c>
      <c r="Q9" s="58">
        <f>24486251.64+412774.48</f>
        <v>24899026.120000001</v>
      </c>
      <c r="R9" s="24">
        <f t="shared" si="3"/>
        <v>100.00000048194657</v>
      </c>
      <c r="S9" s="65">
        <v>22490486.399999999</v>
      </c>
      <c r="T9" s="57">
        <v>0</v>
      </c>
      <c r="U9" s="58">
        <v>110000</v>
      </c>
      <c r="V9" s="58">
        <v>109711.5</v>
      </c>
      <c r="W9" s="24">
        <f t="shared" si="4"/>
        <v>99.73772727272727</v>
      </c>
      <c r="X9" s="93">
        <v>102041</v>
      </c>
    </row>
    <row r="10" spans="1:24" s="3" customFormat="1" ht="9.75" x14ac:dyDescent="0.2">
      <c r="A10" s="16" t="s">
        <v>5</v>
      </c>
      <c r="B10" s="1007" t="s">
        <v>7</v>
      </c>
      <c r="C10" s="1007"/>
      <c r="D10" s="25" t="s">
        <v>25</v>
      </c>
      <c r="E10" s="59">
        <f t="shared" si="5"/>
        <v>0</v>
      </c>
      <c r="F10" s="59">
        <f t="shared" si="5"/>
        <v>0</v>
      </c>
      <c r="G10" s="59">
        <f t="shared" si="5"/>
        <v>0</v>
      </c>
      <c r="H10" s="18">
        <v>0</v>
      </c>
      <c r="I10" s="67">
        <f>SUM(N10,S10)</f>
        <v>0</v>
      </c>
      <c r="J10" s="68">
        <v>0</v>
      </c>
      <c r="K10" s="59"/>
      <c r="L10" s="59"/>
      <c r="M10" s="18">
        <v>0</v>
      </c>
      <c r="N10" s="67"/>
      <c r="O10" s="59">
        <v>0</v>
      </c>
      <c r="P10" s="59"/>
      <c r="Q10" s="59"/>
      <c r="R10" s="18">
        <v>0</v>
      </c>
      <c r="S10" s="67"/>
      <c r="T10" s="59">
        <v>0</v>
      </c>
      <c r="U10" s="59"/>
      <c r="V10" s="59"/>
      <c r="W10" s="18">
        <v>0</v>
      </c>
      <c r="X10" s="59"/>
    </row>
    <row r="11" spans="1:24" s="3" customFormat="1" ht="9.75" x14ac:dyDescent="0.2">
      <c r="A11" s="16" t="s">
        <v>6</v>
      </c>
      <c r="B11" s="1007" t="s">
        <v>9</v>
      </c>
      <c r="C11" s="1007"/>
      <c r="D11" s="25" t="s">
        <v>25</v>
      </c>
      <c r="E11" s="52">
        <f>SUM(E12:E31)</f>
        <v>30235685</v>
      </c>
      <c r="F11" s="52">
        <f>SUM(F12:F31)</f>
        <v>32670621</v>
      </c>
      <c r="G11" s="52">
        <f>SUM(G12:G31)</f>
        <v>32654972.779999997</v>
      </c>
      <c r="H11" s="18">
        <f t="shared" si="0"/>
        <v>99.952103083684875</v>
      </c>
      <c r="I11" s="69">
        <f>SUM(I12:I31)</f>
        <v>30361389.039999999</v>
      </c>
      <c r="J11" s="52">
        <f>SUM(J12:J31)</f>
        <v>6971145</v>
      </c>
      <c r="K11" s="52">
        <f>SUM(K12:K31)</f>
        <v>7771595</v>
      </c>
      <c r="L11" s="52">
        <f>SUM(L12:L31)</f>
        <v>7755946.2600000007</v>
      </c>
      <c r="M11" s="18">
        <f t="shared" si="2"/>
        <v>99.798641848938345</v>
      </c>
      <c r="N11" s="69">
        <f>SUM(N12:N31)</f>
        <v>7870902.8399999999</v>
      </c>
      <c r="O11" s="52">
        <f>SUM(O12:O31)</f>
        <v>23264540</v>
      </c>
      <c r="P11" s="52">
        <f>SUM(P12:P31)</f>
        <v>24899026</v>
      </c>
      <c r="Q11" s="52">
        <f>SUM(Q12:Q31)</f>
        <v>24899026.52</v>
      </c>
      <c r="R11" s="18">
        <f t="shared" si="3"/>
        <v>100.00000208843511</v>
      </c>
      <c r="S11" s="69">
        <f>SUM(S12:S31)</f>
        <v>22490486.199999999</v>
      </c>
      <c r="T11" s="52">
        <f>SUM(T12:T31)</f>
        <v>408500</v>
      </c>
      <c r="U11" s="52">
        <f>SUM(U12:U31)</f>
        <v>590000</v>
      </c>
      <c r="V11" s="52">
        <f>SUM(V12:V31)</f>
        <v>583073.96</v>
      </c>
      <c r="W11" s="18">
        <f t="shared" si="4"/>
        <v>98.826094915254231</v>
      </c>
      <c r="X11" s="52">
        <f>SUM(X12:X31)</f>
        <v>527657</v>
      </c>
    </row>
    <row r="12" spans="1:24" s="3" customFormat="1" ht="9.75" x14ac:dyDescent="0.2">
      <c r="A12" s="26" t="s">
        <v>8</v>
      </c>
      <c r="B12" s="1008" t="s">
        <v>28</v>
      </c>
      <c r="C12" s="1009"/>
      <c r="D12" s="51" t="s">
        <v>25</v>
      </c>
      <c r="E12" s="53">
        <f t="shared" ref="E12:I28" si="6">SUM(J12,O12)</f>
        <v>2289000</v>
      </c>
      <c r="F12" s="54">
        <f t="shared" si="6"/>
        <v>2765001</v>
      </c>
      <c r="G12" s="54">
        <f t="shared" si="6"/>
        <v>2764639</v>
      </c>
      <c r="H12" s="6">
        <f t="shared" si="0"/>
        <v>99.986907780503515</v>
      </c>
      <c r="I12" s="60">
        <f t="shared" si="6"/>
        <v>2888184.4</v>
      </c>
      <c r="J12" s="70">
        <v>2154000</v>
      </c>
      <c r="K12" s="71">
        <v>2602000</v>
      </c>
      <c r="L12" s="71">
        <v>2601638</v>
      </c>
      <c r="M12" s="6">
        <f t="shared" si="2"/>
        <v>99.986087624903917</v>
      </c>
      <c r="N12" s="78">
        <v>2667519</v>
      </c>
      <c r="O12" s="79">
        <v>135000</v>
      </c>
      <c r="P12" s="71">
        <v>163001</v>
      </c>
      <c r="Q12" s="71">
        <f>17702+145299</f>
        <v>163001</v>
      </c>
      <c r="R12" s="6">
        <f t="shared" si="3"/>
        <v>100</v>
      </c>
      <c r="S12" s="83">
        <v>220665.4</v>
      </c>
      <c r="T12" s="79">
        <v>14000</v>
      </c>
      <c r="U12" s="71">
        <v>26000</v>
      </c>
      <c r="V12" s="71">
        <v>25519.95</v>
      </c>
      <c r="W12" s="6">
        <f t="shared" si="4"/>
        <v>98.153653846153858</v>
      </c>
      <c r="X12" s="94">
        <v>25003</v>
      </c>
    </row>
    <row r="13" spans="1:24" s="3" customFormat="1" ht="9.75" x14ac:dyDescent="0.2">
      <c r="A13" s="27" t="s">
        <v>10</v>
      </c>
      <c r="B13" s="997" t="s">
        <v>29</v>
      </c>
      <c r="C13" s="998"/>
      <c r="D13" s="48" t="s">
        <v>25</v>
      </c>
      <c r="E13" s="55">
        <f t="shared" si="6"/>
        <v>1863000</v>
      </c>
      <c r="F13" s="56">
        <f t="shared" si="6"/>
        <v>1763000</v>
      </c>
      <c r="G13" s="56">
        <f t="shared" si="6"/>
        <v>1762675.07</v>
      </c>
      <c r="H13" s="7">
        <f t="shared" si="0"/>
        <v>99.981569483834377</v>
      </c>
      <c r="I13" s="63">
        <f t="shared" si="6"/>
        <v>1802644</v>
      </c>
      <c r="J13" s="72">
        <v>1863000</v>
      </c>
      <c r="K13" s="56">
        <v>1763000</v>
      </c>
      <c r="L13" s="56">
        <v>1762675.07</v>
      </c>
      <c r="M13" s="7">
        <f t="shared" si="2"/>
        <v>99.981569483834377</v>
      </c>
      <c r="N13" s="63">
        <v>1802644</v>
      </c>
      <c r="O13" s="55">
        <v>0</v>
      </c>
      <c r="P13" s="56">
        <v>0</v>
      </c>
      <c r="Q13" s="56">
        <v>0</v>
      </c>
      <c r="R13" s="7">
        <v>0</v>
      </c>
      <c r="S13" s="63">
        <v>0</v>
      </c>
      <c r="T13" s="55">
        <v>317000</v>
      </c>
      <c r="U13" s="56">
        <v>300000</v>
      </c>
      <c r="V13" s="56">
        <v>296833.40999999997</v>
      </c>
      <c r="W13" s="7">
        <f t="shared" si="4"/>
        <v>98.944469999999995</v>
      </c>
      <c r="X13" s="92">
        <v>254349</v>
      </c>
    </row>
    <row r="14" spans="1:24" s="3" customFormat="1" ht="9.75" x14ac:dyDescent="0.2">
      <c r="A14" s="27" t="s">
        <v>11</v>
      </c>
      <c r="B14" s="418" t="s">
        <v>63</v>
      </c>
      <c r="C14" s="419"/>
      <c r="D14" s="48" t="s">
        <v>25</v>
      </c>
      <c r="E14" s="55">
        <f t="shared" si="6"/>
        <v>0</v>
      </c>
      <c r="F14" s="56">
        <f t="shared" si="6"/>
        <v>0</v>
      </c>
      <c r="G14" s="56">
        <f t="shared" si="6"/>
        <v>0</v>
      </c>
      <c r="H14" s="7">
        <v>0</v>
      </c>
      <c r="I14" s="63">
        <f t="shared" si="6"/>
        <v>0</v>
      </c>
      <c r="J14" s="72">
        <v>0</v>
      </c>
      <c r="K14" s="56">
        <v>0</v>
      </c>
      <c r="L14" s="56">
        <v>0</v>
      </c>
      <c r="M14" s="7">
        <v>0</v>
      </c>
      <c r="N14" s="63">
        <v>0</v>
      </c>
      <c r="O14" s="55">
        <v>0</v>
      </c>
      <c r="P14" s="56">
        <v>0</v>
      </c>
      <c r="Q14" s="56">
        <v>0</v>
      </c>
      <c r="R14" s="7">
        <v>0</v>
      </c>
      <c r="S14" s="63">
        <v>0</v>
      </c>
      <c r="T14" s="55">
        <v>0</v>
      </c>
      <c r="U14" s="56">
        <v>0</v>
      </c>
      <c r="V14" s="56">
        <v>0</v>
      </c>
      <c r="W14" s="7">
        <v>0</v>
      </c>
      <c r="X14" s="92">
        <v>0</v>
      </c>
    </row>
    <row r="15" spans="1:24" s="3" customFormat="1" ht="9.75" x14ac:dyDescent="0.2">
      <c r="A15" s="27" t="s">
        <v>12</v>
      </c>
      <c r="B15" s="997" t="s">
        <v>64</v>
      </c>
      <c r="C15" s="998"/>
      <c r="D15" s="48" t="s">
        <v>25</v>
      </c>
      <c r="E15" s="55">
        <f t="shared" si="6"/>
        <v>505000</v>
      </c>
      <c r="F15" s="56">
        <f t="shared" si="6"/>
        <v>1138000</v>
      </c>
      <c r="G15" s="56">
        <f t="shared" si="6"/>
        <v>1137714.28</v>
      </c>
      <c r="H15" s="7">
        <f t="shared" si="0"/>
        <v>99.974892794376103</v>
      </c>
      <c r="I15" s="63">
        <f t="shared" si="6"/>
        <v>447872.25</v>
      </c>
      <c r="J15" s="72">
        <v>505000</v>
      </c>
      <c r="K15" s="56">
        <v>1138000</v>
      </c>
      <c r="L15" s="56">
        <v>1137714.28</v>
      </c>
      <c r="M15" s="7">
        <f t="shared" si="2"/>
        <v>99.974892794376103</v>
      </c>
      <c r="N15" s="63">
        <v>447872.25</v>
      </c>
      <c r="O15" s="55">
        <v>0</v>
      </c>
      <c r="P15" s="56">
        <v>0</v>
      </c>
      <c r="Q15" s="56">
        <v>0</v>
      </c>
      <c r="R15" s="7">
        <v>0</v>
      </c>
      <c r="S15" s="63">
        <v>0</v>
      </c>
      <c r="T15" s="55">
        <v>0</v>
      </c>
      <c r="U15" s="56">
        <v>0</v>
      </c>
      <c r="V15" s="56">
        <v>0</v>
      </c>
      <c r="W15" s="7">
        <v>0</v>
      </c>
      <c r="X15" s="92">
        <v>3561</v>
      </c>
    </row>
    <row r="16" spans="1:24" s="3" customFormat="1" ht="9.75" x14ac:dyDescent="0.2">
      <c r="A16" s="27" t="s">
        <v>13</v>
      </c>
      <c r="B16" s="997" t="s">
        <v>30</v>
      </c>
      <c r="C16" s="998"/>
      <c r="D16" s="48" t="s">
        <v>25</v>
      </c>
      <c r="E16" s="55">
        <f t="shared" si="6"/>
        <v>47240</v>
      </c>
      <c r="F16" s="56">
        <f t="shared" si="6"/>
        <v>33228</v>
      </c>
      <c r="G16" s="56">
        <f t="shared" si="6"/>
        <v>33203</v>
      </c>
      <c r="H16" s="7">
        <f t="shared" si="0"/>
        <v>99.924762248705918</v>
      </c>
      <c r="I16" s="63">
        <f t="shared" si="6"/>
        <v>32706.400000000001</v>
      </c>
      <c r="J16" s="72">
        <v>7000</v>
      </c>
      <c r="K16" s="56">
        <v>2700</v>
      </c>
      <c r="L16" s="56">
        <v>2675</v>
      </c>
      <c r="M16" s="7">
        <f t="shared" si="2"/>
        <v>99.074074074074076</v>
      </c>
      <c r="N16" s="63">
        <v>4220</v>
      </c>
      <c r="O16" s="55">
        <v>40240</v>
      </c>
      <c r="P16" s="56">
        <v>30528</v>
      </c>
      <c r="Q16" s="56">
        <f>33203-L16</f>
        <v>30528</v>
      </c>
      <c r="R16" s="7">
        <f t="shared" si="3"/>
        <v>100</v>
      </c>
      <c r="S16" s="63">
        <v>28486.400000000001</v>
      </c>
      <c r="T16" s="55">
        <v>0</v>
      </c>
      <c r="U16" s="56">
        <v>0</v>
      </c>
      <c r="V16" s="56">
        <v>0</v>
      </c>
      <c r="W16" s="7">
        <v>0</v>
      </c>
      <c r="X16" s="92">
        <v>0</v>
      </c>
    </row>
    <row r="17" spans="1:24" s="3" customFormat="1" ht="9.75" x14ac:dyDescent="0.2">
      <c r="A17" s="27" t="s">
        <v>14</v>
      </c>
      <c r="B17" s="418" t="s">
        <v>48</v>
      </c>
      <c r="C17" s="419"/>
      <c r="D17" s="48" t="s">
        <v>25</v>
      </c>
      <c r="E17" s="55">
        <f t="shared" si="6"/>
        <v>4000</v>
      </c>
      <c r="F17" s="56">
        <f t="shared" si="6"/>
        <v>3700</v>
      </c>
      <c r="G17" s="56">
        <f t="shared" si="6"/>
        <v>3605</v>
      </c>
      <c r="H17" s="7">
        <f t="shared" si="0"/>
        <v>97.432432432432435</v>
      </c>
      <c r="I17" s="63">
        <f t="shared" si="6"/>
        <v>3092</v>
      </c>
      <c r="J17" s="72">
        <v>4000</v>
      </c>
      <c r="K17" s="56">
        <v>3700</v>
      </c>
      <c r="L17" s="56">
        <v>3605</v>
      </c>
      <c r="M17" s="7">
        <f t="shared" si="2"/>
        <v>97.432432432432435</v>
      </c>
      <c r="N17" s="63">
        <v>3092</v>
      </c>
      <c r="O17" s="55">
        <v>0</v>
      </c>
      <c r="P17" s="56">
        <v>0</v>
      </c>
      <c r="Q17" s="56">
        <v>0</v>
      </c>
      <c r="R17" s="7">
        <v>0</v>
      </c>
      <c r="S17" s="63">
        <v>0</v>
      </c>
      <c r="T17" s="55">
        <v>0</v>
      </c>
      <c r="U17" s="56">
        <v>0</v>
      </c>
      <c r="V17" s="56">
        <v>0</v>
      </c>
      <c r="W17" s="7">
        <v>0</v>
      </c>
      <c r="X17" s="92">
        <v>0</v>
      </c>
    </row>
    <row r="18" spans="1:24" s="3" customFormat="1" ht="9.75" x14ac:dyDescent="0.2">
      <c r="A18" s="27" t="s">
        <v>15</v>
      </c>
      <c r="B18" s="997" t="s">
        <v>31</v>
      </c>
      <c r="C18" s="998"/>
      <c r="D18" s="48" t="s">
        <v>25</v>
      </c>
      <c r="E18" s="55">
        <f t="shared" si="6"/>
        <v>677000</v>
      </c>
      <c r="F18" s="56">
        <f t="shared" si="6"/>
        <v>575398</v>
      </c>
      <c r="G18" s="56">
        <f t="shared" si="6"/>
        <v>574666.22</v>
      </c>
      <c r="H18" s="7">
        <f t="shared" si="0"/>
        <v>99.872821942377271</v>
      </c>
      <c r="I18" s="63">
        <f t="shared" si="6"/>
        <v>568218.99</v>
      </c>
      <c r="J18" s="72">
        <v>457000</v>
      </c>
      <c r="K18" s="56">
        <v>366000</v>
      </c>
      <c r="L18" s="56">
        <f>365436.22-168</f>
        <v>365268.22</v>
      </c>
      <c r="M18" s="7">
        <f t="shared" si="2"/>
        <v>99.800060109289618</v>
      </c>
      <c r="N18" s="63">
        <v>438702.59</v>
      </c>
      <c r="O18" s="55">
        <v>220000</v>
      </c>
      <c r="P18" s="56">
        <v>209398</v>
      </c>
      <c r="Q18" s="56">
        <v>209398</v>
      </c>
      <c r="R18" s="7">
        <f t="shared" si="3"/>
        <v>100</v>
      </c>
      <c r="S18" s="63">
        <v>129516.4</v>
      </c>
      <c r="T18" s="55">
        <v>1000</v>
      </c>
      <c r="U18" s="56">
        <v>7000</v>
      </c>
      <c r="V18" s="56">
        <v>6307.54</v>
      </c>
      <c r="W18" s="7">
        <f t="shared" si="4"/>
        <v>90.10771428571428</v>
      </c>
      <c r="X18" s="92">
        <v>3110</v>
      </c>
    </row>
    <row r="19" spans="1:24" s="8" customFormat="1" ht="9.75" x14ac:dyDescent="0.2">
      <c r="A19" s="27" t="s">
        <v>16</v>
      </c>
      <c r="B19" s="997" t="s">
        <v>32</v>
      </c>
      <c r="C19" s="998"/>
      <c r="D19" s="48" t="s">
        <v>25</v>
      </c>
      <c r="E19" s="55">
        <f t="shared" si="6"/>
        <v>16871700</v>
      </c>
      <c r="F19" s="56">
        <f t="shared" si="6"/>
        <v>18122796</v>
      </c>
      <c r="G19" s="56">
        <f t="shared" si="6"/>
        <v>18119624</v>
      </c>
      <c r="H19" s="7">
        <f t="shared" si="0"/>
        <v>99.982497182002163</v>
      </c>
      <c r="I19" s="63">
        <f t="shared" si="6"/>
        <v>16433648</v>
      </c>
      <c r="J19" s="73">
        <v>158800</v>
      </c>
      <c r="K19" s="56">
        <v>173972</v>
      </c>
      <c r="L19" s="56">
        <v>170800</v>
      </c>
      <c r="M19" s="7">
        <f t="shared" si="2"/>
        <v>98.176718092566617</v>
      </c>
      <c r="N19" s="63">
        <v>166490</v>
      </c>
      <c r="O19" s="55">
        <v>16712900</v>
      </c>
      <c r="P19" s="56">
        <v>17948824</v>
      </c>
      <c r="Q19" s="56">
        <f>18119624-L19</f>
        <v>17948824</v>
      </c>
      <c r="R19" s="7">
        <f t="shared" si="3"/>
        <v>100</v>
      </c>
      <c r="S19" s="63">
        <v>16267158</v>
      </c>
      <c r="T19" s="84">
        <v>0</v>
      </c>
      <c r="U19" s="85">
        <v>84000</v>
      </c>
      <c r="V19" s="85">
        <v>83094</v>
      </c>
      <c r="W19" s="7">
        <f t="shared" si="4"/>
        <v>98.921428571428578</v>
      </c>
      <c r="X19" s="95">
        <v>93703</v>
      </c>
    </row>
    <row r="20" spans="1:24" s="3" customFormat="1" ht="9.75" x14ac:dyDescent="0.2">
      <c r="A20" s="27" t="s">
        <v>17</v>
      </c>
      <c r="B20" s="997" t="s">
        <v>49</v>
      </c>
      <c r="C20" s="998"/>
      <c r="D20" s="48" t="s">
        <v>25</v>
      </c>
      <c r="E20" s="55">
        <f t="shared" si="6"/>
        <v>5683386</v>
      </c>
      <c r="F20" s="56">
        <f t="shared" si="6"/>
        <v>6136978</v>
      </c>
      <c r="G20" s="56">
        <f t="shared" si="6"/>
        <v>6134668</v>
      </c>
      <c r="H20" s="7">
        <f t="shared" si="0"/>
        <v>99.962359324084261</v>
      </c>
      <c r="I20" s="63">
        <f t="shared" si="6"/>
        <v>5587861</v>
      </c>
      <c r="J20" s="72">
        <v>1000</v>
      </c>
      <c r="K20" s="56">
        <v>6390</v>
      </c>
      <c r="L20" s="56">
        <v>4080</v>
      </c>
      <c r="M20" s="7">
        <f t="shared" si="2"/>
        <v>63.84976525821596</v>
      </c>
      <c r="N20" s="63">
        <v>11553</v>
      </c>
      <c r="O20" s="55">
        <v>5682386</v>
      </c>
      <c r="P20" s="56">
        <v>6130588</v>
      </c>
      <c r="Q20" s="56">
        <f>6059772.53+74895.47-L20</f>
        <v>6130588</v>
      </c>
      <c r="R20" s="7">
        <f t="shared" si="3"/>
        <v>100</v>
      </c>
      <c r="S20" s="63">
        <v>5576308</v>
      </c>
      <c r="T20" s="55">
        <v>1000</v>
      </c>
      <c r="U20" s="56">
        <v>32000</v>
      </c>
      <c r="V20" s="56">
        <f>31637.47+351.44</f>
        <v>31988.91</v>
      </c>
      <c r="W20" s="7">
        <f t="shared" si="4"/>
        <v>99.965343750000002</v>
      </c>
      <c r="X20" s="92">
        <v>30875</v>
      </c>
    </row>
    <row r="21" spans="1:24" s="3" customFormat="1" ht="9.75" x14ac:dyDescent="0.2">
      <c r="A21" s="27" t="s">
        <v>18</v>
      </c>
      <c r="B21" s="997" t="s">
        <v>50</v>
      </c>
      <c r="C21" s="998"/>
      <c r="D21" s="48" t="s">
        <v>25</v>
      </c>
      <c r="E21" s="55">
        <f t="shared" si="6"/>
        <v>336134</v>
      </c>
      <c r="F21" s="56">
        <f t="shared" si="6"/>
        <v>385962</v>
      </c>
      <c r="G21" s="56">
        <f t="shared" si="6"/>
        <v>384081.58</v>
      </c>
      <c r="H21" s="7">
        <f t="shared" si="0"/>
        <v>99.512796596556143</v>
      </c>
      <c r="I21" s="63">
        <f t="shared" si="6"/>
        <v>275549</v>
      </c>
      <c r="J21" s="72">
        <v>2120</v>
      </c>
      <c r="K21" s="56">
        <v>2120</v>
      </c>
      <c r="L21" s="56">
        <v>239.45</v>
      </c>
      <c r="M21" s="7">
        <f t="shared" si="2"/>
        <v>11.294811320754716</v>
      </c>
      <c r="N21" s="63">
        <v>9841</v>
      </c>
      <c r="O21" s="55">
        <v>334014</v>
      </c>
      <c r="P21" s="56">
        <v>383842</v>
      </c>
      <c r="Q21" s="56">
        <f>384081.58-L21</f>
        <v>383842.13</v>
      </c>
      <c r="R21" s="7">
        <f t="shared" si="3"/>
        <v>100.00003386810199</v>
      </c>
      <c r="S21" s="63">
        <v>265708</v>
      </c>
      <c r="T21" s="55">
        <v>1500</v>
      </c>
      <c r="U21" s="56">
        <v>5000</v>
      </c>
      <c r="V21" s="56">
        <v>4104.78</v>
      </c>
      <c r="W21" s="7">
        <f t="shared" si="4"/>
        <v>82.09559999999999</v>
      </c>
      <c r="X21" s="92">
        <v>1170</v>
      </c>
    </row>
    <row r="22" spans="1:24" s="3" customFormat="1" ht="9.75" x14ac:dyDescent="0.2">
      <c r="A22" s="27" t="s">
        <v>19</v>
      </c>
      <c r="B22" s="997" t="s">
        <v>65</v>
      </c>
      <c r="C22" s="998"/>
      <c r="D22" s="48" t="s">
        <v>25</v>
      </c>
      <c r="E22" s="55">
        <f t="shared" si="6"/>
        <v>0</v>
      </c>
      <c r="F22" s="56">
        <f t="shared" si="6"/>
        <v>0</v>
      </c>
      <c r="G22" s="56">
        <f t="shared" si="6"/>
        <v>0</v>
      </c>
      <c r="H22" s="7">
        <v>0</v>
      </c>
      <c r="I22" s="63">
        <f t="shared" si="6"/>
        <v>0</v>
      </c>
      <c r="J22" s="72">
        <v>0</v>
      </c>
      <c r="K22" s="56">
        <v>0</v>
      </c>
      <c r="L22" s="56">
        <v>0</v>
      </c>
      <c r="M22" s="7">
        <v>0</v>
      </c>
      <c r="N22" s="63">
        <v>0</v>
      </c>
      <c r="O22" s="55">
        <v>0</v>
      </c>
      <c r="P22" s="56">
        <v>0</v>
      </c>
      <c r="Q22" s="56">
        <v>0</v>
      </c>
      <c r="R22" s="7">
        <v>0</v>
      </c>
      <c r="S22" s="63">
        <v>0</v>
      </c>
      <c r="T22" s="55">
        <v>0</v>
      </c>
      <c r="U22" s="56">
        <v>0</v>
      </c>
      <c r="V22" s="56">
        <v>0</v>
      </c>
      <c r="W22" s="7">
        <v>0</v>
      </c>
      <c r="X22" s="56">
        <v>0</v>
      </c>
    </row>
    <row r="23" spans="1:24" s="3" customFormat="1" ht="9.75" x14ac:dyDescent="0.2">
      <c r="A23" s="27" t="s">
        <v>20</v>
      </c>
      <c r="B23" s="418" t="s">
        <v>66</v>
      </c>
      <c r="C23" s="419"/>
      <c r="D23" s="48" t="s">
        <v>25</v>
      </c>
      <c r="E23" s="55">
        <f t="shared" si="6"/>
        <v>0</v>
      </c>
      <c r="F23" s="56">
        <f t="shared" si="6"/>
        <v>0</v>
      </c>
      <c r="G23" s="56">
        <f t="shared" si="6"/>
        <v>0</v>
      </c>
      <c r="H23" s="7">
        <v>0</v>
      </c>
      <c r="I23" s="63">
        <f t="shared" si="6"/>
        <v>0</v>
      </c>
      <c r="J23" s="72">
        <v>0</v>
      </c>
      <c r="K23" s="56">
        <v>0</v>
      </c>
      <c r="L23" s="56">
        <v>0</v>
      </c>
      <c r="M23" s="7">
        <v>0</v>
      </c>
      <c r="N23" s="63">
        <v>0</v>
      </c>
      <c r="O23" s="55">
        <v>0</v>
      </c>
      <c r="P23" s="56">
        <v>0</v>
      </c>
      <c r="Q23" s="56">
        <v>0</v>
      </c>
      <c r="R23" s="7">
        <v>0</v>
      </c>
      <c r="S23" s="63">
        <v>0</v>
      </c>
      <c r="T23" s="55">
        <v>0</v>
      </c>
      <c r="U23" s="56">
        <v>0</v>
      </c>
      <c r="V23" s="56">
        <v>0</v>
      </c>
      <c r="W23" s="7">
        <v>0</v>
      </c>
      <c r="X23" s="56">
        <v>0</v>
      </c>
    </row>
    <row r="24" spans="1:24" s="3" customFormat="1" ht="9.75" x14ac:dyDescent="0.2">
      <c r="A24" s="27" t="s">
        <v>21</v>
      </c>
      <c r="B24" s="418" t="s">
        <v>73</v>
      </c>
      <c r="C24" s="419"/>
      <c r="D24" s="48" t="s">
        <v>25</v>
      </c>
      <c r="E24" s="55">
        <f t="shared" si="6"/>
        <v>0</v>
      </c>
      <c r="F24" s="56">
        <f t="shared" si="6"/>
        <v>0</v>
      </c>
      <c r="G24" s="56">
        <f t="shared" si="6"/>
        <v>0</v>
      </c>
      <c r="H24" s="7">
        <v>0</v>
      </c>
      <c r="I24" s="63">
        <f t="shared" si="6"/>
        <v>0</v>
      </c>
      <c r="J24" s="72">
        <v>0</v>
      </c>
      <c r="K24" s="56">
        <v>0</v>
      </c>
      <c r="L24" s="56">
        <v>0</v>
      </c>
      <c r="M24" s="7">
        <v>0</v>
      </c>
      <c r="N24" s="63">
        <v>0</v>
      </c>
      <c r="O24" s="55">
        <v>0</v>
      </c>
      <c r="P24" s="56">
        <v>0</v>
      </c>
      <c r="Q24" s="56">
        <v>0</v>
      </c>
      <c r="R24" s="7">
        <v>0</v>
      </c>
      <c r="S24" s="63">
        <v>0</v>
      </c>
      <c r="T24" s="55">
        <v>0</v>
      </c>
      <c r="U24" s="56">
        <v>0</v>
      </c>
      <c r="V24" s="56">
        <v>0</v>
      </c>
      <c r="W24" s="7">
        <v>0</v>
      </c>
      <c r="X24" s="56">
        <v>0</v>
      </c>
    </row>
    <row r="25" spans="1:24" s="3" customFormat="1" ht="9.75" x14ac:dyDescent="0.2">
      <c r="A25" s="28" t="s">
        <v>22</v>
      </c>
      <c r="B25" s="29" t="s">
        <v>68</v>
      </c>
      <c r="C25" s="30"/>
      <c r="D25" s="48" t="s">
        <v>25</v>
      </c>
      <c r="E25" s="55">
        <f t="shared" si="6"/>
        <v>0</v>
      </c>
      <c r="F25" s="56">
        <f t="shared" si="6"/>
        <v>0</v>
      </c>
      <c r="G25" s="56">
        <f t="shared" si="6"/>
        <v>0</v>
      </c>
      <c r="H25" s="7">
        <v>0</v>
      </c>
      <c r="I25" s="63">
        <f t="shared" si="6"/>
        <v>0</v>
      </c>
      <c r="J25" s="72">
        <v>0</v>
      </c>
      <c r="K25" s="74">
        <v>0</v>
      </c>
      <c r="L25" s="74">
        <v>0</v>
      </c>
      <c r="M25" s="7">
        <v>0</v>
      </c>
      <c r="N25" s="80">
        <v>0</v>
      </c>
      <c r="O25" s="81">
        <v>0</v>
      </c>
      <c r="P25" s="56">
        <v>0</v>
      </c>
      <c r="Q25" s="56">
        <v>0</v>
      </c>
      <c r="R25" s="7">
        <v>0</v>
      </c>
      <c r="S25" s="86">
        <v>0</v>
      </c>
      <c r="T25" s="81">
        <v>0</v>
      </c>
      <c r="U25" s="74">
        <v>0</v>
      </c>
      <c r="V25" s="74">
        <v>0</v>
      </c>
      <c r="W25" s="7">
        <v>0</v>
      </c>
      <c r="X25" s="56">
        <v>0</v>
      </c>
    </row>
    <row r="26" spans="1:24" s="10" customFormat="1" ht="9.75" x14ac:dyDescent="0.2">
      <c r="A26" s="27" t="s">
        <v>23</v>
      </c>
      <c r="B26" s="997" t="s">
        <v>69</v>
      </c>
      <c r="C26" s="998"/>
      <c r="D26" s="48" t="s">
        <v>25</v>
      </c>
      <c r="E26" s="55">
        <f t="shared" si="6"/>
        <v>1688225</v>
      </c>
      <c r="F26" s="56">
        <f t="shared" si="6"/>
        <v>1317613</v>
      </c>
      <c r="G26" s="56">
        <f t="shared" si="6"/>
        <v>1315339.6299999999</v>
      </c>
      <c r="H26" s="11">
        <f t="shared" si="0"/>
        <v>99.827462995583673</v>
      </c>
      <c r="I26" s="63">
        <f t="shared" si="6"/>
        <v>1498103</v>
      </c>
      <c r="J26" s="72">
        <v>1688225</v>
      </c>
      <c r="K26" s="75">
        <f>1335563-17950</f>
        <v>1317613</v>
      </c>
      <c r="L26" s="75">
        <v>1315339.6299999999</v>
      </c>
      <c r="M26" s="7">
        <f t="shared" si="2"/>
        <v>99.827462995583673</v>
      </c>
      <c r="N26" s="63">
        <v>1498103</v>
      </c>
      <c r="O26" s="82">
        <v>0</v>
      </c>
      <c r="P26" s="56">
        <v>0</v>
      </c>
      <c r="Q26" s="56">
        <v>0</v>
      </c>
      <c r="R26" s="7">
        <v>0</v>
      </c>
      <c r="S26" s="80">
        <v>0</v>
      </c>
      <c r="T26" s="55">
        <v>74000</v>
      </c>
      <c r="U26" s="108">
        <v>136000</v>
      </c>
      <c r="V26" s="108">
        <v>135225.37</v>
      </c>
      <c r="W26" s="7">
        <f t="shared" si="4"/>
        <v>99.430419117647048</v>
      </c>
      <c r="X26" s="108">
        <v>115886</v>
      </c>
    </row>
    <row r="27" spans="1:24" s="12" customFormat="1" ht="9.75" x14ac:dyDescent="0.2">
      <c r="A27" s="27" t="s">
        <v>45</v>
      </c>
      <c r="B27" s="418" t="s">
        <v>70</v>
      </c>
      <c r="C27" s="419"/>
      <c r="D27" s="48" t="s">
        <v>25</v>
      </c>
      <c r="E27" s="55">
        <f t="shared" si="6"/>
        <v>0</v>
      </c>
      <c r="F27" s="56">
        <f t="shared" si="6"/>
        <v>0</v>
      </c>
      <c r="G27" s="56">
        <f t="shared" si="6"/>
        <v>0</v>
      </c>
      <c r="H27" s="56">
        <f t="shared" si="6"/>
        <v>0</v>
      </c>
      <c r="I27" s="63">
        <f t="shared" si="6"/>
        <v>0</v>
      </c>
      <c r="J27" s="72">
        <v>0</v>
      </c>
      <c r="K27" s="75">
        <v>0</v>
      </c>
      <c r="L27" s="75">
        <v>0</v>
      </c>
      <c r="M27" s="7">
        <v>0</v>
      </c>
      <c r="N27" s="80">
        <v>0</v>
      </c>
      <c r="O27" s="82">
        <v>0</v>
      </c>
      <c r="P27" s="56">
        <v>0</v>
      </c>
      <c r="Q27" s="56">
        <v>0</v>
      </c>
      <c r="R27" s="7">
        <v>0</v>
      </c>
      <c r="S27" s="80">
        <v>0</v>
      </c>
      <c r="T27" s="55">
        <v>0</v>
      </c>
      <c r="U27" s="108">
        <v>0</v>
      </c>
      <c r="V27" s="108">
        <v>0</v>
      </c>
      <c r="W27" s="7">
        <v>0</v>
      </c>
      <c r="X27" s="56">
        <v>0</v>
      </c>
    </row>
    <row r="28" spans="1:24" s="12" customFormat="1" ht="9.75" x14ac:dyDescent="0.2">
      <c r="A28" s="27" t="s">
        <v>51</v>
      </c>
      <c r="B28" s="418" t="s">
        <v>74</v>
      </c>
      <c r="C28" s="419"/>
      <c r="D28" s="48" t="s">
        <v>25</v>
      </c>
      <c r="E28" s="55">
        <f t="shared" si="6"/>
        <v>270000</v>
      </c>
      <c r="F28" s="56">
        <f t="shared" si="6"/>
        <v>402845</v>
      </c>
      <c r="G28" s="56">
        <f t="shared" si="6"/>
        <v>398677</v>
      </c>
      <c r="H28" s="11">
        <f t="shared" si="0"/>
        <v>98.965358884930936</v>
      </c>
      <c r="I28" s="63">
        <f t="shared" si="6"/>
        <v>802593</v>
      </c>
      <c r="J28" s="72">
        <v>130000</v>
      </c>
      <c r="K28" s="75">
        <v>370000</v>
      </c>
      <c r="L28" s="75">
        <f>369389.61-3558</f>
        <v>365831.61</v>
      </c>
      <c r="M28" s="7">
        <f t="shared" si="2"/>
        <v>98.873408108108109</v>
      </c>
      <c r="N28" s="80">
        <v>799949</v>
      </c>
      <c r="O28" s="82">
        <v>140000</v>
      </c>
      <c r="P28" s="75">
        <v>32845</v>
      </c>
      <c r="Q28" s="75">
        <f>398677-L28</f>
        <v>32845.390000000014</v>
      </c>
      <c r="R28" s="7">
        <f t="shared" si="3"/>
        <v>100.0011873953418</v>
      </c>
      <c r="S28" s="80">
        <v>2644</v>
      </c>
      <c r="T28" s="55">
        <v>0</v>
      </c>
      <c r="U28" s="108">
        <v>0</v>
      </c>
      <c r="V28" s="108">
        <v>0</v>
      </c>
      <c r="W28" s="7">
        <v>0</v>
      </c>
      <c r="X28" s="56">
        <v>0</v>
      </c>
    </row>
    <row r="29" spans="1:24" s="10" customFormat="1" ht="9.75" x14ac:dyDescent="0.2">
      <c r="A29" s="27" t="s">
        <v>52</v>
      </c>
      <c r="B29" s="997" t="s">
        <v>67</v>
      </c>
      <c r="C29" s="998"/>
      <c r="D29" s="48" t="s">
        <v>25</v>
      </c>
      <c r="E29" s="55">
        <f t="shared" ref="E29:G31" si="7">SUM(J29,O29)</f>
        <v>1000</v>
      </c>
      <c r="F29" s="56">
        <f t="shared" si="7"/>
        <v>26100</v>
      </c>
      <c r="G29" s="56">
        <f t="shared" si="7"/>
        <v>26080</v>
      </c>
      <c r="H29" s="11">
        <f t="shared" si="0"/>
        <v>99.923371647509569</v>
      </c>
      <c r="I29" s="63">
        <f>SUM(N29,S29)</f>
        <v>20917</v>
      </c>
      <c r="J29" s="72">
        <v>1000</v>
      </c>
      <c r="K29" s="75">
        <v>26100</v>
      </c>
      <c r="L29" s="75">
        <v>26080</v>
      </c>
      <c r="M29" s="7">
        <f t="shared" si="2"/>
        <v>99.923371647509569</v>
      </c>
      <c r="N29" s="80">
        <v>20917</v>
      </c>
      <c r="O29" s="82">
        <v>0</v>
      </c>
      <c r="P29" s="75">
        <v>0</v>
      </c>
      <c r="Q29" s="75">
        <v>0</v>
      </c>
      <c r="R29" s="7">
        <v>0</v>
      </c>
      <c r="S29" s="80">
        <v>0</v>
      </c>
      <c r="T29" s="55">
        <v>0</v>
      </c>
      <c r="U29" s="108">
        <v>0</v>
      </c>
      <c r="V29" s="108">
        <v>0</v>
      </c>
      <c r="W29" s="7">
        <v>0</v>
      </c>
      <c r="X29" s="56">
        <v>0</v>
      </c>
    </row>
    <row r="30" spans="1:24" s="3" customFormat="1" ht="9.75" x14ac:dyDescent="0.2">
      <c r="A30" s="27" t="s">
        <v>54</v>
      </c>
      <c r="B30" s="418" t="s">
        <v>53</v>
      </c>
      <c r="C30" s="419"/>
      <c r="D30" s="48" t="s">
        <v>25</v>
      </c>
      <c r="E30" s="55">
        <f t="shared" si="7"/>
        <v>0</v>
      </c>
      <c r="F30" s="56">
        <f t="shared" si="7"/>
        <v>0</v>
      </c>
      <c r="G30" s="56">
        <f t="shared" si="7"/>
        <v>0</v>
      </c>
      <c r="H30" s="7">
        <v>0</v>
      </c>
      <c r="I30" s="63">
        <f>SUM(N30,S30)</f>
        <v>0</v>
      </c>
      <c r="J30" s="72">
        <v>0</v>
      </c>
      <c r="K30" s="75">
        <v>0</v>
      </c>
      <c r="L30" s="75">
        <v>0</v>
      </c>
      <c r="M30" s="7">
        <v>0</v>
      </c>
      <c r="N30" s="80">
        <v>0</v>
      </c>
      <c r="O30" s="82">
        <v>0</v>
      </c>
      <c r="P30" s="75">
        <v>0</v>
      </c>
      <c r="Q30" s="75">
        <v>0</v>
      </c>
      <c r="R30" s="7">
        <v>0</v>
      </c>
      <c r="S30" s="80">
        <v>0</v>
      </c>
      <c r="T30" s="55">
        <v>0</v>
      </c>
      <c r="U30" s="108">
        <v>0</v>
      </c>
      <c r="V30" s="108">
        <v>0</v>
      </c>
      <c r="W30" s="7">
        <v>0</v>
      </c>
      <c r="X30" s="56">
        <v>0</v>
      </c>
    </row>
    <row r="31" spans="1:24" s="31" customFormat="1" ht="9.75" x14ac:dyDescent="0.2">
      <c r="A31" s="27" t="s">
        <v>55</v>
      </c>
      <c r="B31" s="102" t="s">
        <v>71</v>
      </c>
      <c r="C31" s="103"/>
      <c r="D31" s="48" t="s">
        <v>25</v>
      </c>
      <c r="E31" s="55">
        <f t="shared" si="7"/>
        <v>0</v>
      </c>
      <c r="F31" s="56">
        <f t="shared" si="7"/>
        <v>0</v>
      </c>
      <c r="G31" s="56">
        <f t="shared" si="7"/>
        <v>0</v>
      </c>
      <c r="H31" s="7">
        <v>0</v>
      </c>
      <c r="I31" s="63">
        <f>SUM(N31,S31)</f>
        <v>0</v>
      </c>
      <c r="J31" s="72">
        <v>0</v>
      </c>
      <c r="K31" s="104">
        <v>0</v>
      </c>
      <c r="L31" s="104">
        <v>0</v>
      </c>
      <c r="M31" s="7">
        <v>0</v>
      </c>
      <c r="N31" s="105">
        <v>0</v>
      </c>
      <c r="O31" s="106">
        <v>0</v>
      </c>
      <c r="P31" s="75">
        <v>0</v>
      </c>
      <c r="Q31" s="75">
        <v>0</v>
      </c>
      <c r="R31" s="7">
        <v>0</v>
      </c>
      <c r="S31" s="105">
        <v>0</v>
      </c>
      <c r="T31" s="107">
        <v>0</v>
      </c>
      <c r="U31" s="108">
        <v>0</v>
      </c>
      <c r="V31" s="108">
        <v>0</v>
      </c>
      <c r="W31" s="7">
        <v>0</v>
      </c>
      <c r="X31" s="56">
        <v>0</v>
      </c>
    </row>
    <row r="32" spans="1:24" s="31" customFormat="1" ht="9.75" x14ac:dyDescent="0.2">
      <c r="A32" s="110" t="s">
        <v>56</v>
      </c>
      <c r="B32" s="111" t="s">
        <v>72</v>
      </c>
      <c r="C32" s="112"/>
      <c r="D32" s="49" t="s">
        <v>25</v>
      </c>
      <c r="E32" s="57">
        <f>SUM(J32,O32)</f>
        <v>0</v>
      </c>
      <c r="F32" s="58">
        <f>SUM(K32,P32)</f>
        <v>0</v>
      </c>
      <c r="G32" s="58">
        <f>SUM(L32,Q32)</f>
        <v>0</v>
      </c>
      <c r="H32" s="7">
        <v>0</v>
      </c>
      <c r="I32" s="65">
        <f>SUM(N32,S32)</f>
        <v>0</v>
      </c>
      <c r="J32" s="113">
        <v>0</v>
      </c>
      <c r="K32" s="90">
        <v>0</v>
      </c>
      <c r="L32" s="90">
        <v>0</v>
      </c>
      <c r="M32" s="24">
        <v>0</v>
      </c>
      <c r="N32" s="114">
        <v>0</v>
      </c>
      <c r="O32" s="89">
        <v>0</v>
      </c>
      <c r="P32" s="75">
        <v>0</v>
      </c>
      <c r="Q32" s="75">
        <v>0</v>
      </c>
      <c r="R32" s="24">
        <v>0</v>
      </c>
      <c r="S32" s="114">
        <v>0</v>
      </c>
      <c r="T32" s="89">
        <v>0</v>
      </c>
      <c r="U32" s="90">
        <v>0</v>
      </c>
      <c r="V32" s="90">
        <v>0</v>
      </c>
      <c r="W32" s="24">
        <v>0</v>
      </c>
      <c r="X32" s="56">
        <v>0</v>
      </c>
    </row>
    <row r="33" spans="1:24" s="31" customFormat="1" ht="9.75" x14ac:dyDescent="0.2">
      <c r="A33" s="16" t="s">
        <v>57</v>
      </c>
      <c r="B33" s="34" t="s">
        <v>58</v>
      </c>
      <c r="C33" s="35"/>
      <c r="D33" s="17" t="s">
        <v>25</v>
      </c>
      <c r="E33" s="52">
        <f>E6-E11</f>
        <v>0</v>
      </c>
      <c r="F33" s="52">
        <f t="shared" ref="F33:G33" si="8">F6-F11</f>
        <v>0</v>
      </c>
      <c r="G33" s="52">
        <f t="shared" si="8"/>
        <v>14515.420000005513</v>
      </c>
      <c r="H33" s="32"/>
      <c r="I33" s="52">
        <f t="shared" ref="I33:L33" si="9">I6-I11</f>
        <v>11323.759999997914</v>
      </c>
      <c r="J33" s="52">
        <f t="shared" si="9"/>
        <v>0</v>
      </c>
      <c r="K33" s="52">
        <f t="shared" si="9"/>
        <v>0</v>
      </c>
      <c r="L33" s="52">
        <f t="shared" si="9"/>
        <v>14515.819999999367</v>
      </c>
      <c r="M33" s="33"/>
      <c r="N33" s="52">
        <f t="shared" ref="N33:Q33" si="10">N6-N11</f>
        <v>11323.560000000522</v>
      </c>
      <c r="O33" s="52">
        <f t="shared" si="10"/>
        <v>0</v>
      </c>
      <c r="P33" s="52">
        <f t="shared" si="10"/>
        <v>0</v>
      </c>
      <c r="Q33" s="52">
        <f t="shared" si="10"/>
        <v>-0.39999999850988388</v>
      </c>
      <c r="R33" s="33">
        <v>0</v>
      </c>
      <c r="S33" s="52">
        <f t="shared" ref="S33:V33" si="11">S6-S11</f>
        <v>0.19999999925494194</v>
      </c>
      <c r="T33" s="52">
        <f t="shared" si="11"/>
        <v>156500</v>
      </c>
      <c r="U33" s="52">
        <f t="shared" si="11"/>
        <v>118000</v>
      </c>
      <c r="V33" s="52">
        <f t="shared" si="11"/>
        <v>117971.54000000004</v>
      </c>
      <c r="W33" s="178">
        <f t="shared" si="4"/>
        <v>99.975881355932245</v>
      </c>
      <c r="X33" s="52">
        <f>X6-X11</f>
        <v>149641</v>
      </c>
    </row>
    <row r="34" spans="1:24" s="37" customFormat="1" ht="9.75" x14ac:dyDescent="0.2">
      <c r="A34" s="36" t="s">
        <v>59</v>
      </c>
      <c r="B34" s="999" t="s">
        <v>24</v>
      </c>
      <c r="C34" s="1000"/>
      <c r="D34" s="99" t="s">
        <v>25</v>
      </c>
      <c r="E34" s="40">
        <f>E19/E36/12</f>
        <v>24240.948275862069</v>
      </c>
      <c r="F34" s="41">
        <f>F19/F36/12</f>
        <v>26038.5</v>
      </c>
      <c r="G34" s="41">
        <f>G19/G36/12</f>
        <v>24753.584699453553</v>
      </c>
      <c r="H34" s="9">
        <f t="shared" si="0"/>
        <v>95.065325189444678</v>
      </c>
      <c r="I34" s="44">
        <f>I19/I36/12</f>
        <v>23211.367231638418</v>
      </c>
      <c r="J34" s="444">
        <v>0</v>
      </c>
      <c r="K34" s="444">
        <v>0</v>
      </c>
      <c r="L34" s="444">
        <v>0</v>
      </c>
      <c r="M34" s="178">
        <v>0</v>
      </c>
      <c r="N34" s="444">
        <v>0</v>
      </c>
      <c r="O34" s="40">
        <f>O19/O36/12</f>
        <v>24012.787356321842</v>
      </c>
      <c r="P34" s="41">
        <f>P19/P36/12</f>
        <v>25788.540229885057</v>
      </c>
      <c r="Q34" s="41">
        <f>Q19/Q36/12</f>
        <v>24520.251366120221</v>
      </c>
      <c r="R34" s="9">
        <f t="shared" ref="R34:R36" si="12">Q34/P34*100</f>
        <v>95.081967213114766</v>
      </c>
      <c r="S34" s="444">
        <v>23211</v>
      </c>
      <c r="T34" s="444">
        <v>0</v>
      </c>
      <c r="U34" s="444">
        <f>U19/U35/12</f>
        <v>7000</v>
      </c>
      <c r="V34" s="444">
        <f>V19/V36/12</f>
        <v>6924.5</v>
      </c>
      <c r="W34" s="178">
        <f t="shared" si="4"/>
        <v>98.921428571428578</v>
      </c>
      <c r="X34" s="444">
        <f>X19/X36/12</f>
        <v>7808.583333333333</v>
      </c>
    </row>
    <row r="35" spans="1:24" s="37" customFormat="1" ht="9.75" x14ac:dyDescent="0.2">
      <c r="A35" s="38" t="s">
        <v>60</v>
      </c>
      <c r="B35" s="1001" t="s">
        <v>33</v>
      </c>
      <c r="C35" s="1002"/>
      <c r="D35" s="100" t="s">
        <v>26</v>
      </c>
      <c r="E35" s="118">
        <v>58</v>
      </c>
      <c r="F35" s="119">
        <v>58</v>
      </c>
      <c r="G35" s="119">
        <v>57</v>
      </c>
      <c r="H35" s="11">
        <f t="shared" si="0"/>
        <v>98.275862068965509</v>
      </c>
      <c r="I35" s="45">
        <v>56</v>
      </c>
      <c r="J35" s="444">
        <v>0</v>
      </c>
      <c r="K35" s="444">
        <v>0</v>
      </c>
      <c r="L35" s="444">
        <v>0</v>
      </c>
      <c r="M35" s="178">
        <v>0</v>
      </c>
      <c r="N35" s="444">
        <v>0</v>
      </c>
      <c r="O35" s="444">
        <v>58</v>
      </c>
      <c r="P35" s="444">
        <v>58</v>
      </c>
      <c r="Q35" s="444">
        <v>57</v>
      </c>
      <c r="R35" s="11">
        <f t="shared" si="12"/>
        <v>98.275862068965509</v>
      </c>
      <c r="S35" s="444">
        <v>56</v>
      </c>
      <c r="T35" s="444">
        <v>0</v>
      </c>
      <c r="U35" s="444">
        <v>1</v>
      </c>
      <c r="V35" s="444">
        <v>1</v>
      </c>
      <c r="W35" s="178">
        <f t="shared" si="4"/>
        <v>100</v>
      </c>
      <c r="X35" s="444">
        <v>1</v>
      </c>
    </row>
    <row r="36" spans="1:24" s="37" customFormat="1" ht="9.75" x14ac:dyDescent="0.2">
      <c r="A36" s="39" t="s">
        <v>61</v>
      </c>
      <c r="B36" s="1003" t="s">
        <v>27</v>
      </c>
      <c r="C36" s="1004"/>
      <c r="D36" s="101" t="s">
        <v>26</v>
      </c>
      <c r="E36" s="42">
        <v>58</v>
      </c>
      <c r="F36" s="43">
        <v>58</v>
      </c>
      <c r="G36" s="43">
        <v>61</v>
      </c>
      <c r="H36" s="13">
        <f t="shared" si="0"/>
        <v>105.17241379310344</v>
      </c>
      <c r="I36" s="46">
        <v>59</v>
      </c>
      <c r="J36" s="444">
        <v>0</v>
      </c>
      <c r="K36" s="444">
        <v>0</v>
      </c>
      <c r="L36" s="444">
        <v>0</v>
      </c>
      <c r="M36" s="178">
        <v>0</v>
      </c>
      <c r="N36" s="444">
        <v>0</v>
      </c>
      <c r="O36" s="444">
        <v>58</v>
      </c>
      <c r="P36" s="444">
        <v>58</v>
      </c>
      <c r="Q36" s="444">
        <v>61</v>
      </c>
      <c r="R36" s="13">
        <f t="shared" si="12"/>
        <v>105.17241379310344</v>
      </c>
      <c r="S36" s="444">
        <v>59</v>
      </c>
      <c r="T36" s="444">
        <v>0</v>
      </c>
      <c r="U36" s="444">
        <v>1</v>
      </c>
      <c r="V36" s="444">
        <v>1</v>
      </c>
      <c r="W36" s="178">
        <f t="shared" si="4"/>
        <v>100</v>
      </c>
      <c r="X36" s="444">
        <v>1</v>
      </c>
    </row>
    <row r="37" spans="1:24" ht="9.75" x14ac:dyDescent="0.2">
      <c r="W37" s="178"/>
    </row>
  </sheetData>
  <mergeCells count="39">
    <mergeCell ref="A1:X1"/>
    <mergeCell ref="A3:A5"/>
    <mergeCell ref="B3:C5"/>
    <mergeCell ref="D3:D5"/>
    <mergeCell ref="E3:I3"/>
    <mergeCell ref="J3:N3"/>
    <mergeCell ref="O3:S3"/>
    <mergeCell ref="T3:X3"/>
    <mergeCell ref="E4:E5"/>
    <mergeCell ref="F4:H4"/>
    <mergeCell ref="S4:S5"/>
    <mergeCell ref="T4:T5"/>
    <mergeCell ref="U4:W4"/>
    <mergeCell ref="X4:X5"/>
    <mergeCell ref="O4:O5"/>
    <mergeCell ref="P4:R4"/>
    <mergeCell ref="B7:C7"/>
    <mergeCell ref="I4:I5"/>
    <mergeCell ref="J4:J5"/>
    <mergeCell ref="K4:M4"/>
    <mergeCell ref="N4:N5"/>
    <mergeCell ref="B6:C6"/>
    <mergeCell ref="B22:C22"/>
    <mergeCell ref="B8:C8"/>
    <mergeCell ref="B10:C10"/>
    <mergeCell ref="B11:C11"/>
    <mergeCell ref="B12:C12"/>
    <mergeCell ref="B13:C13"/>
    <mergeCell ref="B15:C15"/>
    <mergeCell ref="B16:C16"/>
    <mergeCell ref="B18:C18"/>
    <mergeCell ref="B19:C19"/>
    <mergeCell ref="B20:C20"/>
    <mergeCell ref="B21:C21"/>
    <mergeCell ref="B26:C26"/>
    <mergeCell ref="B29:C29"/>
    <mergeCell ref="B34:C34"/>
    <mergeCell ref="B35:C35"/>
    <mergeCell ref="B36:C36"/>
  </mergeCells>
  <pageMargins left="0.70866141732283472" right="0.70866141732283472" top="0.78740157480314965" bottom="0.78740157480314965" header="0.31496062992125984" footer="0.31496062992125984"/>
  <pageSetup paperSize="9" scale="91" firstPageNumber="95" orientation="landscape" useFirstPageNumber="1"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3"/>
  <sheetViews>
    <sheetView topLeftCell="A56" workbookViewId="0">
      <selection activeCell="A107" sqref="A107:XFD107"/>
    </sheetView>
  </sheetViews>
  <sheetFormatPr defaultRowHeight="12.75" x14ac:dyDescent="0.2"/>
  <cols>
    <col min="1" max="1" width="58" style="240" customWidth="1"/>
    <col min="2" max="2" width="33.5" style="240" customWidth="1"/>
    <col min="3" max="5" width="25.75" style="240" customWidth="1"/>
    <col min="6" max="6" width="22.75" style="240" customWidth="1"/>
    <col min="7" max="7" width="13.25" style="240" customWidth="1"/>
    <col min="8" max="16384" width="10" style="240"/>
  </cols>
  <sheetData>
    <row r="1" spans="1:9" s="425" customFormat="1" ht="18.75" x14ac:dyDescent="0.3">
      <c r="A1" s="425" t="s">
        <v>92</v>
      </c>
      <c r="B1" s="425" t="s">
        <v>83</v>
      </c>
    </row>
    <row r="3" spans="1:9" s="180" customFormat="1" ht="10.5" x14ac:dyDescent="0.15">
      <c r="A3" s="1039" t="s">
        <v>354</v>
      </c>
      <c r="B3" s="1039"/>
      <c r="C3" s="1039"/>
      <c r="D3" s="1039"/>
      <c r="E3" s="1039"/>
      <c r="F3" s="1039"/>
      <c r="G3" s="1039"/>
      <c r="H3" s="1039"/>
      <c r="I3" s="1039"/>
    </row>
    <row r="4" spans="1:9" s="181" customFormat="1" ht="11.25" x14ac:dyDescent="0.2"/>
    <row r="5" spans="1:9" s="182" customFormat="1" ht="9.75" x14ac:dyDescent="0.2">
      <c r="A5" s="1040" t="s">
        <v>93</v>
      </c>
      <c r="B5" s="1041"/>
      <c r="C5" s="420" t="s">
        <v>25</v>
      </c>
      <c r="D5" s="1042" t="s">
        <v>355</v>
      </c>
      <c r="E5" s="1042"/>
      <c r="F5" s="1042"/>
      <c r="G5" s="1042"/>
      <c r="H5" s="1042"/>
      <c r="I5" s="1042"/>
    </row>
    <row r="6" spans="1:9" s="181" customFormat="1" ht="15" customHeight="1" x14ac:dyDescent="0.2">
      <c r="A6" s="1043" t="s">
        <v>356</v>
      </c>
      <c r="B6" s="1043"/>
      <c r="C6" s="183">
        <f>C7+C8</f>
        <v>132486.99</v>
      </c>
      <c r="D6" s="1044"/>
      <c r="E6" s="1045"/>
      <c r="F6" s="1045"/>
      <c r="G6" s="1045"/>
      <c r="H6" s="1045"/>
      <c r="I6" s="1045"/>
    </row>
    <row r="7" spans="1:9" s="181" customFormat="1" ht="15" customHeight="1" x14ac:dyDescent="0.2">
      <c r="A7" s="1046" t="s">
        <v>94</v>
      </c>
      <c r="B7" s="1047"/>
      <c r="C7" s="184">
        <v>14515.45</v>
      </c>
      <c r="D7" s="1212" t="s">
        <v>133</v>
      </c>
      <c r="E7" s="1212"/>
      <c r="F7" s="1212"/>
      <c r="G7" s="1212"/>
      <c r="H7" s="1212"/>
      <c r="I7" s="1212"/>
    </row>
    <row r="8" spans="1:9" s="180" customFormat="1" ht="22.5" customHeight="1" x14ac:dyDescent="0.15">
      <c r="A8" s="1049" t="s">
        <v>95</v>
      </c>
      <c r="B8" s="1050"/>
      <c r="C8" s="185">
        <v>117971.54</v>
      </c>
      <c r="D8" s="1104" t="s">
        <v>134</v>
      </c>
      <c r="E8" s="1104"/>
      <c r="F8" s="1104"/>
      <c r="G8" s="1104"/>
      <c r="H8" s="1104"/>
      <c r="I8" s="1104"/>
    </row>
    <row r="9" spans="1:9" s="180" customFormat="1" ht="15" customHeight="1" x14ac:dyDescent="0.15">
      <c r="A9" s="1049" t="s">
        <v>96</v>
      </c>
      <c r="B9" s="1050"/>
      <c r="C9" s="185">
        <v>0</v>
      </c>
      <c r="D9" s="1051"/>
      <c r="E9" s="1052"/>
      <c r="F9" s="1052"/>
      <c r="G9" s="1052"/>
      <c r="H9" s="1052"/>
      <c r="I9" s="1053"/>
    </row>
    <row r="10" spans="1:9" s="181" customFormat="1" ht="11.25" x14ac:dyDescent="0.2">
      <c r="C10" s="186"/>
    </row>
    <row r="11" spans="1:9" s="181" customFormat="1" ht="11.25" x14ac:dyDescent="0.2">
      <c r="A11" s="1039" t="s">
        <v>359</v>
      </c>
      <c r="B11" s="1039"/>
      <c r="C11" s="1039"/>
      <c r="D11" s="1039"/>
      <c r="E11" s="1039"/>
      <c r="F11" s="1039"/>
      <c r="G11" s="1039"/>
      <c r="H11" s="1039"/>
      <c r="I11" s="1039"/>
    </row>
    <row r="12" spans="1:9" s="181" customFormat="1" ht="11.25" x14ac:dyDescent="0.2">
      <c r="C12" s="186"/>
      <c r="D12" s="187"/>
      <c r="E12" s="187"/>
      <c r="F12" s="187"/>
      <c r="G12" s="187"/>
      <c r="H12" s="187"/>
      <c r="I12" s="187"/>
    </row>
    <row r="13" spans="1:9" s="190" customFormat="1" ht="9.75" x14ac:dyDescent="0.2">
      <c r="A13" s="420" t="s">
        <v>93</v>
      </c>
      <c r="B13" s="420" t="s">
        <v>97</v>
      </c>
      <c r="C13" s="420" t="s">
        <v>25</v>
      </c>
      <c r="D13" s="188"/>
      <c r="E13" s="189"/>
      <c r="F13" s="189"/>
      <c r="G13" s="189"/>
      <c r="H13" s="189"/>
      <c r="I13" s="189"/>
    </row>
    <row r="14" spans="1:9" s="181" customFormat="1" ht="15" customHeight="1" x14ac:dyDescent="0.2">
      <c r="A14" s="191" t="s">
        <v>98</v>
      </c>
      <c r="B14" s="192"/>
      <c r="C14" s="193">
        <v>0</v>
      </c>
      <c r="D14" s="194"/>
      <c r="E14" s="195"/>
      <c r="F14" s="195"/>
      <c r="G14" s="195"/>
      <c r="H14" s="195"/>
      <c r="I14" s="195"/>
    </row>
    <row r="15" spans="1:9" s="181" customFormat="1" ht="15" customHeight="1" x14ac:dyDescent="0.2">
      <c r="A15" s="1037" t="s">
        <v>99</v>
      </c>
      <c r="B15" s="196" t="s">
        <v>100</v>
      </c>
      <c r="C15" s="197">
        <f>C7</f>
        <v>14515.45</v>
      </c>
      <c r="D15" s="198"/>
      <c r="E15" s="199"/>
      <c r="F15" s="199"/>
      <c r="G15" s="199"/>
      <c r="H15" s="199"/>
      <c r="I15" s="199"/>
    </row>
    <row r="16" spans="1:9" s="181" customFormat="1" ht="15" customHeight="1" x14ac:dyDescent="0.2">
      <c r="A16" s="1038"/>
      <c r="B16" s="200" t="s">
        <v>100</v>
      </c>
      <c r="C16" s="201">
        <f>C8</f>
        <v>117971.54</v>
      </c>
      <c r="D16" s="198"/>
      <c r="E16" s="199"/>
      <c r="F16" s="199"/>
      <c r="G16" s="199"/>
      <c r="H16" s="199"/>
      <c r="I16" s="199"/>
    </row>
    <row r="17" spans="1:9" s="181" customFormat="1" ht="15" customHeight="1" x14ac:dyDescent="0.2">
      <c r="A17" s="1038"/>
      <c r="B17" s="200" t="s">
        <v>101</v>
      </c>
      <c r="C17" s="202">
        <v>0</v>
      </c>
      <c r="D17" s="203"/>
      <c r="E17" s="204"/>
      <c r="F17" s="204"/>
      <c r="G17" s="204"/>
      <c r="H17" s="204"/>
      <c r="I17" s="204"/>
    </row>
    <row r="18" spans="1:9" s="181" customFormat="1" ht="15" customHeight="1" x14ac:dyDescent="0.2">
      <c r="A18" s="421" t="s">
        <v>356</v>
      </c>
      <c r="B18" s="205"/>
      <c r="C18" s="206">
        <f>SUM(C14:C17)</f>
        <v>132486.99</v>
      </c>
      <c r="D18" s="207"/>
      <c r="E18" s="207"/>
      <c r="F18" s="207"/>
      <c r="G18" s="207"/>
      <c r="H18" s="207"/>
      <c r="I18" s="207"/>
    </row>
    <row r="19" spans="1:9" s="209" customFormat="1" ht="11.25" x14ac:dyDescent="0.2">
      <c r="A19" s="208"/>
      <c r="C19" s="210"/>
      <c r="D19" s="211"/>
      <c r="E19" s="211"/>
      <c r="F19" s="211"/>
      <c r="G19" s="211"/>
      <c r="H19" s="211"/>
      <c r="I19" s="211"/>
    </row>
    <row r="20" spans="1:9" s="181" customFormat="1" ht="11.25" x14ac:dyDescent="0.2">
      <c r="A20" s="1039" t="s">
        <v>360</v>
      </c>
      <c r="B20" s="1039"/>
      <c r="C20" s="1039"/>
      <c r="D20" s="1039"/>
      <c r="E20" s="1039"/>
      <c r="F20" s="1039"/>
      <c r="G20" s="1039"/>
      <c r="H20" s="1039"/>
      <c r="I20" s="1039"/>
    </row>
    <row r="21" spans="1:9" s="181" customFormat="1" ht="11.25" x14ac:dyDescent="0.2">
      <c r="C21" s="186"/>
    </row>
    <row r="22" spans="1:9" s="212" customFormat="1" ht="9.75" x14ac:dyDescent="0.2">
      <c r="A22" s="420" t="s">
        <v>97</v>
      </c>
      <c r="B22" s="420" t="s">
        <v>361</v>
      </c>
      <c r="C22" s="423" t="s">
        <v>362</v>
      </c>
      <c r="D22" s="420" t="s">
        <v>363</v>
      </c>
      <c r="E22" s="420" t="s">
        <v>364</v>
      </c>
      <c r="F22" s="1042" t="s">
        <v>365</v>
      </c>
      <c r="G22" s="1042"/>
      <c r="H22" s="1042"/>
      <c r="I22" s="1042"/>
    </row>
    <row r="23" spans="1:9" s="181" customFormat="1" ht="44.25" customHeight="1" x14ac:dyDescent="0.2">
      <c r="A23" s="213" t="s">
        <v>102</v>
      </c>
      <c r="B23" s="650">
        <f>209755.92+14844.62</f>
        <v>224600.54</v>
      </c>
      <c r="C23" s="214">
        <f>140966.72+712363.62</f>
        <v>853330.34</v>
      </c>
      <c r="D23" s="214">
        <f>87412+18088</f>
        <v>105500</v>
      </c>
      <c r="E23" s="214">
        <f>B23+C23-D23</f>
        <v>972430.87999999989</v>
      </c>
      <c r="F23" s="1054" t="s">
        <v>548</v>
      </c>
      <c r="G23" s="1055"/>
      <c r="H23" s="1055"/>
      <c r="I23" s="1056"/>
    </row>
    <row r="24" spans="1:9" s="181" customFormat="1" ht="11.25" x14ac:dyDescent="0.2">
      <c r="A24" s="196" t="s">
        <v>103</v>
      </c>
      <c r="B24" s="651">
        <v>122297.34</v>
      </c>
      <c r="C24" s="215">
        <v>1450565</v>
      </c>
      <c r="D24" s="215">
        <v>1176028</v>
      </c>
      <c r="E24" s="215">
        <f t="shared" ref="E24:E26" si="0">B24+C24-D24</f>
        <v>396834.34000000008</v>
      </c>
      <c r="F24" s="1057" t="s">
        <v>135</v>
      </c>
      <c r="G24" s="1058"/>
      <c r="H24" s="1058"/>
      <c r="I24" s="1059"/>
    </row>
    <row r="25" spans="1:9" s="181" customFormat="1" ht="11.25" x14ac:dyDescent="0.2">
      <c r="A25" s="196" t="s">
        <v>101</v>
      </c>
      <c r="B25" s="651">
        <v>91463.72</v>
      </c>
      <c r="C25" s="215">
        <v>20000</v>
      </c>
      <c r="D25" s="215">
        <v>12000</v>
      </c>
      <c r="E25" s="215">
        <f t="shared" si="0"/>
        <v>99463.72</v>
      </c>
      <c r="F25" s="1057" t="s">
        <v>135</v>
      </c>
      <c r="G25" s="1058"/>
      <c r="H25" s="1058"/>
      <c r="I25" s="1059"/>
    </row>
    <row r="26" spans="1:9" s="181" customFormat="1" ht="44.25" customHeight="1" x14ac:dyDescent="0.2">
      <c r="A26" s="200" t="s">
        <v>104</v>
      </c>
      <c r="B26" s="652">
        <v>164087.01</v>
      </c>
      <c r="C26" s="216">
        <v>359141.36</v>
      </c>
      <c r="D26" s="216">
        <v>277103</v>
      </c>
      <c r="E26" s="215">
        <f t="shared" si="0"/>
        <v>246125.37</v>
      </c>
      <c r="F26" s="1209" t="s">
        <v>549</v>
      </c>
      <c r="G26" s="1210"/>
      <c r="H26" s="1210"/>
      <c r="I26" s="1211"/>
    </row>
    <row r="27" spans="1:9" s="180" customFormat="1" ht="10.5" x14ac:dyDescent="0.15">
      <c r="A27" s="217" t="s">
        <v>34</v>
      </c>
      <c r="B27" s="183">
        <f>SUM(B23:B26)</f>
        <v>602448.61</v>
      </c>
      <c r="C27" s="183">
        <f t="shared" ref="C27:E27" si="1">SUM(C23:C26)</f>
        <v>2683036.6999999997</v>
      </c>
      <c r="D27" s="183">
        <f t="shared" si="1"/>
        <v>1570631</v>
      </c>
      <c r="E27" s="183">
        <f t="shared" si="1"/>
        <v>1714854.31</v>
      </c>
      <c r="F27" s="1063"/>
      <c r="G27" s="1063"/>
      <c r="H27" s="1063"/>
      <c r="I27" s="1064"/>
    </row>
    <row r="28" spans="1:9" s="181" customFormat="1" ht="11.25" x14ac:dyDescent="0.2">
      <c r="C28" s="186"/>
    </row>
    <row r="29" spans="1:9" s="181" customFormat="1" ht="11.25" x14ac:dyDescent="0.2">
      <c r="A29" s="1039" t="s">
        <v>370</v>
      </c>
      <c r="B29" s="1039"/>
      <c r="C29" s="1039"/>
      <c r="D29" s="1039"/>
      <c r="E29" s="1039"/>
      <c r="F29" s="1039"/>
      <c r="G29" s="1039"/>
      <c r="H29" s="1039"/>
      <c r="I29" s="1039"/>
    </row>
    <row r="30" spans="1:9" s="181" customFormat="1" ht="11.25" x14ac:dyDescent="0.2">
      <c r="C30" s="186"/>
    </row>
    <row r="31" spans="1:9" s="181" customFormat="1" ht="11.25" x14ac:dyDescent="0.2">
      <c r="A31" s="420" t="s">
        <v>105</v>
      </c>
      <c r="B31" s="420" t="s">
        <v>25</v>
      </c>
      <c r="C31" s="423" t="s">
        <v>106</v>
      </c>
      <c r="D31" s="1042" t="s">
        <v>107</v>
      </c>
      <c r="E31" s="1042"/>
      <c r="F31" s="1042"/>
      <c r="G31" s="1042"/>
      <c r="H31" s="1042"/>
      <c r="I31" s="1042"/>
    </row>
    <row r="32" spans="1:9" s="181" customFormat="1" ht="15" customHeight="1" x14ac:dyDescent="0.2">
      <c r="A32" s="218" t="s">
        <v>136</v>
      </c>
      <c r="B32" s="214"/>
      <c r="C32" s="219"/>
      <c r="D32" s="1065"/>
      <c r="E32" s="1066"/>
      <c r="F32" s="1066"/>
      <c r="G32" s="1066"/>
      <c r="H32" s="1066"/>
      <c r="I32" s="1067"/>
    </row>
    <row r="33" spans="1:9" s="180" customFormat="1" ht="11.25" x14ac:dyDescent="0.2">
      <c r="A33" s="217" t="s">
        <v>34</v>
      </c>
      <c r="B33" s="183">
        <f>SUM(B32:B32)</f>
        <v>0</v>
      </c>
      <c r="C33" s="1068"/>
      <c r="D33" s="1069"/>
      <c r="E33" s="1069"/>
      <c r="F33" s="1069"/>
      <c r="G33" s="1069"/>
      <c r="H33" s="1069"/>
      <c r="I33" s="1070"/>
    </row>
    <row r="34" spans="1:9" s="181" customFormat="1" ht="11.25" x14ac:dyDescent="0.2">
      <c r="C34" s="186"/>
    </row>
    <row r="35" spans="1:9" s="181" customFormat="1" ht="11.25" x14ac:dyDescent="0.2">
      <c r="A35" s="1039" t="s">
        <v>372</v>
      </c>
      <c r="B35" s="1039"/>
      <c r="C35" s="1039"/>
      <c r="D35" s="1039"/>
      <c r="E35" s="1039"/>
      <c r="F35" s="1039"/>
      <c r="G35" s="1039"/>
      <c r="H35" s="1039"/>
      <c r="I35" s="1039"/>
    </row>
    <row r="36" spans="1:9" s="181" customFormat="1" ht="11.25" x14ac:dyDescent="0.2">
      <c r="C36" s="186"/>
    </row>
    <row r="37" spans="1:9" s="181" customFormat="1" ht="11.25" x14ac:dyDescent="0.2">
      <c r="A37" s="420" t="s">
        <v>105</v>
      </c>
      <c r="B37" s="420" t="s">
        <v>25</v>
      </c>
      <c r="C37" s="423" t="s">
        <v>106</v>
      </c>
      <c r="D37" s="1071" t="s">
        <v>107</v>
      </c>
      <c r="E37" s="1071"/>
      <c r="F37" s="1071"/>
      <c r="G37" s="1071"/>
      <c r="H37" s="1071"/>
      <c r="I37" s="1072"/>
    </row>
    <row r="38" spans="1:9" s="181" customFormat="1" ht="15" customHeight="1" x14ac:dyDescent="0.2">
      <c r="A38" s="218" t="s">
        <v>136</v>
      </c>
      <c r="B38" s="214"/>
      <c r="C38" s="219"/>
      <c r="D38" s="1057"/>
      <c r="E38" s="1073"/>
      <c r="F38" s="1073"/>
      <c r="G38" s="1073"/>
      <c r="H38" s="1073"/>
      <c r="I38" s="1074"/>
    </row>
    <row r="39" spans="1:9" s="180" customFormat="1" ht="10.5" x14ac:dyDescent="0.15">
      <c r="A39" s="217" t="s">
        <v>34</v>
      </c>
      <c r="B39" s="183">
        <f>SUM(B38:B38)</f>
        <v>0</v>
      </c>
      <c r="C39" s="1075"/>
      <c r="D39" s="1076"/>
      <c r="E39" s="1076"/>
      <c r="F39" s="1076"/>
      <c r="G39" s="1076"/>
      <c r="H39" s="1076"/>
      <c r="I39" s="1076"/>
    </row>
    <row r="40" spans="1:9" s="181" customFormat="1" ht="11.25" x14ac:dyDescent="0.2">
      <c r="C40" s="186"/>
    </row>
    <row r="41" spans="1:9" s="181" customFormat="1" ht="11.25" x14ac:dyDescent="0.2">
      <c r="A41" s="1039" t="s">
        <v>374</v>
      </c>
      <c r="B41" s="1039"/>
      <c r="C41" s="1039"/>
      <c r="D41" s="1039"/>
      <c r="E41" s="1039"/>
      <c r="F41" s="1039"/>
      <c r="G41" s="1039"/>
      <c r="H41" s="1039"/>
      <c r="I41" s="1039"/>
    </row>
    <row r="42" spans="1:9" s="181" customFormat="1" ht="11.25" x14ac:dyDescent="0.2">
      <c r="C42" s="186"/>
    </row>
    <row r="43" spans="1:9" s="181" customFormat="1" ht="11.25" x14ac:dyDescent="0.2">
      <c r="A43" s="420" t="s">
        <v>25</v>
      </c>
      <c r="B43" s="423" t="s">
        <v>375</v>
      </c>
      <c r="C43" s="1077" t="s">
        <v>108</v>
      </c>
      <c r="D43" s="1077"/>
      <c r="E43" s="1077"/>
      <c r="F43" s="1077"/>
      <c r="G43" s="1077"/>
      <c r="H43" s="1077"/>
      <c r="I43" s="1078"/>
    </row>
    <row r="44" spans="1:9" s="181" customFormat="1" ht="11.25" x14ac:dyDescent="0.2">
      <c r="A44" s="228" t="s">
        <v>550</v>
      </c>
      <c r="B44" s="228">
        <v>15390</v>
      </c>
      <c r="C44" s="1079" t="s">
        <v>551</v>
      </c>
      <c r="D44" s="1079"/>
      <c r="E44" s="1079"/>
      <c r="F44" s="1079"/>
      <c r="G44" s="1079"/>
      <c r="H44" s="1079"/>
      <c r="I44" s="1080"/>
    </row>
    <row r="45" spans="1:9" s="180" customFormat="1" ht="10.5" x14ac:dyDescent="0.15">
      <c r="A45" s="183"/>
      <c r="B45" s="183">
        <f>SUM(B44)</f>
        <v>15390</v>
      </c>
      <c r="C45" s="1081" t="s">
        <v>34</v>
      </c>
      <c r="D45" s="1081"/>
      <c r="E45" s="1081"/>
      <c r="F45" s="1081"/>
      <c r="G45" s="1081"/>
      <c r="H45" s="1081"/>
      <c r="I45" s="1082"/>
    </row>
    <row r="46" spans="1:9" s="181" customFormat="1" ht="11.25" x14ac:dyDescent="0.2">
      <c r="C46" s="186"/>
    </row>
    <row r="47" spans="1:9" s="181" customFormat="1" ht="11.25" x14ac:dyDescent="0.2">
      <c r="A47" s="1039" t="s">
        <v>377</v>
      </c>
      <c r="B47" s="1039"/>
      <c r="C47" s="1039"/>
      <c r="D47" s="1039"/>
      <c r="E47" s="1039"/>
      <c r="F47" s="1039"/>
      <c r="G47" s="1039"/>
      <c r="H47" s="1039"/>
      <c r="I47" s="1039"/>
    </row>
    <row r="48" spans="1:9" s="209" customFormat="1" ht="11.25" x14ac:dyDescent="0.2">
      <c r="A48" s="412"/>
      <c r="B48" s="412"/>
      <c r="C48" s="412"/>
      <c r="D48" s="412"/>
      <c r="E48" s="412"/>
      <c r="F48" s="412"/>
      <c r="G48" s="412"/>
      <c r="H48" s="412"/>
      <c r="I48" s="412"/>
    </row>
    <row r="49" spans="1:9" s="209" customFormat="1" ht="11.25" x14ac:dyDescent="0.2">
      <c r="A49" s="412" t="s">
        <v>329</v>
      </c>
      <c r="B49" s="412"/>
      <c r="C49" s="412"/>
      <c r="D49" s="412"/>
      <c r="E49" s="412"/>
      <c r="F49" s="412"/>
      <c r="G49" s="412"/>
      <c r="H49" s="412"/>
      <c r="I49" s="412"/>
    </row>
    <row r="50" spans="1:9" s="209" customFormat="1" ht="42" x14ac:dyDescent="0.2">
      <c r="A50" s="1201" t="s">
        <v>114</v>
      </c>
      <c r="B50" s="1202"/>
      <c r="C50" s="382" t="s">
        <v>115</v>
      </c>
      <c r="D50" s="382" t="s">
        <v>116</v>
      </c>
      <c r="E50" s="382" t="s">
        <v>117</v>
      </c>
      <c r="F50" s="382" t="s">
        <v>118</v>
      </c>
      <c r="G50" s="382" t="s">
        <v>119</v>
      </c>
      <c r="H50" s="412"/>
      <c r="I50" s="412"/>
    </row>
    <row r="51" spans="1:9" s="209" customFormat="1" ht="12" x14ac:dyDescent="0.2">
      <c r="A51" s="1203" t="s">
        <v>1309</v>
      </c>
      <c r="B51" s="1204"/>
      <c r="C51" s="988">
        <v>6720300</v>
      </c>
      <c r="D51" s="992">
        <v>51000</v>
      </c>
      <c r="E51" s="993"/>
      <c r="F51" s="979">
        <v>42878</v>
      </c>
      <c r="G51" s="979">
        <v>42970</v>
      </c>
      <c r="H51" s="412"/>
      <c r="I51" s="412"/>
    </row>
    <row r="52" spans="1:9" s="209" customFormat="1" ht="12" x14ac:dyDescent="0.2">
      <c r="A52" s="1197" t="s">
        <v>1309</v>
      </c>
      <c r="B52" s="1198"/>
      <c r="C52" s="989">
        <v>5010341</v>
      </c>
      <c r="D52" s="994"/>
      <c r="E52" s="992">
        <v>51000</v>
      </c>
      <c r="F52" s="980">
        <v>42878</v>
      </c>
      <c r="G52" s="980">
        <v>42970</v>
      </c>
      <c r="H52" s="412"/>
      <c r="I52" s="412"/>
    </row>
    <row r="53" spans="1:9" s="209" customFormat="1" ht="12" x14ac:dyDescent="0.2">
      <c r="A53" s="1205" t="s">
        <v>1310</v>
      </c>
      <c r="B53" s="1206"/>
      <c r="C53" s="990">
        <v>670300</v>
      </c>
      <c r="D53" s="995">
        <v>480000</v>
      </c>
      <c r="E53" s="992"/>
      <c r="F53" s="982">
        <v>42892</v>
      </c>
      <c r="G53" s="982">
        <v>43069</v>
      </c>
      <c r="H53" s="412"/>
      <c r="I53" s="412"/>
    </row>
    <row r="54" spans="1:9" s="209" customFormat="1" ht="12" x14ac:dyDescent="0.2">
      <c r="A54" s="1205" t="s">
        <v>1310</v>
      </c>
      <c r="B54" s="1206"/>
      <c r="C54" s="991">
        <v>5110310</v>
      </c>
      <c r="D54" s="992"/>
      <c r="E54" s="992">
        <v>480000</v>
      </c>
      <c r="F54" s="980">
        <v>42892</v>
      </c>
      <c r="G54" s="982">
        <v>42892</v>
      </c>
      <c r="H54" s="412"/>
      <c r="I54" s="412"/>
    </row>
    <row r="55" spans="1:9" s="209" customFormat="1" ht="12" x14ac:dyDescent="0.2">
      <c r="A55" s="1207" t="s">
        <v>1311</v>
      </c>
      <c r="B55" s="1208"/>
      <c r="C55" s="990" t="s">
        <v>1312</v>
      </c>
      <c r="D55" s="992"/>
      <c r="E55" s="992">
        <v>-91000</v>
      </c>
      <c r="F55" s="982">
        <v>43100</v>
      </c>
      <c r="G55" s="982">
        <v>43100</v>
      </c>
      <c r="H55" s="412"/>
      <c r="I55" s="412"/>
    </row>
    <row r="56" spans="1:9" s="209" customFormat="1" ht="12" x14ac:dyDescent="0.2">
      <c r="A56" s="1197" t="s">
        <v>1313</v>
      </c>
      <c r="B56" s="1198"/>
      <c r="C56" s="989">
        <v>5490320</v>
      </c>
      <c r="D56" s="994"/>
      <c r="E56" s="992">
        <v>25100</v>
      </c>
      <c r="F56" s="980">
        <v>42916</v>
      </c>
      <c r="G56" s="980">
        <v>42916</v>
      </c>
      <c r="H56" s="412"/>
      <c r="I56" s="412"/>
    </row>
    <row r="57" spans="1:9" s="209" customFormat="1" ht="12" x14ac:dyDescent="0.2">
      <c r="A57" s="1197" t="s">
        <v>1314</v>
      </c>
      <c r="B57" s="1198"/>
      <c r="C57" s="989" t="s">
        <v>1315</v>
      </c>
      <c r="D57" s="994"/>
      <c r="E57" s="992">
        <f>448000-51000</f>
        <v>397000</v>
      </c>
      <c r="F57" s="980">
        <v>43100</v>
      </c>
      <c r="G57" s="980">
        <v>43100</v>
      </c>
      <c r="H57" s="412"/>
      <c r="I57" s="412"/>
    </row>
    <row r="58" spans="1:9" s="209" customFormat="1" ht="12" x14ac:dyDescent="0.2">
      <c r="A58" s="1197" t="s">
        <v>1316</v>
      </c>
      <c r="B58" s="1198"/>
      <c r="C58" s="989" t="s">
        <v>1317</v>
      </c>
      <c r="D58" s="994"/>
      <c r="E58" s="992">
        <v>-100000</v>
      </c>
      <c r="F58" s="980">
        <v>43100</v>
      </c>
      <c r="G58" s="980">
        <v>43100</v>
      </c>
      <c r="H58" s="412"/>
      <c r="I58" s="412"/>
    </row>
    <row r="59" spans="1:9" s="209" customFormat="1" ht="12" x14ac:dyDescent="0.2">
      <c r="A59" s="1197" t="s">
        <v>1318</v>
      </c>
      <c r="B59" s="1198"/>
      <c r="C59" s="989" t="s">
        <v>1319</v>
      </c>
      <c r="D59" s="994"/>
      <c r="E59" s="992">
        <f>633000-480000</f>
        <v>153000</v>
      </c>
      <c r="F59" s="980">
        <v>43100</v>
      </c>
      <c r="G59" s="980">
        <v>43100</v>
      </c>
      <c r="H59" s="412"/>
      <c r="I59" s="412"/>
    </row>
    <row r="60" spans="1:9" s="209" customFormat="1" ht="12" x14ac:dyDescent="0.2">
      <c r="A60" s="1197" t="s">
        <v>1320</v>
      </c>
      <c r="B60" s="1198"/>
      <c r="C60" s="989" t="s">
        <v>1321</v>
      </c>
      <c r="D60" s="994"/>
      <c r="E60" s="992">
        <v>-4300</v>
      </c>
      <c r="F60" s="980">
        <v>43100</v>
      </c>
      <c r="G60" s="980">
        <v>43100</v>
      </c>
      <c r="H60" s="412"/>
      <c r="I60" s="412"/>
    </row>
    <row r="61" spans="1:9" s="209" customFormat="1" ht="12" x14ac:dyDescent="0.2">
      <c r="A61" s="1197" t="s">
        <v>1322</v>
      </c>
      <c r="B61" s="1198"/>
      <c r="C61" s="990">
        <v>5130313</v>
      </c>
      <c r="D61" s="995"/>
      <c r="E61" s="992">
        <v>-300</v>
      </c>
      <c r="F61" s="980">
        <v>43100</v>
      </c>
      <c r="G61" s="980">
        <v>43100</v>
      </c>
      <c r="H61" s="412"/>
      <c r="I61" s="412"/>
    </row>
    <row r="62" spans="1:9" s="209" customFormat="1" ht="48" x14ac:dyDescent="0.2">
      <c r="A62" s="1207" t="s">
        <v>1323</v>
      </c>
      <c r="B62" s="1218"/>
      <c r="C62" s="991" t="s">
        <v>1324</v>
      </c>
      <c r="D62" s="992"/>
      <c r="E62" s="992">
        <f>15172+5390</f>
        <v>20562</v>
      </c>
      <c r="F62" s="984">
        <v>43100</v>
      </c>
      <c r="G62" s="984">
        <v>43100</v>
      </c>
      <c r="H62" s="412"/>
      <c r="I62" s="412"/>
    </row>
    <row r="63" spans="1:9" s="209" customFormat="1" ht="12" x14ac:dyDescent="0.2">
      <c r="A63" s="1197" t="s">
        <v>1325</v>
      </c>
      <c r="B63" s="1198"/>
      <c r="C63" s="989" t="s">
        <v>1326</v>
      </c>
      <c r="D63" s="994"/>
      <c r="E63" s="992">
        <v>-370612</v>
      </c>
      <c r="F63" s="980">
        <v>43100</v>
      </c>
      <c r="G63" s="980">
        <v>43100</v>
      </c>
      <c r="H63" s="412"/>
      <c r="I63" s="412"/>
    </row>
    <row r="64" spans="1:9" s="209" customFormat="1" ht="12" x14ac:dyDescent="0.2">
      <c r="A64" s="1197" t="s">
        <v>1327</v>
      </c>
      <c r="B64" s="1198"/>
      <c r="C64" s="989">
        <v>5580300</v>
      </c>
      <c r="D64" s="994"/>
      <c r="E64" s="992">
        <v>240000</v>
      </c>
      <c r="F64" s="980">
        <v>43100</v>
      </c>
      <c r="G64" s="980">
        <v>43100</v>
      </c>
      <c r="H64" s="412"/>
      <c r="I64" s="412"/>
    </row>
    <row r="65" spans="1:9" s="209" customFormat="1" ht="12" x14ac:dyDescent="0.2">
      <c r="A65" s="1197" t="s">
        <v>1328</v>
      </c>
      <c r="B65" s="1198"/>
      <c r="C65" s="989" t="s">
        <v>1329</v>
      </c>
      <c r="D65" s="994">
        <v>269450</v>
      </c>
      <c r="E65" s="992"/>
      <c r="F65" s="980">
        <v>43100</v>
      </c>
      <c r="G65" s="980">
        <v>43100</v>
      </c>
      <c r="H65" s="412"/>
      <c r="I65" s="412"/>
    </row>
    <row r="66" spans="1:9" s="209" customFormat="1" ht="12" x14ac:dyDescent="0.2">
      <c r="A66" s="1199" t="s">
        <v>132</v>
      </c>
      <c r="B66" s="1200"/>
      <c r="C66" s="390"/>
      <c r="D66" s="391">
        <f>SUM(D51:D65)</f>
        <v>800450</v>
      </c>
      <c r="E66" s="391">
        <f>SUM(E51:E64)</f>
        <v>800450</v>
      </c>
      <c r="F66" s="1216"/>
      <c r="G66" s="1217"/>
      <c r="H66" s="412"/>
      <c r="I66" s="412"/>
    </row>
    <row r="67" spans="1:9" s="209" customFormat="1" ht="11.25" x14ac:dyDescent="0.2">
      <c r="A67" s="412"/>
      <c r="B67" s="412"/>
      <c r="C67" s="412"/>
      <c r="D67" s="412"/>
      <c r="E67" s="412"/>
      <c r="F67" s="412"/>
      <c r="G67" s="412"/>
      <c r="H67" s="412"/>
      <c r="I67" s="412"/>
    </row>
    <row r="68" spans="1:9" s="209" customFormat="1" ht="11.25" x14ac:dyDescent="0.2">
      <c r="A68" s="412" t="s">
        <v>38</v>
      </c>
      <c r="B68" s="412"/>
      <c r="C68" s="412"/>
      <c r="D68" s="412"/>
      <c r="E68" s="412"/>
      <c r="F68" s="412"/>
      <c r="G68" s="412"/>
      <c r="H68" s="412"/>
      <c r="I68" s="412"/>
    </row>
    <row r="69" spans="1:9" s="209" customFormat="1" ht="42" x14ac:dyDescent="0.2">
      <c r="A69" s="1201" t="s">
        <v>114</v>
      </c>
      <c r="B69" s="1202"/>
      <c r="C69" s="382" t="s">
        <v>115</v>
      </c>
      <c r="D69" s="382" t="s">
        <v>116</v>
      </c>
      <c r="E69" s="382" t="s">
        <v>117</v>
      </c>
      <c r="F69" s="382" t="s">
        <v>118</v>
      </c>
      <c r="G69" s="382" t="s">
        <v>119</v>
      </c>
      <c r="H69" s="412"/>
      <c r="I69" s="412"/>
    </row>
    <row r="70" spans="1:9" s="209" customFormat="1" ht="15" customHeight="1" x14ac:dyDescent="0.2">
      <c r="A70" s="1203" t="s">
        <v>1330</v>
      </c>
      <c r="B70" s="1204"/>
      <c r="C70" s="985" t="s">
        <v>1331</v>
      </c>
      <c r="D70" s="992"/>
      <c r="E70" s="800">
        <v>12000</v>
      </c>
      <c r="F70" s="979">
        <v>43100</v>
      </c>
      <c r="G70" s="979">
        <v>43100</v>
      </c>
      <c r="H70" s="412"/>
      <c r="I70" s="412"/>
    </row>
    <row r="71" spans="1:9" s="209" customFormat="1" ht="12" x14ac:dyDescent="0.2">
      <c r="A71" s="1197" t="s">
        <v>1332</v>
      </c>
      <c r="B71" s="1198"/>
      <c r="C71" s="981" t="s">
        <v>1333</v>
      </c>
      <c r="D71" s="992"/>
      <c r="E71" s="800">
        <v>-17000</v>
      </c>
      <c r="F71" s="979">
        <v>43100</v>
      </c>
      <c r="G71" s="979">
        <v>43100</v>
      </c>
      <c r="H71" s="412"/>
      <c r="I71" s="412"/>
    </row>
    <row r="72" spans="1:9" s="209" customFormat="1" ht="16.5" customHeight="1" x14ac:dyDescent="0.2">
      <c r="A72" s="1197" t="s">
        <v>1334</v>
      </c>
      <c r="B72" s="1198"/>
      <c r="C72" s="987" t="s">
        <v>1335</v>
      </c>
      <c r="D72" s="992"/>
      <c r="E72" s="800">
        <v>6000</v>
      </c>
      <c r="F72" s="979">
        <v>43100</v>
      </c>
      <c r="G72" s="979">
        <v>43100</v>
      </c>
      <c r="H72" s="412"/>
      <c r="I72" s="412"/>
    </row>
    <row r="73" spans="1:9" s="209" customFormat="1" ht="36" x14ac:dyDescent="0.2">
      <c r="A73" s="1205" t="s">
        <v>1336</v>
      </c>
      <c r="B73" s="1206"/>
      <c r="C73" s="981" t="s">
        <v>1337</v>
      </c>
      <c r="D73" s="992"/>
      <c r="E73" s="800">
        <v>118500</v>
      </c>
      <c r="F73" s="979">
        <v>43100</v>
      </c>
      <c r="G73" s="979">
        <v>43100</v>
      </c>
      <c r="H73" s="412"/>
      <c r="I73" s="412"/>
    </row>
    <row r="74" spans="1:9" s="209" customFormat="1" ht="12" x14ac:dyDescent="0.2">
      <c r="A74" s="1205" t="s">
        <v>1338</v>
      </c>
      <c r="B74" s="1206"/>
      <c r="C74" s="981" t="s">
        <v>1339</v>
      </c>
      <c r="D74" s="992">
        <v>32000</v>
      </c>
      <c r="E74" s="800"/>
      <c r="F74" s="979">
        <v>43100</v>
      </c>
      <c r="G74" s="979">
        <v>43100</v>
      </c>
      <c r="H74" s="412"/>
      <c r="I74" s="412"/>
    </row>
    <row r="75" spans="1:9" s="209" customFormat="1" ht="12" x14ac:dyDescent="0.2">
      <c r="A75" s="1205" t="s">
        <v>1340</v>
      </c>
      <c r="B75" s="1206"/>
      <c r="C75" s="981" t="s">
        <v>1341</v>
      </c>
      <c r="D75" s="992">
        <v>110000</v>
      </c>
      <c r="E75" s="800"/>
      <c r="F75" s="979">
        <v>43100</v>
      </c>
      <c r="G75" s="979">
        <v>43100</v>
      </c>
      <c r="H75" s="412"/>
      <c r="I75" s="412"/>
    </row>
    <row r="76" spans="1:9" s="209" customFormat="1" ht="12" x14ac:dyDescent="0.2">
      <c r="A76" s="1207" t="s">
        <v>1342</v>
      </c>
      <c r="B76" s="1218"/>
      <c r="C76" s="983" t="s">
        <v>1343</v>
      </c>
      <c r="D76" s="978"/>
      <c r="E76" s="986">
        <v>62000</v>
      </c>
      <c r="F76" s="979">
        <v>43100</v>
      </c>
      <c r="G76" s="979">
        <v>43100</v>
      </c>
      <c r="H76" s="412"/>
      <c r="I76" s="412"/>
    </row>
    <row r="77" spans="1:9" s="209" customFormat="1" ht="12" x14ac:dyDescent="0.2">
      <c r="A77" s="1199" t="s">
        <v>132</v>
      </c>
      <c r="B77" s="1200"/>
      <c r="C77" s="390"/>
      <c r="D77" s="391">
        <f>SUM(D67:D76)</f>
        <v>142000</v>
      </c>
      <c r="E77" s="391">
        <f>SUM(E70:E76)</f>
        <v>181500</v>
      </c>
      <c r="F77" s="1216"/>
      <c r="G77" s="1217"/>
      <c r="H77" s="412"/>
      <c r="I77" s="412"/>
    </row>
    <row r="78" spans="1:9" s="181" customFormat="1" ht="11.25" x14ac:dyDescent="0.2">
      <c r="A78" s="426"/>
      <c r="B78" s="426"/>
      <c r="C78" s="237"/>
      <c r="D78" s="237"/>
      <c r="E78" s="238"/>
    </row>
    <row r="79" spans="1:9" s="181" customFormat="1" ht="11.25" x14ac:dyDescent="0.2">
      <c r="A79" s="1083" t="s">
        <v>397</v>
      </c>
      <c r="B79" s="1083"/>
      <c r="C79" s="1083"/>
      <c r="D79" s="1083"/>
      <c r="E79" s="1083"/>
      <c r="F79" s="1083"/>
      <c r="G79" s="1083"/>
      <c r="H79" s="1083"/>
      <c r="I79" s="1083"/>
    </row>
    <row r="80" spans="1:9" s="181" customFormat="1" ht="11.25" x14ac:dyDescent="0.2"/>
    <row r="81" spans="1:9" s="181" customFormat="1" ht="25.5" customHeight="1" x14ac:dyDescent="0.2">
      <c r="A81" s="1213" t="s">
        <v>552</v>
      </c>
      <c r="B81" s="1214"/>
      <c r="C81" s="1214"/>
      <c r="D81" s="1214"/>
      <c r="E81" s="1214"/>
      <c r="F81" s="1214"/>
      <c r="G81" s="1214"/>
      <c r="H81" s="1214"/>
      <c r="I81" s="1215"/>
    </row>
    <row r="82" spans="1:9" s="181" customFormat="1" ht="0.75" customHeight="1" x14ac:dyDescent="0.2">
      <c r="A82" s="1213" t="s">
        <v>553</v>
      </c>
      <c r="B82" s="1214"/>
      <c r="C82" s="1214"/>
      <c r="D82" s="1214"/>
      <c r="E82" s="1214"/>
      <c r="F82" s="1214"/>
      <c r="G82" s="1214"/>
      <c r="H82" s="1214"/>
      <c r="I82" s="1215"/>
    </row>
    <row r="83" spans="1:9" s="181" customFormat="1" ht="11.25" hidden="1" x14ac:dyDescent="0.2">
      <c r="A83" s="1034"/>
      <c r="B83" s="1035"/>
      <c r="C83" s="1035"/>
      <c r="D83" s="1035"/>
      <c r="E83" s="1035"/>
      <c r="F83" s="1035"/>
      <c r="G83" s="1035"/>
      <c r="H83" s="1035"/>
      <c r="I83" s="1036"/>
    </row>
    <row r="84" spans="1:9" s="180" customFormat="1" ht="11.25" x14ac:dyDescent="0.15">
      <c r="A84" s="1213" t="s">
        <v>554</v>
      </c>
      <c r="B84" s="1214"/>
      <c r="C84" s="1214"/>
      <c r="D84" s="1214"/>
      <c r="E84" s="1214"/>
      <c r="F84" s="1214"/>
      <c r="G84" s="1214"/>
      <c r="H84" s="1214"/>
      <c r="I84" s="1215"/>
    </row>
    <row r="85" spans="1:9" s="181" customFormat="1" ht="11.25" x14ac:dyDescent="0.2">
      <c r="A85" s="1034"/>
      <c r="B85" s="1035"/>
      <c r="C85" s="1035"/>
      <c r="D85" s="1035"/>
      <c r="E85" s="1035"/>
      <c r="F85" s="1035"/>
      <c r="G85" s="1035"/>
      <c r="H85" s="1035"/>
      <c r="I85" s="1036"/>
    </row>
    <row r="86" spans="1:9" s="181" customFormat="1" ht="27" customHeight="1" x14ac:dyDescent="0.2">
      <c r="A86" s="1039" t="s">
        <v>399</v>
      </c>
      <c r="B86" s="1039"/>
      <c r="C86" s="1039"/>
      <c r="D86" s="1039"/>
      <c r="E86" s="1039"/>
      <c r="F86" s="1039"/>
      <c r="G86" s="1039"/>
      <c r="H86" s="1039"/>
      <c r="I86" s="1039"/>
    </row>
    <row r="87" spans="1:9" x14ac:dyDescent="0.2">
      <c r="A87" s="181" t="s">
        <v>112</v>
      </c>
      <c r="B87" s="181"/>
      <c r="C87" s="181"/>
      <c r="D87" s="181"/>
      <c r="E87" s="181"/>
      <c r="F87" s="181"/>
      <c r="G87" s="181"/>
      <c r="H87" s="181"/>
      <c r="I87" s="181"/>
    </row>
    <row r="88" spans="1:9" x14ac:dyDescent="0.2">
      <c r="A88" s="1034" t="s">
        <v>555</v>
      </c>
      <c r="B88" s="1035"/>
      <c r="C88" s="1035"/>
      <c r="D88" s="1035"/>
      <c r="E88" s="1035"/>
      <c r="F88" s="1035"/>
      <c r="G88" s="1035"/>
      <c r="H88" s="1035"/>
      <c r="I88" s="1036"/>
    </row>
    <row r="89" spans="1:9" x14ac:dyDescent="0.2">
      <c r="A89" s="1034"/>
      <c r="B89" s="1035"/>
      <c r="C89" s="1035"/>
      <c r="D89" s="1035"/>
      <c r="E89" s="1035"/>
      <c r="F89" s="1035"/>
      <c r="G89" s="1035"/>
      <c r="H89" s="1035"/>
      <c r="I89" s="1036"/>
    </row>
    <row r="92" spans="1:9" x14ac:dyDescent="0.2">
      <c r="A92" s="239"/>
    </row>
    <row r="93" spans="1:9" x14ac:dyDescent="0.2">
      <c r="A93" s="239"/>
    </row>
  </sheetData>
  <mergeCells count="70">
    <mergeCell ref="A85:I85"/>
    <mergeCell ref="A86:I86"/>
    <mergeCell ref="F66:G66"/>
    <mergeCell ref="A69:B69"/>
    <mergeCell ref="A70:B70"/>
    <mergeCell ref="A71:B71"/>
    <mergeCell ref="A72:B72"/>
    <mergeCell ref="A73:B73"/>
    <mergeCell ref="A74:B74"/>
    <mergeCell ref="A75:B75"/>
    <mergeCell ref="A76:B76"/>
    <mergeCell ref="A84:I84"/>
    <mergeCell ref="A83:I83"/>
    <mergeCell ref="A77:B77"/>
    <mergeCell ref="A35:I35"/>
    <mergeCell ref="D37:I37"/>
    <mergeCell ref="D38:I38"/>
    <mergeCell ref="A82:I82"/>
    <mergeCell ref="C39:I39"/>
    <mergeCell ref="A41:I41"/>
    <mergeCell ref="C43:I43"/>
    <mergeCell ref="C44:I44"/>
    <mergeCell ref="C45:I45"/>
    <mergeCell ref="A47:I47"/>
    <mergeCell ref="A79:I79"/>
    <mergeCell ref="A81:I81"/>
    <mergeCell ref="F77:G77"/>
    <mergeCell ref="A62:B62"/>
    <mergeCell ref="A63:B63"/>
    <mergeCell ref="A64:B64"/>
    <mergeCell ref="F27:I27"/>
    <mergeCell ref="A29:I29"/>
    <mergeCell ref="D31:I31"/>
    <mergeCell ref="D32:I32"/>
    <mergeCell ref="C33:I33"/>
    <mergeCell ref="A7:B7"/>
    <mergeCell ref="D7:I7"/>
    <mergeCell ref="A3:I3"/>
    <mergeCell ref="A5:B5"/>
    <mergeCell ref="D5:I5"/>
    <mergeCell ref="A6:B6"/>
    <mergeCell ref="D6:I6"/>
    <mergeCell ref="F26:I26"/>
    <mergeCell ref="A8:B8"/>
    <mergeCell ref="D8:I8"/>
    <mergeCell ref="A9:B9"/>
    <mergeCell ref="D9:I9"/>
    <mergeCell ref="A11:I11"/>
    <mergeCell ref="A15:A17"/>
    <mergeCell ref="A20:I20"/>
    <mergeCell ref="F22:I22"/>
    <mergeCell ref="F23:I23"/>
    <mergeCell ref="F24:I24"/>
    <mergeCell ref="F25:I25"/>
    <mergeCell ref="A65:B65"/>
    <mergeCell ref="A66:B66"/>
    <mergeCell ref="A88:I88"/>
    <mergeCell ref="A89:I89"/>
    <mergeCell ref="A50:B50"/>
    <mergeCell ref="A51:B51"/>
    <mergeCell ref="A52:B52"/>
    <mergeCell ref="A53:B53"/>
    <mergeCell ref="A54:B54"/>
    <mergeCell ref="A55:B55"/>
    <mergeCell ref="A56:B56"/>
    <mergeCell ref="A57:B57"/>
    <mergeCell ref="A58:B58"/>
    <mergeCell ref="A59:B59"/>
    <mergeCell ref="A60:B60"/>
    <mergeCell ref="A61:B61"/>
  </mergeCells>
  <pageMargins left="0.70866141732283472" right="0.70866141732283472" top="0.78740157480314965" bottom="0.78740157480314965" header="0.31496062992125984" footer="0.31496062992125984"/>
  <pageSetup paperSize="9" scale="72" firstPageNumber="96" fitToHeight="8" orientation="portrait" useFirstPageNumber="1"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9"/>
  <sheetViews>
    <sheetView zoomScale="150" zoomScaleNormal="150" workbookViewId="0">
      <selection activeCell="A107" sqref="A107:XFD107"/>
    </sheetView>
  </sheetViews>
  <sheetFormatPr defaultColWidth="6.5" defaultRowHeight="8.25" x14ac:dyDescent="0.15"/>
  <cols>
    <col min="1" max="1" width="5.5" style="1" customWidth="1"/>
    <col min="2" max="2" width="6.5" customWidth="1"/>
    <col min="3" max="3" width="36.75" customWidth="1"/>
    <col min="4" max="4" width="9.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2" customFormat="1" ht="15.75" x14ac:dyDescent="0.25">
      <c r="A1" s="1019" t="s">
        <v>84</v>
      </c>
      <c r="B1" s="1019"/>
      <c r="C1" s="1019"/>
      <c r="D1" s="1019"/>
      <c r="E1" s="1019"/>
      <c r="F1" s="1019"/>
      <c r="G1" s="1019"/>
      <c r="H1" s="1019"/>
      <c r="I1" s="1019"/>
      <c r="J1" s="1019"/>
      <c r="K1" s="1019"/>
      <c r="L1" s="1019"/>
      <c r="M1" s="1019"/>
      <c r="N1" s="1019"/>
      <c r="O1" s="1019"/>
      <c r="P1" s="1019"/>
      <c r="Q1" s="1019"/>
      <c r="R1" s="1019"/>
      <c r="S1" s="1019"/>
      <c r="T1" s="1019"/>
      <c r="U1" s="1019"/>
      <c r="V1" s="1019"/>
      <c r="W1" s="1019"/>
      <c r="X1" s="1019"/>
    </row>
    <row r="3" spans="1:24" s="3" customFormat="1" ht="9.75" customHeight="1" x14ac:dyDescent="0.2">
      <c r="A3" s="1012" t="s">
        <v>40</v>
      </c>
      <c r="B3" s="1022" t="s">
        <v>41</v>
      </c>
      <c r="C3" s="1023"/>
      <c r="D3" s="1028" t="s">
        <v>42</v>
      </c>
      <c r="E3" s="1031" t="s">
        <v>34</v>
      </c>
      <c r="F3" s="1032"/>
      <c r="G3" s="1032"/>
      <c r="H3" s="1032"/>
      <c r="I3" s="1033"/>
      <c r="J3" s="1031" t="s">
        <v>39</v>
      </c>
      <c r="K3" s="1032"/>
      <c r="L3" s="1032"/>
      <c r="M3" s="1032"/>
      <c r="N3" s="1033"/>
      <c r="O3" s="1031" t="s">
        <v>43</v>
      </c>
      <c r="P3" s="1032"/>
      <c r="Q3" s="1032"/>
      <c r="R3" s="1032"/>
      <c r="S3" s="1033"/>
      <c r="T3" s="1031" t="s">
        <v>38</v>
      </c>
      <c r="U3" s="1032"/>
      <c r="V3" s="1032"/>
      <c r="W3" s="1032"/>
      <c r="X3" s="1033"/>
    </row>
    <row r="4" spans="1:24" s="4" customFormat="1" ht="9.75" customHeight="1" x14ac:dyDescent="0.2">
      <c r="A4" s="1020"/>
      <c r="B4" s="1024"/>
      <c r="C4" s="1025"/>
      <c r="D4" s="1029"/>
      <c r="E4" s="1014" t="s">
        <v>44</v>
      </c>
      <c r="F4" s="1016" t="s">
        <v>336</v>
      </c>
      <c r="G4" s="1017"/>
      <c r="H4" s="1018"/>
      <c r="I4" s="1012" t="s">
        <v>337</v>
      </c>
      <c r="J4" s="1014" t="s">
        <v>44</v>
      </c>
      <c r="K4" s="1016" t="s">
        <v>336</v>
      </c>
      <c r="L4" s="1017"/>
      <c r="M4" s="1018"/>
      <c r="N4" s="1012" t="s">
        <v>337</v>
      </c>
      <c r="O4" s="1014" t="s">
        <v>44</v>
      </c>
      <c r="P4" s="1016" t="s">
        <v>336</v>
      </c>
      <c r="Q4" s="1017"/>
      <c r="R4" s="1018"/>
      <c r="S4" s="1012" t="s">
        <v>337</v>
      </c>
      <c r="T4" s="1014" t="s">
        <v>44</v>
      </c>
      <c r="U4" s="1016" t="s">
        <v>336</v>
      </c>
      <c r="V4" s="1017"/>
      <c r="W4" s="1018"/>
      <c r="X4" s="1012" t="s">
        <v>337</v>
      </c>
    </row>
    <row r="5" spans="1:24" s="5" customFormat="1" ht="9.75" customHeight="1" x14ac:dyDescent="0.2">
      <c r="A5" s="1021"/>
      <c r="B5" s="1026"/>
      <c r="C5" s="1027"/>
      <c r="D5" s="1030"/>
      <c r="E5" s="1015"/>
      <c r="F5" s="14" t="s">
        <v>35</v>
      </c>
      <c r="G5" s="15" t="s">
        <v>36</v>
      </c>
      <c r="H5" s="14" t="s">
        <v>37</v>
      </c>
      <c r="I5" s="1013"/>
      <c r="J5" s="1015"/>
      <c r="K5" s="14" t="s">
        <v>35</v>
      </c>
      <c r="L5" s="15" t="s">
        <v>36</v>
      </c>
      <c r="M5" s="14" t="s">
        <v>37</v>
      </c>
      <c r="N5" s="1013"/>
      <c r="O5" s="1015"/>
      <c r="P5" s="14" t="s">
        <v>35</v>
      </c>
      <c r="Q5" s="15" t="s">
        <v>36</v>
      </c>
      <c r="R5" s="14" t="s">
        <v>37</v>
      </c>
      <c r="S5" s="1013"/>
      <c r="T5" s="1015"/>
      <c r="U5" s="14" t="s">
        <v>35</v>
      </c>
      <c r="V5" s="15" t="s">
        <v>36</v>
      </c>
      <c r="W5" s="14" t="s">
        <v>37</v>
      </c>
      <c r="X5" s="1013"/>
    </row>
    <row r="6" spans="1:24" s="3" customFormat="1" ht="9.75" customHeight="1" x14ac:dyDescent="0.2">
      <c r="A6" s="16" t="s">
        <v>0</v>
      </c>
      <c r="B6" s="1007" t="s">
        <v>1</v>
      </c>
      <c r="C6" s="1007"/>
      <c r="D6" s="17" t="s">
        <v>25</v>
      </c>
      <c r="E6" s="52">
        <f>SUM(E7:E9)</f>
        <v>32528990</v>
      </c>
      <c r="F6" s="52">
        <f>SUM(F7:F9)</f>
        <v>35769813</v>
      </c>
      <c r="G6" s="52">
        <f>SUM(G7:G9)</f>
        <v>35698313.870000005</v>
      </c>
      <c r="H6" s="18">
        <f t="shared" ref="H6:H36" si="0">G6/F6*100</f>
        <v>99.800113212780857</v>
      </c>
      <c r="I6" s="52">
        <f>SUM(I7:I9)</f>
        <v>32153319.949999999</v>
      </c>
      <c r="J6" s="52">
        <f>SUM(J7:J9)</f>
        <v>8359800</v>
      </c>
      <c r="K6" s="52">
        <f>SUM(K7:K9)</f>
        <v>9811652</v>
      </c>
      <c r="L6" s="52">
        <f t="shared" ref="L6:X6" si="1">SUM(L7:L9)</f>
        <v>9795250</v>
      </c>
      <c r="M6" s="18">
        <f t="shared" ref="M6:M29" si="2">L6/K6*100</f>
        <v>99.832831413099441</v>
      </c>
      <c r="N6" s="69">
        <f t="shared" si="1"/>
        <v>8468478.9499999993</v>
      </c>
      <c r="O6" s="52">
        <f t="shared" si="1"/>
        <v>24169190</v>
      </c>
      <c r="P6" s="52">
        <f t="shared" si="1"/>
        <v>25958161</v>
      </c>
      <c r="Q6" s="52">
        <f t="shared" si="1"/>
        <v>25903063.870000001</v>
      </c>
      <c r="R6" s="18">
        <f t="shared" ref="R6:R28" si="3">Q6/P6*100</f>
        <v>99.787746404685606</v>
      </c>
      <c r="S6" s="52">
        <f t="shared" si="1"/>
        <v>23684841</v>
      </c>
      <c r="T6" s="52">
        <f t="shared" si="1"/>
        <v>681600</v>
      </c>
      <c r="U6" s="52">
        <f t="shared" si="1"/>
        <v>706500</v>
      </c>
      <c r="V6" s="52">
        <f t="shared" si="1"/>
        <v>734183</v>
      </c>
      <c r="W6" s="18">
        <f t="shared" ref="W6:W28" si="4">V6/U6*100</f>
        <v>103.91832979476293</v>
      </c>
      <c r="X6" s="52">
        <f t="shared" si="1"/>
        <v>720367</v>
      </c>
    </row>
    <row r="7" spans="1:24" s="3" customFormat="1" ht="9.75" x14ac:dyDescent="0.2">
      <c r="A7" s="19" t="s">
        <v>2</v>
      </c>
      <c r="B7" s="1010" t="s">
        <v>46</v>
      </c>
      <c r="C7" s="1011"/>
      <c r="D7" s="47" t="s">
        <v>25</v>
      </c>
      <c r="E7" s="53">
        <f t="shared" ref="E7:G10" si="5">SUM(J7,O7)</f>
        <v>4075000</v>
      </c>
      <c r="F7" s="54">
        <f>SUM(K7,P7)</f>
        <v>4365252</v>
      </c>
      <c r="G7" s="132">
        <f t="shared" si="5"/>
        <v>4350799</v>
      </c>
      <c r="H7" s="6">
        <f t="shared" si="0"/>
        <v>99.668908003478379</v>
      </c>
      <c r="I7" s="78">
        <f>SUM(N7,S7)</f>
        <v>4144809</v>
      </c>
      <c r="J7" s="502">
        <v>4075000</v>
      </c>
      <c r="K7" s="503">
        <v>4365252</v>
      </c>
      <c r="L7" s="62">
        <v>4350799</v>
      </c>
      <c r="M7" s="6">
        <f t="shared" si="2"/>
        <v>99.668908003478379</v>
      </c>
      <c r="N7" s="62">
        <v>4144809</v>
      </c>
      <c r="O7" s="504">
        <v>0</v>
      </c>
      <c r="P7" s="504">
        <v>0</v>
      </c>
      <c r="Q7" s="62">
        <v>0</v>
      </c>
      <c r="R7" s="6">
        <v>0</v>
      </c>
      <c r="S7" s="76">
        <v>0</v>
      </c>
      <c r="T7" s="504">
        <v>681600</v>
      </c>
      <c r="U7" s="503">
        <v>706500</v>
      </c>
      <c r="V7" s="71">
        <v>734183</v>
      </c>
      <c r="W7" s="6">
        <f t="shared" si="4"/>
        <v>103.91832979476293</v>
      </c>
      <c r="X7" s="133">
        <v>720367</v>
      </c>
    </row>
    <row r="8" spans="1:24" s="3" customFormat="1" ht="9.75" x14ac:dyDescent="0.2">
      <c r="A8" s="20" t="s">
        <v>3</v>
      </c>
      <c r="B8" s="1005" t="s">
        <v>47</v>
      </c>
      <c r="C8" s="1006"/>
      <c r="D8" s="48" t="s">
        <v>25</v>
      </c>
      <c r="E8" s="55">
        <f t="shared" si="5"/>
        <v>400</v>
      </c>
      <c r="F8" s="56">
        <f t="shared" si="5"/>
        <v>0</v>
      </c>
      <c r="G8" s="75">
        <f t="shared" si="5"/>
        <v>0</v>
      </c>
      <c r="H8" s="7">
        <v>0</v>
      </c>
      <c r="I8" s="80">
        <f>SUM(N8,S8)</f>
        <v>1091.95</v>
      </c>
      <c r="J8" s="505">
        <v>400</v>
      </c>
      <c r="K8" s="506">
        <v>0</v>
      </c>
      <c r="L8" s="56">
        <v>0</v>
      </c>
      <c r="M8" s="7">
        <v>0</v>
      </c>
      <c r="N8" s="56">
        <v>1091.95</v>
      </c>
      <c r="O8" s="507">
        <v>0</v>
      </c>
      <c r="P8" s="507">
        <v>0</v>
      </c>
      <c r="Q8" s="56">
        <v>0</v>
      </c>
      <c r="R8" s="7">
        <v>0</v>
      </c>
      <c r="S8" s="63">
        <v>0</v>
      </c>
      <c r="T8" s="507">
        <v>0</v>
      </c>
      <c r="U8" s="506">
        <v>0</v>
      </c>
      <c r="V8" s="75">
        <v>0</v>
      </c>
      <c r="W8" s="7">
        <v>0</v>
      </c>
      <c r="X8" s="134">
        <v>0</v>
      </c>
    </row>
    <row r="9" spans="1:24" s="3" customFormat="1" ht="9.75" x14ac:dyDescent="0.2">
      <c r="A9" s="21" t="s">
        <v>4</v>
      </c>
      <c r="B9" s="22" t="s">
        <v>62</v>
      </c>
      <c r="C9" s="23"/>
      <c r="D9" s="50" t="s">
        <v>25</v>
      </c>
      <c r="E9" s="57">
        <f t="shared" si="5"/>
        <v>28453590</v>
      </c>
      <c r="F9" s="58">
        <f>SUM(K9,P9)</f>
        <v>31404561</v>
      </c>
      <c r="G9" s="135">
        <f t="shared" si="5"/>
        <v>31347514.870000001</v>
      </c>
      <c r="H9" s="24">
        <f t="shared" si="0"/>
        <v>99.818350812163885</v>
      </c>
      <c r="I9" s="136">
        <f>SUM(N9,S9)</f>
        <v>28007419</v>
      </c>
      <c r="J9" s="505">
        <v>4284400</v>
      </c>
      <c r="K9" s="506">
        <v>5446400</v>
      </c>
      <c r="L9" s="58">
        <v>5444451</v>
      </c>
      <c r="M9" s="24">
        <f t="shared" si="2"/>
        <v>99.964214894242062</v>
      </c>
      <c r="N9" s="58">
        <v>4322578</v>
      </c>
      <c r="O9" s="507">
        <v>24169190</v>
      </c>
      <c r="P9" s="507">
        <v>25958161</v>
      </c>
      <c r="Q9" s="58">
        <v>25903063.870000001</v>
      </c>
      <c r="R9" s="24">
        <f t="shared" si="3"/>
        <v>99.787746404685606</v>
      </c>
      <c r="S9" s="58">
        <v>23684841</v>
      </c>
      <c r="T9" s="507">
        <v>0</v>
      </c>
      <c r="U9" s="506">
        <v>0</v>
      </c>
      <c r="V9" s="135">
        <v>0</v>
      </c>
      <c r="W9" s="24">
        <v>0</v>
      </c>
      <c r="X9" s="137">
        <v>0</v>
      </c>
    </row>
    <row r="10" spans="1:24" s="3" customFormat="1" ht="9.75" x14ac:dyDescent="0.2">
      <c r="A10" s="16" t="s">
        <v>5</v>
      </c>
      <c r="B10" s="1007" t="s">
        <v>7</v>
      </c>
      <c r="C10" s="1007"/>
      <c r="D10" s="25" t="s">
        <v>25</v>
      </c>
      <c r="E10" s="59">
        <f t="shared" si="5"/>
        <v>0</v>
      </c>
      <c r="F10" s="59">
        <f t="shared" si="5"/>
        <v>0</v>
      </c>
      <c r="G10" s="59">
        <f t="shared" si="5"/>
        <v>0</v>
      </c>
      <c r="H10" s="18">
        <v>0</v>
      </c>
      <c r="I10" s="67">
        <f>SUM(N10,S10)</f>
        <v>0</v>
      </c>
      <c r="J10" s="68"/>
      <c r="K10" s="59"/>
      <c r="L10" s="59"/>
      <c r="M10" s="18">
        <v>0</v>
      </c>
      <c r="N10" s="67"/>
      <c r="O10" s="59"/>
      <c r="P10" s="59"/>
      <c r="Q10" s="59"/>
      <c r="R10" s="18">
        <v>0</v>
      </c>
      <c r="S10" s="67"/>
      <c r="T10" s="59"/>
      <c r="U10" s="59"/>
      <c r="V10" s="59"/>
      <c r="W10" s="18">
        <v>0</v>
      </c>
      <c r="X10" s="59">
        <v>0</v>
      </c>
    </row>
    <row r="11" spans="1:24" s="3" customFormat="1" ht="9.75" x14ac:dyDescent="0.2">
      <c r="A11" s="16" t="s">
        <v>6</v>
      </c>
      <c r="B11" s="1007" t="s">
        <v>9</v>
      </c>
      <c r="C11" s="1007"/>
      <c r="D11" s="25" t="s">
        <v>25</v>
      </c>
      <c r="E11" s="52">
        <f>SUM(E12:E31)</f>
        <v>32528990</v>
      </c>
      <c r="F11" s="52">
        <f>SUM(F12:F31)</f>
        <v>35769812.649999999</v>
      </c>
      <c r="G11" s="52">
        <f>SUM(G12:G31)</f>
        <v>35643287.549999997</v>
      </c>
      <c r="H11" s="18">
        <f t="shared" si="0"/>
        <v>99.64627966817153</v>
      </c>
      <c r="I11" s="69">
        <f>SUM(I12:I31)</f>
        <v>32073986.43</v>
      </c>
      <c r="J11" s="52">
        <f>SUM(J12:J31)</f>
        <v>8359800</v>
      </c>
      <c r="K11" s="52">
        <f>SUM(K12:K31)</f>
        <v>9811652</v>
      </c>
      <c r="L11" s="52">
        <f>SUM(L12:L31)</f>
        <v>9740223.6799999997</v>
      </c>
      <c r="M11" s="18">
        <f t="shared" si="2"/>
        <v>99.272005162841083</v>
      </c>
      <c r="N11" s="69">
        <f>SUM(N12:N31)</f>
        <v>8389145.4299999997</v>
      </c>
      <c r="O11" s="52">
        <f>SUM(O12:O31)</f>
        <v>24169190</v>
      </c>
      <c r="P11" s="52">
        <f>SUM(P12:P31)</f>
        <v>25958160.649999999</v>
      </c>
      <c r="Q11" s="52">
        <f>SUM(Q12:Q31)</f>
        <v>25903063.869999997</v>
      </c>
      <c r="R11" s="18">
        <f t="shared" si="3"/>
        <v>99.787747750147304</v>
      </c>
      <c r="S11" s="69">
        <f>SUM(S12:S31)</f>
        <v>23684841</v>
      </c>
      <c r="T11" s="52">
        <f>SUM(T12:T31)</f>
        <v>628634</v>
      </c>
      <c r="U11" s="52">
        <f>SUM(U12:U31)</f>
        <v>653534</v>
      </c>
      <c r="V11" s="52">
        <f>SUM(V12:V31)</f>
        <v>648423.36</v>
      </c>
      <c r="W11" s="18">
        <f t="shared" si="4"/>
        <v>99.217999369581378</v>
      </c>
      <c r="X11" s="52">
        <f>SUM(X12:X31)</f>
        <v>621637.61999999988</v>
      </c>
    </row>
    <row r="12" spans="1:24" s="3" customFormat="1" ht="9.75" x14ac:dyDescent="0.2">
      <c r="A12" s="26" t="s">
        <v>8</v>
      </c>
      <c r="B12" s="1008" t="s">
        <v>28</v>
      </c>
      <c r="C12" s="1009"/>
      <c r="D12" s="51" t="s">
        <v>25</v>
      </c>
      <c r="E12" s="53">
        <f>SUM(J12,O12)</f>
        <v>4535922</v>
      </c>
      <c r="F12" s="54">
        <f t="shared" ref="E12:I28" si="6">SUM(K12,P12)</f>
        <v>4809852</v>
      </c>
      <c r="G12" s="132">
        <f t="shared" si="6"/>
        <v>4805547.75</v>
      </c>
      <c r="H12" s="6">
        <f t="shared" si="0"/>
        <v>99.910511799531463</v>
      </c>
      <c r="I12" s="78">
        <f>SUM(N12,S12)</f>
        <v>4499013.75</v>
      </c>
      <c r="J12" s="505">
        <v>4235922</v>
      </c>
      <c r="K12" s="508">
        <v>4506824</v>
      </c>
      <c r="L12" s="71">
        <v>4502519.4000000004</v>
      </c>
      <c r="M12" s="6">
        <f t="shared" si="2"/>
        <v>99.904487062285995</v>
      </c>
      <c r="N12" s="71">
        <v>4179062.75</v>
      </c>
      <c r="O12" s="509">
        <v>300000</v>
      </c>
      <c r="P12" s="509">
        <v>303028</v>
      </c>
      <c r="Q12" s="71">
        <v>303028.34999999998</v>
      </c>
      <c r="R12" s="6">
        <f t="shared" si="3"/>
        <v>100.0001155008778</v>
      </c>
      <c r="S12" s="71">
        <v>319951</v>
      </c>
      <c r="T12" s="509">
        <v>255000</v>
      </c>
      <c r="U12" s="508">
        <v>285900</v>
      </c>
      <c r="V12" s="71">
        <v>283236.15999999997</v>
      </c>
      <c r="W12" s="6">
        <f t="shared" si="4"/>
        <v>99.068261629940537</v>
      </c>
      <c r="X12" s="133">
        <v>274333.98</v>
      </c>
    </row>
    <row r="13" spans="1:24" s="3" customFormat="1" ht="9.75" x14ac:dyDescent="0.2">
      <c r="A13" s="27" t="s">
        <v>10</v>
      </c>
      <c r="B13" s="997" t="s">
        <v>29</v>
      </c>
      <c r="C13" s="998"/>
      <c r="D13" s="48" t="s">
        <v>25</v>
      </c>
      <c r="E13" s="55">
        <f t="shared" si="6"/>
        <v>2018000</v>
      </c>
      <c r="F13" s="56">
        <f t="shared" si="6"/>
        <v>1753000</v>
      </c>
      <c r="G13" s="75">
        <f t="shared" si="6"/>
        <v>1741328</v>
      </c>
      <c r="H13" s="7">
        <f t="shared" si="0"/>
        <v>99.334169994295493</v>
      </c>
      <c r="I13" s="80">
        <f t="shared" si="6"/>
        <v>1820816.47</v>
      </c>
      <c r="J13" s="505">
        <v>2018000</v>
      </c>
      <c r="K13" s="506">
        <v>1753000</v>
      </c>
      <c r="L13" s="75">
        <v>1741328</v>
      </c>
      <c r="M13" s="7">
        <f t="shared" si="2"/>
        <v>99.334169994295493</v>
      </c>
      <c r="N13" s="75">
        <v>1820816.47</v>
      </c>
      <c r="O13" s="507">
        <v>0</v>
      </c>
      <c r="P13" s="507">
        <v>0</v>
      </c>
      <c r="Q13" s="56">
        <v>0</v>
      </c>
      <c r="R13" s="7">
        <v>0</v>
      </c>
      <c r="S13" s="56">
        <v>0</v>
      </c>
      <c r="T13" s="507">
        <v>112476</v>
      </c>
      <c r="U13" s="506">
        <v>117776</v>
      </c>
      <c r="V13" s="75">
        <v>116725</v>
      </c>
      <c r="W13" s="7">
        <f t="shared" si="4"/>
        <v>99.107628039668526</v>
      </c>
      <c r="X13" s="134">
        <v>100078.8</v>
      </c>
    </row>
    <row r="14" spans="1:24" s="3" customFormat="1" ht="9.75" x14ac:dyDescent="0.2">
      <c r="A14" s="27" t="s">
        <v>11</v>
      </c>
      <c r="B14" s="418" t="s">
        <v>63</v>
      </c>
      <c r="C14" s="419"/>
      <c r="D14" s="48" t="s">
        <v>25</v>
      </c>
      <c r="E14" s="55">
        <f t="shared" si="6"/>
        <v>0</v>
      </c>
      <c r="F14" s="56">
        <f t="shared" si="6"/>
        <v>0</v>
      </c>
      <c r="G14" s="75">
        <f t="shared" si="6"/>
        <v>0</v>
      </c>
      <c r="H14" s="7">
        <v>0</v>
      </c>
      <c r="I14" s="80">
        <f t="shared" si="6"/>
        <v>0</v>
      </c>
      <c r="J14" s="505">
        <v>0</v>
      </c>
      <c r="K14" s="506">
        <v>0</v>
      </c>
      <c r="L14" s="75">
        <v>0</v>
      </c>
      <c r="M14" s="7">
        <v>0</v>
      </c>
      <c r="N14" s="75">
        <v>0</v>
      </c>
      <c r="O14" s="507">
        <v>0</v>
      </c>
      <c r="P14" s="507">
        <v>0</v>
      </c>
      <c r="Q14" s="56">
        <v>0</v>
      </c>
      <c r="R14" s="7">
        <v>0</v>
      </c>
      <c r="S14" s="56">
        <v>0</v>
      </c>
      <c r="T14" s="507">
        <v>0</v>
      </c>
      <c r="U14" s="506">
        <v>0</v>
      </c>
      <c r="V14" s="75">
        <v>0</v>
      </c>
      <c r="W14" s="7">
        <v>0</v>
      </c>
      <c r="X14" s="134">
        <v>0</v>
      </c>
    </row>
    <row r="15" spans="1:24" s="3" customFormat="1" ht="9.75" x14ac:dyDescent="0.2">
      <c r="A15" s="27" t="s">
        <v>12</v>
      </c>
      <c r="B15" s="997" t="s">
        <v>64</v>
      </c>
      <c r="C15" s="998"/>
      <c r="D15" s="48" t="s">
        <v>25</v>
      </c>
      <c r="E15" s="55">
        <f t="shared" si="6"/>
        <v>550000</v>
      </c>
      <c r="F15" s="56">
        <f t="shared" si="6"/>
        <v>1894000</v>
      </c>
      <c r="G15" s="75">
        <f t="shared" si="6"/>
        <v>1892051</v>
      </c>
      <c r="H15" s="7">
        <f t="shared" si="0"/>
        <v>99.897096092925025</v>
      </c>
      <c r="I15" s="80">
        <f t="shared" si="6"/>
        <v>894234.95</v>
      </c>
      <c r="J15" s="505">
        <v>550000</v>
      </c>
      <c r="K15" s="506">
        <v>1894000</v>
      </c>
      <c r="L15" s="75">
        <v>1892051</v>
      </c>
      <c r="M15" s="7">
        <f t="shared" si="2"/>
        <v>99.897096092925025</v>
      </c>
      <c r="N15" s="75">
        <v>894234.95</v>
      </c>
      <c r="O15" s="507">
        <v>0</v>
      </c>
      <c r="P15" s="507">
        <v>0</v>
      </c>
      <c r="Q15" s="56">
        <v>0</v>
      </c>
      <c r="R15" s="7">
        <v>0</v>
      </c>
      <c r="S15" s="56">
        <v>0</v>
      </c>
      <c r="T15" s="507">
        <v>24000</v>
      </c>
      <c r="U15" s="506">
        <v>12100</v>
      </c>
      <c r="V15" s="75">
        <v>12032</v>
      </c>
      <c r="W15" s="7">
        <f t="shared" si="4"/>
        <v>99.438016528925615</v>
      </c>
      <c r="X15" s="134">
        <v>24292.799999999999</v>
      </c>
    </row>
    <row r="16" spans="1:24" s="3" customFormat="1" ht="9.75" x14ac:dyDescent="0.2">
      <c r="A16" s="27" t="s">
        <v>13</v>
      </c>
      <c r="B16" s="997" t="s">
        <v>30</v>
      </c>
      <c r="C16" s="998"/>
      <c r="D16" s="48" t="s">
        <v>25</v>
      </c>
      <c r="E16" s="55">
        <f t="shared" si="6"/>
        <v>54000</v>
      </c>
      <c r="F16" s="56">
        <f t="shared" si="6"/>
        <v>32147.279999999999</v>
      </c>
      <c r="G16" s="75">
        <f t="shared" si="6"/>
        <v>33968.29</v>
      </c>
      <c r="H16" s="7">
        <f t="shared" si="0"/>
        <v>105.66458499754879</v>
      </c>
      <c r="I16" s="80">
        <f t="shared" si="6"/>
        <v>40853</v>
      </c>
      <c r="J16" s="505">
        <v>4000</v>
      </c>
      <c r="K16" s="506">
        <v>1120</v>
      </c>
      <c r="L16" s="75">
        <v>1114.01</v>
      </c>
      <c r="M16" s="7">
        <f t="shared" si="2"/>
        <v>99.465178571428567</v>
      </c>
      <c r="N16" s="75">
        <v>1385</v>
      </c>
      <c r="O16" s="507">
        <v>50000</v>
      </c>
      <c r="P16" s="507">
        <v>31027.279999999999</v>
      </c>
      <c r="Q16" s="56">
        <v>32854.28</v>
      </c>
      <c r="R16" s="7">
        <f t="shared" si="3"/>
        <v>105.88836662446724</v>
      </c>
      <c r="S16" s="56">
        <v>39468</v>
      </c>
      <c r="T16" s="507">
        <v>0</v>
      </c>
      <c r="U16" s="506">
        <v>0</v>
      </c>
      <c r="V16" s="75">
        <v>0</v>
      </c>
      <c r="W16" s="7">
        <v>0</v>
      </c>
      <c r="X16" s="134">
        <v>0</v>
      </c>
    </row>
    <row r="17" spans="1:24" s="3" customFormat="1" ht="9.75" x14ac:dyDescent="0.2">
      <c r="A17" s="27" t="s">
        <v>14</v>
      </c>
      <c r="B17" s="418" t="s">
        <v>48</v>
      </c>
      <c r="C17" s="419"/>
      <c r="D17" s="48" t="s">
        <v>25</v>
      </c>
      <c r="E17" s="55">
        <f t="shared" si="6"/>
        <v>3000</v>
      </c>
      <c r="F17" s="56">
        <f t="shared" si="6"/>
        <v>3000</v>
      </c>
      <c r="G17" s="75">
        <f t="shared" si="6"/>
        <v>2942</v>
      </c>
      <c r="H17" s="7">
        <f t="shared" si="0"/>
        <v>98.066666666666663</v>
      </c>
      <c r="I17" s="80">
        <f t="shared" si="6"/>
        <v>2991</v>
      </c>
      <c r="J17" s="505">
        <v>3000</v>
      </c>
      <c r="K17" s="506">
        <v>3000</v>
      </c>
      <c r="L17" s="75">
        <v>2942</v>
      </c>
      <c r="M17" s="7">
        <f t="shared" si="2"/>
        <v>98.066666666666663</v>
      </c>
      <c r="N17" s="75">
        <v>2991</v>
      </c>
      <c r="O17" s="507">
        <v>0</v>
      </c>
      <c r="P17" s="507">
        <v>0</v>
      </c>
      <c r="Q17" s="56">
        <v>0</v>
      </c>
      <c r="R17" s="7">
        <v>0</v>
      </c>
      <c r="S17" s="56">
        <v>0</v>
      </c>
      <c r="T17" s="507">
        <v>0</v>
      </c>
      <c r="U17" s="506">
        <v>0</v>
      </c>
      <c r="V17" s="75">
        <v>0</v>
      </c>
      <c r="W17" s="7">
        <v>0</v>
      </c>
      <c r="X17" s="134">
        <v>0</v>
      </c>
    </row>
    <row r="18" spans="1:24" s="3" customFormat="1" ht="9.75" x14ac:dyDescent="0.2">
      <c r="A18" s="27" t="s">
        <v>15</v>
      </c>
      <c r="B18" s="997" t="s">
        <v>31</v>
      </c>
      <c r="C18" s="998"/>
      <c r="D18" s="48" t="s">
        <v>25</v>
      </c>
      <c r="E18" s="55">
        <f t="shared" si="6"/>
        <v>512340</v>
      </c>
      <c r="F18" s="56">
        <f t="shared" si="6"/>
        <v>616165.72</v>
      </c>
      <c r="G18" s="75">
        <f t="shared" si="6"/>
        <v>587556.36</v>
      </c>
      <c r="H18" s="7">
        <f t="shared" si="0"/>
        <v>95.356872498521994</v>
      </c>
      <c r="I18" s="80">
        <f t="shared" si="6"/>
        <v>423450.26</v>
      </c>
      <c r="J18" s="505">
        <v>332000</v>
      </c>
      <c r="K18" s="506">
        <v>364000</v>
      </c>
      <c r="L18" s="75">
        <v>361650.77</v>
      </c>
      <c r="M18" s="7">
        <f t="shared" si="2"/>
        <v>99.354607142857148</v>
      </c>
      <c r="N18" s="75">
        <v>291693.26</v>
      </c>
      <c r="O18" s="507">
        <v>180340</v>
      </c>
      <c r="P18" s="507">
        <v>252165.72</v>
      </c>
      <c r="Q18" s="56">
        <v>225905.59</v>
      </c>
      <c r="R18" s="7">
        <f t="shared" si="3"/>
        <v>89.586161830402645</v>
      </c>
      <c r="S18" s="56">
        <v>131757</v>
      </c>
      <c r="T18" s="507">
        <v>16000</v>
      </c>
      <c r="U18" s="506">
        <v>28700</v>
      </c>
      <c r="V18" s="75">
        <v>27651.200000000001</v>
      </c>
      <c r="W18" s="7">
        <f t="shared" si="4"/>
        <v>96.345644599303142</v>
      </c>
      <c r="X18" s="134">
        <v>17753.04</v>
      </c>
    </row>
    <row r="19" spans="1:24" s="8" customFormat="1" ht="9.75" x14ac:dyDescent="0.2">
      <c r="A19" s="27" t="s">
        <v>16</v>
      </c>
      <c r="B19" s="997" t="s">
        <v>32</v>
      </c>
      <c r="C19" s="998"/>
      <c r="D19" s="48" t="s">
        <v>25</v>
      </c>
      <c r="E19" s="55">
        <f t="shared" si="6"/>
        <v>17483300</v>
      </c>
      <c r="F19" s="56">
        <f t="shared" si="6"/>
        <v>18752362</v>
      </c>
      <c r="G19" s="75">
        <f t="shared" si="6"/>
        <v>18687374</v>
      </c>
      <c r="H19" s="7">
        <f t="shared" si="0"/>
        <v>99.65344099052696</v>
      </c>
      <c r="I19" s="80">
        <f>SUM(N19,S19)</f>
        <v>17199574</v>
      </c>
      <c r="J19" s="510">
        <v>178200</v>
      </c>
      <c r="K19" s="506">
        <v>186100</v>
      </c>
      <c r="L19" s="75">
        <v>143740</v>
      </c>
      <c r="M19" s="7">
        <f t="shared" si="2"/>
        <v>77.238044062332079</v>
      </c>
      <c r="N19" s="75">
        <v>150050</v>
      </c>
      <c r="O19" s="507">
        <v>17305100</v>
      </c>
      <c r="P19" s="507">
        <v>18566262</v>
      </c>
      <c r="Q19" s="56">
        <v>18543634</v>
      </c>
      <c r="R19" s="7">
        <f t="shared" si="3"/>
        <v>99.878123016900219</v>
      </c>
      <c r="S19" s="56">
        <v>17049524</v>
      </c>
      <c r="T19" s="511">
        <v>143788</v>
      </c>
      <c r="U19" s="512">
        <v>115988</v>
      </c>
      <c r="V19" s="141">
        <v>115981</v>
      </c>
      <c r="W19" s="7">
        <f t="shared" si="4"/>
        <v>99.993964892919962</v>
      </c>
      <c r="X19" s="142">
        <v>110323</v>
      </c>
    </row>
    <row r="20" spans="1:24" s="3" customFormat="1" ht="9.75" x14ac:dyDescent="0.2">
      <c r="A20" s="27" t="s">
        <v>17</v>
      </c>
      <c r="B20" s="997" t="s">
        <v>49</v>
      </c>
      <c r="C20" s="998"/>
      <c r="D20" s="48" t="s">
        <v>25</v>
      </c>
      <c r="E20" s="55">
        <f t="shared" si="6"/>
        <v>5926501</v>
      </c>
      <c r="F20" s="56">
        <f t="shared" si="6"/>
        <v>6386851</v>
      </c>
      <c r="G20" s="75">
        <f>SUM(L20,Q20)</f>
        <v>6375859</v>
      </c>
      <c r="H20" s="7">
        <f t="shared" si="0"/>
        <v>99.82789640779157</v>
      </c>
      <c r="I20" s="80">
        <f t="shared" si="6"/>
        <v>5903912</v>
      </c>
      <c r="J20" s="505">
        <v>42751</v>
      </c>
      <c r="K20" s="506">
        <v>44914</v>
      </c>
      <c r="L20" s="75">
        <v>41512</v>
      </c>
      <c r="M20" s="7">
        <f t="shared" si="2"/>
        <v>92.425524335396531</v>
      </c>
      <c r="N20" s="75">
        <v>56118</v>
      </c>
      <c r="O20" s="507">
        <v>5883750</v>
      </c>
      <c r="P20" s="507">
        <v>6341937</v>
      </c>
      <c r="Q20" s="56">
        <f>6258217+76130</f>
        <v>6334347</v>
      </c>
      <c r="R20" s="7">
        <f t="shared" si="3"/>
        <v>99.880320476220433</v>
      </c>
      <c r="S20" s="56">
        <v>5847794</v>
      </c>
      <c r="T20" s="507">
        <v>49492</v>
      </c>
      <c r="U20" s="506">
        <v>39992</v>
      </c>
      <c r="V20" s="75">
        <v>39910</v>
      </c>
      <c r="W20" s="7">
        <f t="shared" si="4"/>
        <v>99.794958991798353</v>
      </c>
      <c r="X20" s="134">
        <v>37974</v>
      </c>
    </row>
    <row r="21" spans="1:24" s="3" customFormat="1" ht="9.75" x14ac:dyDescent="0.2">
      <c r="A21" s="27" t="s">
        <v>18</v>
      </c>
      <c r="B21" s="997" t="s">
        <v>50</v>
      </c>
      <c r="C21" s="998"/>
      <c r="D21" s="48" t="s">
        <v>25</v>
      </c>
      <c r="E21" s="55">
        <f t="shared" si="6"/>
        <v>450500</v>
      </c>
      <c r="F21" s="56">
        <f t="shared" si="6"/>
        <v>390316</v>
      </c>
      <c r="G21" s="75">
        <f t="shared" si="6"/>
        <v>389844</v>
      </c>
      <c r="H21" s="7">
        <f t="shared" si="0"/>
        <v>99.879072341384926</v>
      </c>
      <c r="I21" s="80">
        <f t="shared" si="6"/>
        <v>276537</v>
      </c>
      <c r="J21" s="505">
        <v>500</v>
      </c>
      <c r="K21" s="506">
        <v>250</v>
      </c>
      <c r="L21" s="75">
        <v>224</v>
      </c>
      <c r="M21" s="7">
        <f t="shared" si="2"/>
        <v>89.600000000000009</v>
      </c>
      <c r="N21" s="75">
        <v>1139</v>
      </c>
      <c r="O21" s="507">
        <v>450000</v>
      </c>
      <c r="P21" s="507">
        <v>390066</v>
      </c>
      <c r="Q21" s="56">
        <v>389620</v>
      </c>
      <c r="R21" s="7">
        <f t="shared" si="3"/>
        <v>99.88566037542364</v>
      </c>
      <c r="S21" s="56">
        <v>275398</v>
      </c>
      <c r="T21" s="507">
        <v>2157</v>
      </c>
      <c r="U21" s="506">
        <v>2357</v>
      </c>
      <c r="V21" s="75">
        <v>2348</v>
      </c>
      <c r="W21" s="7">
        <f t="shared" si="4"/>
        <v>99.618158676283414</v>
      </c>
      <c r="X21" s="134">
        <v>1658</v>
      </c>
    </row>
    <row r="22" spans="1:24" s="3" customFormat="1" ht="9.75" x14ac:dyDescent="0.2">
      <c r="A22" s="27" t="s">
        <v>19</v>
      </c>
      <c r="B22" s="997" t="s">
        <v>65</v>
      </c>
      <c r="C22" s="998"/>
      <c r="D22" s="48" t="s">
        <v>25</v>
      </c>
      <c r="E22" s="55">
        <f t="shared" si="6"/>
        <v>0</v>
      </c>
      <c r="F22" s="56">
        <f t="shared" si="6"/>
        <v>0</v>
      </c>
      <c r="G22" s="75">
        <f t="shared" si="6"/>
        <v>0</v>
      </c>
      <c r="H22" s="7">
        <v>0</v>
      </c>
      <c r="I22" s="80">
        <f t="shared" si="6"/>
        <v>0</v>
      </c>
      <c r="J22" s="505">
        <v>0</v>
      </c>
      <c r="K22" s="506">
        <v>0</v>
      </c>
      <c r="L22" s="75">
        <v>0</v>
      </c>
      <c r="M22" s="7">
        <v>0</v>
      </c>
      <c r="N22" s="75">
        <v>0</v>
      </c>
      <c r="O22" s="507">
        <v>0</v>
      </c>
      <c r="P22" s="507">
        <v>0</v>
      </c>
      <c r="Q22" s="56">
        <v>0</v>
      </c>
      <c r="R22" s="7">
        <v>0</v>
      </c>
      <c r="S22" s="56">
        <v>0</v>
      </c>
      <c r="T22" s="507">
        <v>0</v>
      </c>
      <c r="U22" s="506">
        <v>0</v>
      </c>
      <c r="V22" s="75">
        <v>0</v>
      </c>
      <c r="W22" s="7">
        <v>0</v>
      </c>
      <c r="X22" s="134">
        <v>0</v>
      </c>
    </row>
    <row r="23" spans="1:24" s="3" customFormat="1" ht="9.75" x14ac:dyDescent="0.2">
      <c r="A23" s="27" t="s">
        <v>20</v>
      </c>
      <c r="B23" s="418" t="s">
        <v>66</v>
      </c>
      <c r="C23" s="419"/>
      <c r="D23" s="48" t="s">
        <v>25</v>
      </c>
      <c r="E23" s="55">
        <f t="shared" si="6"/>
        <v>0</v>
      </c>
      <c r="F23" s="56">
        <f t="shared" si="6"/>
        <v>1302</v>
      </c>
      <c r="G23" s="75">
        <f t="shared" si="6"/>
        <v>1302</v>
      </c>
      <c r="H23" s="7">
        <f t="shared" si="0"/>
        <v>100</v>
      </c>
      <c r="I23" s="80">
        <f t="shared" si="6"/>
        <v>18209</v>
      </c>
      <c r="J23" s="505">
        <v>0</v>
      </c>
      <c r="K23" s="506">
        <v>1302</v>
      </c>
      <c r="L23" s="75">
        <v>1302</v>
      </c>
      <c r="M23" s="7">
        <f t="shared" si="2"/>
        <v>100</v>
      </c>
      <c r="N23" s="75">
        <v>18209</v>
      </c>
      <c r="O23" s="507">
        <v>0</v>
      </c>
      <c r="P23" s="507">
        <v>0</v>
      </c>
      <c r="Q23" s="56">
        <v>0</v>
      </c>
      <c r="R23" s="7">
        <v>0</v>
      </c>
      <c r="S23" s="56">
        <v>0</v>
      </c>
      <c r="T23" s="507">
        <v>0</v>
      </c>
      <c r="U23" s="506">
        <v>0</v>
      </c>
      <c r="V23" s="75">
        <v>0</v>
      </c>
      <c r="W23" s="7">
        <v>0</v>
      </c>
      <c r="X23" s="134">
        <v>0</v>
      </c>
    </row>
    <row r="24" spans="1:24" s="3" customFormat="1" ht="9.75" x14ac:dyDescent="0.2">
      <c r="A24" s="27" t="s">
        <v>21</v>
      </c>
      <c r="B24" s="418" t="s">
        <v>73</v>
      </c>
      <c r="C24" s="419"/>
      <c r="D24" s="48" t="s">
        <v>25</v>
      </c>
      <c r="E24" s="55">
        <f t="shared" si="6"/>
        <v>0</v>
      </c>
      <c r="F24" s="56">
        <f t="shared" si="6"/>
        <v>0</v>
      </c>
      <c r="G24" s="75">
        <f t="shared" si="6"/>
        <v>0</v>
      </c>
      <c r="H24" s="7">
        <v>0</v>
      </c>
      <c r="I24" s="80">
        <f t="shared" si="6"/>
        <v>0</v>
      </c>
      <c r="J24" s="505">
        <v>0</v>
      </c>
      <c r="K24" s="506">
        <v>0</v>
      </c>
      <c r="L24" s="75">
        <v>0</v>
      </c>
      <c r="M24" s="7">
        <v>0</v>
      </c>
      <c r="N24" s="75">
        <v>0</v>
      </c>
      <c r="O24" s="507">
        <v>0</v>
      </c>
      <c r="P24" s="507">
        <v>0</v>
      </c>
      <c r="Q24" s="56">
        <v>0</v>
      </c>
      <c r="R24" s="7">
        <v>0</v>
      </c>
      <c r="S24" s="56">
        <v>0</v>
      </c>
      <c r="T24" s="507">
        <v>0</v>
      </c>
      <c r="U24" s="506">
        <v>0</v>
      </c>
      <c r="V24" s="75">
        <v>0</v>
      </c>
      <c r="W24" s="7">
        <v>0</v>
      </c>
      <c r="X24" s="134">
        <v>0</v>
      </c>
    </row>
    <row r="25" spans="1:24" s="3" customFormat="1" ht="9.75" x14ac:dyDescent="0.2">
      <c r="A25" s="28" t="s">
        <v>22</v>
      </c>
      <c r="B25" s="29" t="s">
        <v>68</v>
      </c>
      <c r="C25" s="30"/>
      <c r="D25" s="48" t="s">
        <v>25</v>
      </c>
      <c r="E25" s="55">
        <f t="shared" si="6"/>
        <v>20000</v>
      </c>
      <c r="F25" s="56">
        <f t="shared" si="6"/>
        <v>35100</v>
      </c>
      <c r="G25" s="75">
        <f t="shared" si="6"/>
        <v>35015</v>
      </c>
      <c r="H25" s="7">
        <f t="shared" si="0"/>
        <v>99.757834757834758</v>
      </c>
      <c r="I25" s="80">
        <f t="shared" si="6"/>
        <v>24115</v>
      </c>
      <c r="J25" s="513">
        <v>20000</v>
      </c>
      <c r="K25" s="508">
        <v>35100</v>
      </c>
      <c r="L25" s="74">
        <v>35015</v>
      </c>
      <c r="M25" s="7">
        <f t="shared" si="2"/>
        <v>99.757834757834758</v>
      </c>
      <c r="N25" s="74">
        <v>24115</v>
      </c>
      <c r="O25" s="509">
        <v>0</v>
      </c>
      <c r="P25" s="509">
        <v>0</v>
      </c>
      <c r="Q25" s="74">
        <v>0</v>
      </c>
      <c r="R25" s="7">
        <v>0</v>
      </c>
      <c r="S25" s="74">
        <v>0</v>
      </c>
      <c r="T25" s="509">
        <v>0</v>
      </c>
      <c r="U25" s="508">
        <v>0</v>
      </c>
      <c r="V25" s="74">
        <v>0</v>
      </c>
      <c r="W25" s="7">
        <v>0</v>
      </c>
      <c r="X25" s="96">
        <v>0</v>
      </c>
    </row>
    <row r="26" spans="1:24" s="10" customFormat="1" ht="9.75" x14ac:dyDescent="0.2">
      <c r="A26" s="27" t="s">
        <v>23</v>
      </c>
      <c r="B26" s="997" t="s">
        <v>69</v>
      </c>
      <c r="C26" s="998"/>
      <c r="D26" s="48" t="s">
        <v>25</v>
      </c>
      <c r="E26" s="55">
        <f t="shared" si="6"/>
        <v>972910</v>
      </c>
      <c r="F26" s="56">
        <f t="shared" si="6"/>
        <v>972910</v>
      </c>
      <c r="G26" s="75">
        <f t="shared" si="6"/>
        <v>967758.05</v>
      </c>
      <c r="H26" s="7">
        <f t="shared" si="0"/>
        <v>99.470459754756362</v>
      </c>
      <c r="I26" s="80">
        <f t="shared" si="6"/>
        <v>876949</v>
      </c>
      <c r="J26" s="513">
        <v>972910</v>
      </c>
      <c r="K26" s="514">
        <v>972910</v>
      </c>
      <c r="L26" s="75">
        <v>967758.05</v>
      </c>
      <c r="M26" s="7">
        <f t="shared" si="2"/>
        <v>99.470459754756362</v>
      </c>
      <c r="N26" s="75">
        <v>876949</v>
      </c>
      <c r="O26" s="515">
        <v>0</v>
      </c>
      <c r="P26" s="515">
        <v>0</v>
      </c>
      <c r="Q26" s="75">
        <v>0</v>
      </c>
      <c r="R26" s="7">
        <v>0</v>
      </c>
      <c r="S26" s="75">
        <v>0</v>
      </c>
      <c r="T26" s="515">
        <v>25721</v>
      </c>
      <c r="U26" s="514">
        <v>35621</v>
      </c>
      <c r="V26" s="75">
        <v>35533</v>
      </c>
      <c r="W26" s="7">
        <f t="shared" si="4"/>
        <v>99.752954717722702</v>
      </c>
      <c r="X26" s="134">
        <v>31910</v>
      </c>
    </row>
    <row r="27" spans="1:24" s="12" customFormat="1" ht="9.75" x14ac:dyDescent="0.2">
      <c r="A27" s="27" t="s">
        <v>45</v>
      </c>
      <c r="B27" s="418" t="s">
        <v>70</v>
      </c>
      <c r="C27" s="419"/>
      <c r="D27" s="48" t="s">
        <v>25</v>
      </c>
      <c r="E27" s="55">
        <f t="shared" si="6"/>
        <v>0</v>
      </c>
      <c r="F27" s="56">
        <f t="shared" si="6"/>
        <v>315</v>
      </c>
      <c r="G27" s="75">
        <f t="shared" si="6"/>
        <v>315</v>
      </c>
      <c r="H27" s="11">
        <f>G27/F27*100</f>
        <v>100</v>
      </c>
      <c r="I27" s="80">
        <f t="shared" si="6"/>
        <v>0</v>
      </c>
      <c r="J27" s="513">
        <v>0</v>
      </c>
      <c r="K27" s="514">
        <v>315</v>
      </c>
      <c r="L27" s="75">
        <v>315</v>
      </c>
      <c r="M27" s="7">
        <f t="shared" si="2"/>
        <v>100</v>
      </c>
      <c r="N27" s="75">
        <v>0</v>
      </c>
      <c r="O27" s="515">
        <v>0</v>
      </c>
      <c r="P27" s="515">
        <v>0</v>
      </c>
      <c r="Q27" s="75">
        <v>0</v>
      </c>
      <c r="R27" s="7">
        <v>0</v>
      </c>
      <c r="S27" s="75">
        <v>0</v>
      </c>
      <c r="T27" s="515">
        <v>0</v>
      </c>
      <c r="U27" s="514">
        <v>0</v>
      </c>
      <c r="V27" s="75">
        <v>0</v>
      </c>
      <c r="W27" s="7">
        <v>0</v>
      </c>
      <c r="X27" s="134">
        <v>0</v>
      </c>
    </row>
    <row r="28" spans="1:24" s="12" customFormat="1" ht="9.75" x14ac:dyDescent="0.2">
      <c r="A28" s="27" t="s">
        <v>51</v>
      </c>
      <c r="B28" s="418" t="s">
        <v>74</v>
      </c>
      <c r="C28" s="419"/>
      <c r="D28" s="48" t="s">
        <v>25</v>
      </c>
      <c r="E28" s="55">
        <v>0</v>
      </c>
      <c r="F28" s="56">
        <f t="shared" si="6"/>
        <v>121674.65</v>
      </c>
      <c r="G28" s="75">
        <f t="shared" si="6"/>
        <v>121610.09999999999</v>
      </c>
      <c r="H28" s="11">
        <f t="shared" si="0"/>
        <v>99.946948686517686</v>
      </c>
      <c r="I28" s="80">
        <f t="shared" si="6"/>
        <v>92514</v>
      </c>
      <c r="J28" s="513">
        <v>0</v>
      </c>
      <c r="K28" s="514">
        <v>48000</v>
      </c>
      <c r="L28" s="75">
        <v>47935.45</v>
      </c>
      <c r="M28" s="7">
        <f t="shared" si="2"/>
        <v>99.865520833333335</v>
      </c>
      <c r="N28" s="75">
        <v>71565</v>
      </c>
      <c r="O28" s="515">
        <v>0</v>
      </c>
      <c r="P28" s="515">
        <v>73674.649999999994</v>
      </c>
      <c r="Q28" s="75">
        <v>73674.649999999994</v>
      </c>
      <c r="R28" s="7">
        <f t="shared" si="3"/>
        <v>100</v>
      </c>
      <c r="S28" s="75">
        <v>20949</v>
      </c>
      <c r="T28" s="515">
        <v>0</v>
      </c>
      <c r="U28" s="514">
        <v>15100</v>
      </c>
      <c r="V28" s="75">
        <v>15007</v>
      </c>
      <c r="W28" s="7">
        <f t="shared" si="4"/>
        <v>99.384105960264904</v>
      </c>
      <c r="X28" s="134">
        <v>23314</v>
      </c>
    </row>
    <row r="29" spans="1:24" s="10" customFormat="1" ht="9.75" x14ac:dyDescent="0.2">
      <c r="A29" s="27" t="s">
        <v>52</v>
      </c>
      <c r="B29" s="997" t="s">
        <v>67</v>
      </c>
      <c r="C29" s="998"/>
      <c r="D29" s="48" t="s">
        <v>25</v>
      </c>
      <c r="E29" s="55">
        <f t="shared" ref="E29:G31" si="7">SUM(J29,O29)</f>
        <v>2517</v>
      </c>
      <c r="F29" s="56">
        <f t="shared" si="7"/>
        <v>817</v>
      </c>
      <c r="G29" s="75">
        <f t="shared" si="7"/>
        <v>817</v>
      </c>
      <c r="H29" s="11">
        <f t="shared" si="0"/>
        <v>100</v>
      </c>
      <c r="I29" s="80">
        <f t="shared" ref="I29:I32" si="8">SUM(N29,S29)</f>
        <v>817</v>
      </c>
      <c r="J29" s="513">
        <v>2517</v>
      </c>
      <c r="K29" s="514">
        <v>817</v>
      </c>
      <c r="L29" s="75">
        <v>817</v>
      </c>
      <c r="M29" s="7">
        <f t="shared" si="2"/>
        <v>100</v>
      </c>
      <c r="N29" s="75">
        <v>817</v>
      </c>
      <c r="O29" s="515">
        <v>0</v>
      </c>
      <c r="P29" s="515">
        <v>0</v>
      </c>
      <c r="Q29" s="75">
        <v>0</v>
      </c>
      <c r="R29" s="7">
        <v>0</v>
      </c>
      <c r="S29" s="75">
        <v>0</v>
      </c>
      <c r="T29" s="515">
        <v>0</v>
      </c>
      <c r="U29" s="514">
        <v>0</v>
      </c>
      <c r="V29" s="75">
        <v>0</v>
      </c>
      <c r="W29" s="7">
        <v>0</v>
      </c>
      <c r="X29" s="134">
        <v>0</v>
      </c>
    </row>
    <row r="30" spans="1:24" s="3" customFormat="1" ht="9.75" x14ac:dyDescent="0.2">
      <c r="A30" s="27" t="s">
        <v>54</v>
      </c>
      <c r="B30" s="418" t="s">
        <v>53</v>
      </c>
      <c r="C30" s="419"/>
      <c r="D30" s="48" t="s">
        <v>25</v>
      </c>
      <c r="E30" s="55">
        <f t="shared" si="7"/>
        <v>0</v>
      </c>
      <c r="F30" s="56">
        <f t="shared" si="7"/>
        <v>0</v>
      </c>
      <c r="G30" s="75">
        <f t="shared" si="7"/>
        <v>0</v>
      </c>
      <c r="H30" s="11">
        <v>0</v>
      </c>
      <c r="I30" s="80">
        <f t="shared" si="8"/>
        <v>0</v>
      </c>
      <c r="J30" s="505">
        <v>0</v>
      </c>
      <c r="K30" s="514">
        <v>0</v>
      </c>
      <c r="L30" s="75">
        <v>0</v>
      </c>
      <c r="M30" s="7">
        <v>0</v>
      </c>
      <c r="N30" s="75">
        <v>0</v>
      </c>
      <c r="O30" s="515">
        <v>0</v>
      </c>
      <c r="P30" s="515">
        <v>0</v>
      </c>
      <c r="Q30" s="75">
        <v>0</v>
      </c>
      <c r="R30" s="7">
        <v>0</v>
      </c>
      <c r="S30" s="75">
        <v>0</v>
      </c>
      <c r="T30" s="515">
        <v>0</v>
      </c>
      <c r="U30" s="514">
        <v>0</v>
      </c>
      <c r="V30" s="75">
        <v>0</v>
      </c>
      <c r="W30" s="7">
        <v>0</v>
      </c>
      <c r="X30" s="134">
        <v>0</v>
      </c>
    </row>
    <row r="31" spans="1:24" s="31" customFormat="1" ht="9.75" x14ac:dyDescent="0.2">
      <c r="A31" s="27" t="s">
        <v>55</v>
      </c>
      <c r="B31" s="102" t="s">
        <v>71</v>
      </c>
      <c r="C31" s="103"/>
      <c r="D31" s="48" t="s">
        <v>25</v>
      </c>
      <c r="E31" s="55">
        <f t="shared" si="7"/>
        <v>0</v>
      </c>
      <c r="F31" s="56">
        <f t="shared" si="7"/>
        <v>0</v>
      </c>
      <c r="G31" s="56">
        <f t="shared" si="7"/>
        <v>0</v>
      </c>
      <c r="H31" s="11">
        <v>0</v>
      </c>
      <c r="I31" s="80">
        <f t="shared" si="8"/>
        <v>0</v>
      </c>
      <c r="J31" s="505">
        <v>0</v>
      </c>
      <c r="K31" s="516">
        <v>0</v>
      </c>
      <c r="L31" s="104">
        <v>0</v>
      </c>
      <c r="M31" s="7">
        <v>0</v>
      </c>
      <c r="N31" s="104">
        <v>0</v>
      </c>
      <c r="O31" s="517">
        <v>0</v>
      </c>
      <c r="P31" s="517">
        <v>0</v>
      </c>
      <c r="Q31" s="104">
        <v>0</v>
      </c>
      <c r="R31" s="7">
        <v>0</v>
      </c>
      <c r="S31" s="104">
        <v>0</v>
      </c>
      <c r="T31" s="518">
        <v>0</v>
      </c>
      <c r="U31" s="516">
        <v>0</v>
      </c>
      <c r="V31" s="143">
        <v>0</v>
      </c>
      <c r="W31" s="7">
        <v>0</v>
      </c>
      <c r="X31" s="144">
        <v>0</v>
      </c>
    </row>
    <row r="32" spans="1:24" s="31" customFormat="1" ht="9.75" x14ac:dyDescent="0.2">
      <c r="A32" s="110" t="s">
        <v>56</v>
      </c>
      <c r="B32" s="111" t="s">
        <v>72</v>
      </c>
      <c r="C32" s="112"/>
      <c r="D32" s="49" t="s">
        <v>25</v>
      </c>
      <c r="E32" s="57">
        <f>SUM(J32,O32)</f>
        <v>0</v>
      </c>
      <c r="F32" s="58">
        <f>SUM(K32,P32)</f>
        <v>0</v>
      </c>
      <c r="G32" s="58">
        <f>SUM(L32,Q32)</f>
        <v>0</v>
      </c>
      <c r="H32" s="13">
        <v>0</v>
      </c>
      <c r="I32" s="65">
        <f t="shared" si="8"/>
        <v>0</v>
      </c>
      <c r="J32" s="502">
        <v>0</v>
      </c>
      <c r="K32" s="519">
        <v>0</v>
      </c>
      <c r="L32" s="90">
        <v>0</v>
      </c>
      <c r="M32" s="24">
        <v>0</v>
      </c>
      <c r="N32" s="90">
        <v>0</v>
      </c>
      <c r="O32" s="518">
        <v>0</v>
      </c>
      <c r="P32" s="518">
        <v>0</v>
      </c>
      <c r="Q32" s="90">
        <v>0</v>
      </c>
      <c r="R32" s="24">
        <v>0</v>
      </c>
      <c r="S32" s="90">
        <v>0</v>
      </c>
      <c r="T32" s="518">
        <v>0</v>
      </c>
      <c r="U32" s="516">
        <v>0</v>
      </c>
      <c r="V32" s="145">
        <v>0</v>
      </c>
      <c r="W32" s="24">
        <v>0</v>
      </c>
      <c r="X32" s="146">
        <v>0</v>
      </c>
    </row>
    <row r="33" spans="1:24" s="31" customFormat="1" ht="9.75" x14ac:dyDescent="0.2">
      <c r="A33" s="16" t="s">
        <v>57</v>
      </c>
      <c r="B33" s="34" t="s">
        <v>58</v>
      </c>
      <c r="C33" s="35"/>
      <c r="D33" s="17" t="s">
        <v>25</v>
      </c>
      <c r="E33" s="52">
        <f>E6-E11</f>
        <v>0</v>
      </c>
      <c r="F33" s="52">
        <f t="shared" ref="F33:G33" si="9">F6-F11</f>
        <v>0.35000000149011612</v>
      </c>
      <c r="G33" s="52">
        <f t="shared" si="9"/>
        <v>55026.320000007749</v>
      </c>
      <c r="H33" s="32">
        <f>G33/F33*100</f>
        <v>15721805.64735274</v>
      </c>
      <c r="I33" s="52">
        <f>I6-I11</f>
        <v>79333.519999999553</v>
      </c>
      <c r="J33" s="52">
        <f t="shared" ref="J33:L33" si="10">J6-J11</f>
        <v>0</v>
      </c>
      <c r="K33" s="52">
        <f t="shared" si="10"/>
        <v>0</v>
      </c>
      <c r="L33" s="52">
        <f t="shared" si="10"/>
        <v>55026.320000000298</v>
      </c>
      <c r="M33" s="520" t="s">
        <v>343</v>
      </c>
      <c r="N33" s="52">
        <f t="shared" ref="N33:P33" si="11">N6-N11</f>
        <v>79333.519999999553</v>
      </c>
      <c r="O33" s="52">
        <f t="shared" si="11"/>
        <v>0</v>
      </c>
      <c r="P33" s="52">
        <f t="shared" si="11"/>
        <v>0.35000000149011612</v>
      </c>
      <c r="Q33" s="52">
        <f>Q6-Q11</f>
        <v>0</v>
      </c>
      <c r="R33" s="33">
        <f>Q33/P33*100</f>
        <v>0</v>
      </c>
      <c r="S33" s="52">
        <f t="shared" ref="S33:V33" si="12">S6-S11</f>
        <v>0</v>
      </c>
      <c r="T33" s="52">
        <f t="shared" si="12"/>
        <v>52966</v>
      </c>
      <c r="U33" s="52">
        <f t="shared" si="12"/>
        <v>52966</v>
      </c>
      <c r="V33" s="52">
        <f t="shared" si="12"/>
        <v>85759.640000000014</v>
      </c>
      <c r="W33" s="33">
        <f>V33/U33*100</f>
        <v>161.91451119586154</v>
      </c>
      <c r="X33" s="52">
        <f>X6-X11</f>
        <v>98729.380000000121</v>
      </c>
    </row>
    <row r="34" spans="1:24" s="37" customFormat="1" ht="9.75" x14ac:dyDescent="0.2">
      <c r="A34" s="36" t="s">
        <v>59</v>
      </c>
      <c r="B34" s="999" t="s">
        <v>24</v>
      </c>
      <c r="C34" s="1000"/>
      <c r="D34" s="99" t="s">
        <v>25</v>
      </c>
      <c r="E34" s="497">
        <v>24425</v>
      </c>
      <c r="F34" s="497">
        <v>25587</v>
      </c>
      <c r="G34" s="521">
        <v>28436</v>
      </c>
      <c r="H34" s="522">
        <f t="shared" si="0"/>
        <v>111.13456051901356</v>
      </c>
      <c r="I34" s="523">
        <v>26644</v>
      </c>
      <c r="J34" s="524"/>
      <c r="K34" s="525"/>
      <c r="L34" s="526"/>
      <c r="M34" s="527">
        <v>0</v>
      </c>
      <c r="N34" s="526"/>
      <c r="O34" s="498">
        <v>24176</v>
      </c>
      <c r="P34" s="498">
        <v>25333</v>
      </c>
      <c r="Q34" s="526">
        <v>25893</v>
      </c>
      <c r="R34" s="172">
        <f>Q34/P34*100</f>
        <v>102.21055540204476</v>
      </c>
      <c r="S34" s="526"/>
      <c r="T34" s="525"/>
      <c r="U34" s="526"/>
      <c r="V34" s="525"/>
      <c r="W34" s="172">
        <v>0</v>
      </c>
      <c r="X34" s="525"/>
    </row>
    <row r="35" spans="1:24" s="37" customFormat="1" ht="9.75" x14ac:dyDescent="0.2">
      <c r="A35" s="38" t="s">
        <v>60</v>
      </c>
      <c r="B35" s="1001" t="s">
        <v>33</v>
      </c>
      <c r="C35" s="1002"/>
      <c r="D35" s="100" t="s">
        <v>26</v>
      </c>
      <c r="E35" s="497">
        <v>59.65</v>
      </c>
      <c r="F35" s="497">
        <v>61</v>
      </c>
      <c r="G35" s="528">
        <v>54.762999999999998</v>
      </c>
      <c r="H35" s="173">
        <f>G35/F35*100</f>
        <v>89.775409836065563</v>
      </c>
      <c r="I35" s="529">
        <v>54</v>
      </c>
      <c r="J35" s="530"/>
      <c r="K35" s="444"/>
      <c r="L35" s="531"/>
      <c r="M35" s="172">
        <v>0</v>
      </c>
      <c r="N35" s="532"/>
      <c r="O35" s="498">
        <v>59.65</v>
      </c>
      <c r="P35" s="498">
        <v>61</v>
      </c>
      <c r="Q35" s="530">
        <v>59.68</v>
      </c>
      <c r="R35" s="172">
        <f>Q35/P35*100</f>
        <v>97.836065573770497</v>
      </c>
      <c r="S35" s="531"/>
      <c r="T35" s="444"/>
      <c r="U35" s="531"/>
      <c r="V35" s="444"/>
      <c r="W35" s="172">
        <v>0</v>
      </c>
      <c r="X35" s="444"/>
    </row>
    <row r="36" spans="1:24" s="37" customFormat="1" ht="9.75" x14ac:dyDescent="0.2">
      <c r="A36" s="39" t="s">
        <v>61</v>
      </c>
      <c r="B36" s="1003" t="s">
        <v>27</v>
      </c>
      <c r="C36" s="1004"/>
      <c r="D36" s="101" t="s">
        <v>26</v>
      </c>
      <c r="E36" s="497">
        <v>72</v>
      </c>
      <c r="F36" s="497">
        <v>73</v>
      </c>
      <c r="G36" s="533">
        <v>65</v>
      </c>
      <c r="H36" s="534">
        <f t="shared" si="0"/>
        <v>89.041095890410958</v>
      </c>
      <c r="I36" s="535">
        <v>61</v>
      </c>
      <c r="J36" s="536"/>
      <c r="K36" s="537"/>
      <c r="L36" s="538"/>
      <c r="M36" s="172">
        <v>0</v>
      </c>
      <c r="N36" s="538"/>
      <c r="O36" s="498">
        <v>72</v>
      </c>
      <c r="P36" s="498">
        <v>73</v>
      </c>
      <c r="Q36" s="538">
        <v>61</v>
      </c>
      <c r="R36" s="172">
        <f>Q36/P36*100</f>
        <v>83.561643835616437</v>
      </c>
      <c r="S36" s="538"/>
      <c r="T36" s="537"/>
      <c r="U36" s="538"/>
      <c r="V36" s="537"/>
      <c r="W36" s="539">
        <v>0</v>
      </c>
      <c r="X36" s="537"/>
    </row>
    <row r="38" spans="1:24" x14ac:dyDescent="0.15">
      <c r="J38" s="1219" t="s">
        <v>344</v>
      </c>
      <c r="K38" s="1219"/>
      <c r="L38" s="1219"/>
      <c r="T38" s="1219" t="s">
        <v>345</v>
      </c>
      <c r="U38" s="1219"/>
      <c r="V38" s="1219"/>
      <c r="W38" s="1219"/>
      <c r="X38" s="540"/>
    </row>
    <row r="39" spans="1:24" x14ac:dyDescent="0.15">
      <c r="J39" s="1219" t="s">
        <v>346</v>
      </c>
      <c r="K39" s="1219"/>
      <c r="L39" s="1219"/>
    </row>
  </sheetData>
  <mergeCells count="42">
    <mergeCell ref="A1:X1"/>
    <mergeCell ref="A3:A5"/>
    <mergeCell ref="B3:C5"/>
    <mergeCell ref="D3:D5"/>
    <mergeCell ref="E3:I3"/>
    <mergeCell ref="J3:N3"/>
    <mergeCell ref="O3:S3"/>
    <mergeCell ref="T3:X3"/>
    <mergeCell ref="E4:E5"/>
    <mergeCell ref="F4:H4"/>
    <mergeCell ref="S4:S5"/>
    <mergeCell ref="T4:T5"/>
    <mergeCell ref="U4:W4"/>
    <mergeCell ref="X4:X5"/>
    <mergeCell ref="O4:O5"/>
    <mergeCell ref="P4:R4"/>
    <mergeCell ref="B7:C7"/>
    <mergeCell ref="I4:I5"/>
    <mergeCell ref="J4:J5"/>
    <mergeCell ref="K4:M4"/>
    <mergeCell ref="N4:N5"/>
    <mergeCell ref="B6:C6"/>
    <mergeCell ref="B22:C22"/>
    <mergeCell ref="B8:C8"/>
    <mergeCell ref="B10:C10"/>
    <mergeCell ref="B11:C11"/>
    <mergeCell ref="B12:C12"/>
    <mergeCell ref="B13:C13"/>
    <mergeCell ref="B15:C15"/>
    <mergeCell ref="B16:C16"/>
    <mergeCell ref="B18:C18"/>
    <mergeCell ref="B19:C19"/>
    <mergeCell ref="B20:C20"/>
    <mergeCell ref="B21:C21"/>
    <mergeCell ref="J38:L38"/>
    <mergeCell ref="T38:W38"/>
    <mergeCell ref="J39:L39"/>
    <mergeCell ref="B26:C26"/>
    <mergeCell ref="B29:C29"/>
    <mergeCell ref="B34:C34"/>
    <mergeCell ref="B35:C35"/>
    <mergeCell ref="B36:C36"/>
  </mergeCells>
  <pageMargins left="0.70866141732283472" right="0.70866141732283472" top="0.78740157480314965" bottom="0.78740157480314965" header="0.31496062992125984" footer="0.31496062992125984"/>
  <pageSetup paperSize="9" scale="91" firstPageNumber="98" orientation="landscape" useFirstPageNumber="1" r:id="rId1"/>
  <headerFoot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1"/>
  <sheetViews>
    <sheetView topLeftCell="A115" workbookViewId="0">
      <selection activeCell="A107" sqref="A107:XFD107"/>
    </sheetView>
  </sheetViews>
  <sheetFormatPr defaultRowHeight="12.75" x14ac:dyDescent="0.2"/>
  <cols>
    <col min="1" max="1" width="58" style="240" customWidth="1"/>
    <col min="2" max="2" width="33.5" style="240" customWidth="1"/>
    <col min="3" max="5" width="25.75" style="240" customWidth="1"/>
    <col min="6" max="6" width="22.75" style="240" customWidth="1"/>
    <col min="7" max="16384" width="10" style="240"/>
  </cols>
  <sheetData>
    <row r="1" spans="1:9" s="425" customFormat="1" ht="18.75" x14ac:dyDescent="0.3">
      <c r="A1" s="425" t="s">
        <v>92</v>
      </c>
      <c r="B1" s="1119" t="s">
        <v>556</v>
      </c>
      <c r="C1" s="1119"/>
      <c r="D1" s="1119"/>
      <c r="E1" s="1119"/>
      <c r="F1" s="1119"/>
      <c r="G1" s="1119"/>
      <c r="H1" s="1119"/>
      <c r="I1" s="1119"/>
    </row>
    <row r="3" spans="1:9" s="180" customFormat="1" ht="10.5" x14ac:dyDescent="0.15">
      <c r="A3" s="1039" t="s">
        <v>354</v>
      </c>
      <c r="B3" s="1039"/>
      <c r="C3" s="1039"/>
      <c r="D3" s="1039"/>
      <c r="E3" s="1039"/>
      <c r="F3" s="1039"/>
      <c r="G3" s="1039"/>
      <c r="H3" s="1039"/>
      <c r="I3" s="1039"/>
    </row>
    <row r="4" spans="1:9" s="181" customFormat="1" ht="11.25" x14ac:dyDescent="0.2"/>
    <row r="5" spans="1:9" s="182" customFormat="1" ht="9.75" x14ac:dyDescent="0.2">
      <c r="A5" s="1040" t="s">
        <v>93</v>
      </c>
      <c r="B5" s="1041"/>
      <c r="C5" s="420" t="s">
        <v>25</v>
      </c>
      <c r="D5" s="1042" t="s">
        <v>355</v>
      </c>
      <c r="E5" s="1042"/>
      <c r="F5" s="1042"/>
      <c r="G5" s="1042"/>
      <c r="H5" s="1042"/>
      <c r="I5" s="1042"/>
    </row>
    <row r="6" spans="1:9" s="181" customFormat="1" ht="15" customHeight="1" x14ac:dyDescent="0.2">
      <c r="A6" s="1043" t="s">
        <v>356</v>
      </c>
      <c r="B6" s="1043"/>
      <c r="C6" s="183">
        <f>SUM(C7:C9)</f>
        <v>140785.96</v>
      </c>
      <c r="D6" s="1044"/>
      <c r="E6" s="1045"/>
      <c r="F6" s="1045"/>
      <c r="G6" s="1045"/>
      <c r="H6" s="1045"/>
      <c r="I6" s="1045"/>
    </row>
    <row r="7" spans="1:9" s="181" customFormat="1" ht="59.25" customHeight="1" x14ac:dyDescent="0.2">
      <c r="A7" s="1046" t="s">
        <v>94</v>
      </c>
      <c r="B7" s="1047"/>
      <c r="C7" s="184">
        <v>55026.32</v>
      </c>
      <c r="D7" s="1122" t="s">
        <v>557</v>
      </c>
      <c r="E7" s="1125"/>
      <c r="F7" s="1125"/>
      <c r="G7" s="1125"/>
      <c r="H7" s="1125"/>
      <c r="I7" s="1126"/>
    </row>
    <row r="8" spans="1:9" s="180" customFormat="1" ht="27" customHeight="1" x14ac:dyDescent="0.15">
      <c r="A8" s="1049" t="s">
        <v>95</v>
      </c>
      <c r="B8" s="1050"/>
      <c r="C8" s="185">
        <v>85759.64</v>
      </c>
      <c r="D8" s="1122" t="s">
        <v>558</v>
      </c>
      <c r="E8" s="1125"/>
      <c r="F8" s="1125"/>
      <c r="G8" s="1125"/>
      <c r="H8" s="1125"/>
      <c r="I8" s="1126"/>
    </row>
    <row r="9" spans="1:9" s="180" customFormat="1" ht="15" customHeight="1" x14ac:dyDescent="0.15">
      <c r="A9" s="1049" t="s">
        <v>96</v>
      </c>
      <c r="B9" s="1050"/>
      <c r="C9" s="185"/>
      <c r="D9" s="1051"/>
      <c r="E9" s="1052"/>
      <c r="F9" s="1052"/>
      <c r="G9" s="1052"/>
      <c r="H9" s="1052"/>
      <c r="I9" s="1053"/>
    </row>
    <row r="10" spans="1:9" s="181" customFormat="1" ht="11.25" x14ac:dyDescent="0.2">
      <c r="C10" s="186"/>
    </row>
    <row r="11" spans="1:9" s="181" customFormat="1" ht="11.25" x14ac:dyDescent="0.2">
      <c r="A11" s="1039" t="s">
        <v>359</v>
      </c>
      <c r="B11" s="1039"/>
      <c r="C11" s="1039"/>
      <c r="D11" s="1039"/>
      <c r="E11" s="1039"/>
      <c r="F11" s="1039"/>
      <c r="G11" s="1039"/>
      <c r="H11" s="1039"/>
      <c r="I11" s="1039"/>
    </row>
    <row r="12" spans="1:9" s="181" customFormat="1" ht="11.25" x14ac:dyDescent="0.2">
      <c r="C12" s="186"/>
      <c r="D12" s="187"/>
      <c r="E12" s="187"/>
      <c r="F12" s="187"/>
      <c r="G12" s="187"/>
      <c r="H12" s="187"/>
      <c r="I12" s="187"/>
    </row>
    <row r="13" spans="1:9" s="190" customFormat="1" ht="9.75" x14ac:dyDescent="0.2">
      <c r="A13" s="420" t="s">
        <v>93</v>
      </c>
      <c r="B13" s="420" t="s">
        <v>97</v>
      </c>
      <c r="C13" s="420" t="s">
        <v>25</v>
      </c>
      <c r="D13" s="188"/>
      <c r="E13" s="189"/>
      <c r="F13" s="189"/>
      <c r="G13" s="189"/>
      <c r="H13" s="189"/>
      <c r="I13" s="189"/>
    </row>
    <row r="14" spans="1:9" s="181" customFormat="1" ht="15" customHeight="1" x14ac:dyDescent="0.2">
      <c r="A14" s="191" t="s">
        <v>98</v>
      </c>
      <c r="B14" s="192"/>
      <c r="C14" s="193">
        <v>42360</v>
      </c>
      <c r="D14" s="194"/>
      <c r="E14" s="195"/>
      <c r="F14" s="195"/>
      <c r="G14" s="195"/>
      <c r="H14" s="195"/>
      <c r="I14" s="195"/>
    </row>
    <row r="15" spans="1:9" s="181" customFormat="1" ht="15" customHeight="1" x14ac:dyDescent="0.2">
      <c r="A15" s="1037" t="s">
        <v>99</v>
      </c>
      <c r="B15" s="196" t="s">
        <v>100</v>
      </c>
      <c r="C15" s="197">
        <v>2666.32</v>
      </c>
      <c r="D15" s="198"/>
      <c r="E15" s="199"/>
      <c r="F15" s="199"/>
      <c r="G15" s="199"/>
      <c r="H15" s="199"/>
      <c r="I15" s="199"/>
    </row>
    <row r="16" spans="1:9" s="181" customFormat="1" ht="15" customHeight="1" x14ac:dyDescent="0.2">
      <c r="A16" s="1038"/>
      <c r="B16" s="200" t="s">
        <v>100</v>
      </c>
      <c r="C16" s="201">
        <v>85759.64</v>
      </c>
      <c r="D16" s="198"/>
      <c r="E16" s="199"/>
      <c r="F16" s="199"/>
      <c r="G16" s="199"/>
      <c r="H16" s="199"/>
      <c r="I16" s="199"/>
    </row>
    <row r="17" spans="1:9" s="181" customFormat="1" ht="15" customHeight="1" x14ac:dyDescent="0.2">
      <c r="A17" s="1038"/>
      <c r="B17" s="200" t="s">
        <v>101</v>
      </c>
      <c r="C17" s="202">
        <v>10000</v>
      </c>
      <c r="D17" s="203"/>
      <c r="E17" s="204"/>
      <c r="F17" s="204"/>
      <c r="G17" s="204"/>
      <c r="H17" s="204"/>
      <c r="I17" s="204"/>
    </row>
    <row r="18" spans="1:9" s="181" customFormat="1" ht="15" customHeight="1" x14ac:dyDescent="0.2">
      <c r="A18" s="421" t="s">
        <v>356</v>
      </c>
      <c r="B18" s="205"/>
      <c r="C18" s="206">
        <f>SUM(C14:C17)</f>
        <v>140785.96</v>
      </c>
      <c r="D18" s="207"/>
      <c r="E18" s="207"/>
      <c r="F18" s="207"/>
      <c r="G18" s="207"/>
      <c r="H18" s="207"/>
      <c r="I18" s="207"/>
    </row>
    <row r="19" spans="1:9" s="209" customFormat="1" ht="11.25" x14ac:dyDescent="0.2">
      <c r="A19" s="208"/>
      <c r="C19" s="210"/>
      <c r="D19" s="211"/>
      <c r="E19" s="211"/>
      <c r="F19" s="211"/>
      <c r="G19" s="211"/>
      <c r="H19" s="211"/>
      <c r="I19" s="211"/>
    </row>
    <row r="20" spans="1:9" s="181" customFormat="1" ht="11.25" x14ac:dyDescent="0.2">
      <c r="A20" s="1039" t="s">
        <v>360</v>
      </c>
      <c r="B20" s="1039"/>
      <c r="C20" s="1039"/>
      <c r="D20" s="1039"/>
      <c r="E20" s="1039"/>
      <c r="F20" s="1039"/>
      <c r="G20" s="1039"/>
      <c r="H20" s="1039"/>
      <c r="I20" s="1039"/>
    </row>
    <row r="21" spans="1:9" s="181" customFormat="1" ht="11.25" x14ac:dyDescent="0.2">
      <c r="C21" s="186"/>
    </row>
    <row r="22" spans="1:9" s="212" customFormat="1" ht="9.75" x14ac:dyDescent="0.2">
      <c r="A22" s="420" t="s">
        <v>97</v>
      </c>
      <c r="B22" s="420" t="s">
        <v>361</v>
      </c>
      <c r="C22" s="423" t="s">
        <v>362</v>
      </c>
      <c r="D22" s="420" t="s">
        <v>363</v>
      </c>
      <c r="E22" s="420" t="s">
        <v>364</v>
      </c>
      <c r="F22" s="1042" t="s">
        <v>365</v>
      </c>
      <c r="G22" s="1042"/>
      <c r="H22" s="1042"/>
      <c r="I22" s="1042"/>
    </row>
    <row r="23" spans="1:9" s="181" customFormat="1" ht="86.25" customHeight="1" x14ac:dyDescent="0.2">
      <c r="A23" s="213" t="s">
        <v>102</v>
      </c>
      <c r="B23" s="297">
        <v>82152.28</v>
      </c>
      <c r="C23" s="214">
        <v>890720.1</v>
      </c>
      <c r="D23" s="214">
        <v>142547</v>
      </c>
      <c r="E23" s="214">
        <f>B23+C23-D23</f>
        <v>830325.38</v>
      </c>
      <c r="F23" s="1054" t="s">
        <v>559</v>
      </c>
      <c r="G23" s="1055"/>
      <c r="H23" s="1055"/>
      <c r="I23" s="1056"/>
    </row>
    <row r="24" spans="1:9" s="181" customFormat="1" ht="27" customHeight="1" x14ac:dyDescent="0.2">
      <c r="A24" s="196" t="s">
        <v>103</v>
      </c>
      <c r="B24" s="300">
        <v>103615</v>
      </c>
      <c r="C24" s="300">
        <v>1137062.05</v>
      </c>
      <c r="D24" s="300">
        <v>1128292</v>
      </c>
      <c r="E24" s="215">
        <f t="shared" ref="E24:E26" si="0">B24+C24-D24</f>
        <v>112385.05000000005</v>
      </c>
      <c r="F24" s="1057" t="s">
        <v>560</v>
      </c>
      <c r="G24" s="1058"/>
      <c r="H24" s="1058"/>
      <c r="I24" s="1059"/>
    </row>
    <row r="25" spans="1:9" s="181" customFormat="1" ht="27" customHeight="1" x14ac:dyDescent="0.2">
      <c r="A25" s="196" t="s">
        <v>101</v>
      </c>
      <c r="B25" s="298">
        <v>41000.78</v>
      </c>
      <c r="C25" s="298">
        <v>20000</v>
      </c>
      <c r="D25" s="298">
        <v>7900</v>
      </c>
      <c r="E25" s="215">
        <f t="shared" si="0"/>
        <v>53100.78</v>
      </c>
      <c r="F25" s="1057" t="s">
        <v>408</v>
      </c>
      <c r="G25" s="1058"/>
      <c r="H25" s="1058"/>
      <c r="I25" s="1059"/>
    </row>
    <row r="26" spans="1:9" s="181" customFormat="1" ht="27" customHeight="1" x14ac:dyDescent="0.2">
      <c r="A26" s="200" t="s">
        <v>104</v>
      </c>
      <c r="B26" s="297">
        <v>226357</v>
      </c>
      <c r="C26" s="297">
        <v>372405</v>
      </c>
      <c r="D26" s="297">
        <v>272272</v>
      </c>
      <c r="E26" s="215">
        <f t="shared" si="0"/>
        <v>326490</v>
      </c>
      <c r="F26" s="1060" t="s">
        <v>137</v>
      </c>
      <c r="G26" s="1061"/>
      <c r="H26" s="1061"/>
      <c r="I26" s="1062"/>
    </row>
    <row r="27" spans="1:9" s="180" customFormat="1" ht="10.5" x14ac:dyDescent="0.15">
      <c r="A27" s="217" t="s">
        <v>34</v>
      </c>
      <c r="B27" s="183">
        <f>SUM(B23:B26)</f>
        <v>453125.06</v>
      </c>
      <c r="C27" s="183">
        <f t="shared" ref="C27:E27" si="1">SUM(C23:C26)</f>
        <v>2420187.15</v>
      </c>
      <c r="D27" s="183">
        <f t="shared" si="1"/>
        <v>1551011</v>
      </c>
      <c r="E27" s="183">
        <f t="shared" si="1"/>
        <v>1322301.21</v>
      </c>
      <c r="F27" s="1063"/>
      <c r="G27" s="1063"/>
      <c r="H27" s="1063"/>
      <c r="I27" s="1064"/>
    </row>
    <row r="28" spans="1:9" s="181" customFormat="1" ht="11.25" x14ac:dyDescent="0.2">
      <c r="C28" s="186"/>
    </row>
    <row r="29" spans="1:9" s="181" customFormat="1" ht="11.25" x14ac:dyDescent="0.2">
      <c r="A29" s="1039" t="s">
        <v>370</v>
      </c>
      <c r="B29" s="1039"/>
      <c r="C29" s="1039"/>
      <c r="D29" s="1039"/>
      <c r="E29" s="1039"/>
      <c r="F29" s="1039"/>
      <c r="G29" s="1039"/>
      <c r="H29" s="1039"/>
      <c r="I29" s="1039"/>
    </row>
    <row r="30" spans="1:9" s="181" customFormat="1" ht="11.25" x14ac:dyDescent="0.2">
      <c r="C30" s="186"/>
    </row>
    <row r="31" spans="1:9" s="181" customFormat="1" ht="11.25" x14ac:dyDescent="0.2">
      <c r="A31" s="420" t="s">
        <v>105</v>
      </c>
      <c r="B31" s="420" t="s">
        <v>25</v>
      </c>
      <c r="C31" s="423" t="s">
        <v>106</v>
      </c>
      <c r="D31" s="1042" t="s">
        <v>107</v>
      </c>
      <c r="E31" s="1042"/>
      <c r="F31" s="1042"/>
      <c r="G31" s="1042"/>
      <c r="H31" s="1042"/>
      <c r="I31" s="1042"/>
    </row>
    <row r="32" spans="1:9" s="181" customFormat="1" ht="15" customHeight="1" x14ac:dyDescent="0.2">
      <c r="A32" s="218" t="s">
        <v>409</v>
      </c>
      <c r="B32" s="214"/>
      <c r="C32" s="219"/>
      <c r="D32" s="1065"/>
      <c r="E32" s="1066"/>
      <c r="F32" s="1066"/>
      <c r="G32" s="1066"/>
      <c r="H32" s="1066"/>
      <c r="I32" s="1067"/>
    </row>
    <row r="33" spans="1:9" s="181" customFormat="1" ht="15" customHeight="1" x14ac:dyDescent="0.2">
      <c r="A33" s="220"/>
      <c r="B33" s="216"/>
      <c r="C33" s="222"/>
      <c r="D33" s="1234"/>
      <c r="E33" s="1235"/>
      <c r="F33" s="1235"/>
      <c r="G33" s="1235"/>
      <c r="H33" s="1235"/>
      <c r="I33" s="1236"/>
    </row>
    <row r="34" spans="1:9" s="180" customFormat="1" ht="11.25" x14ac:dyDescent="0.2">
      <c r="A34" s="217" t="s">
        <v>34</v>
      </c>
      <c r="B34" s="183">
        <f>SUM(B32:B33)</f>
        <v>0</v>
      </c>
      <c r="C34" s="1068"/>
      <c r="D34" s="1069"/>
      <c r="E34" s="1069"/>
      <c r="F34" s="1069"/>
      <c r="G34" s="1069"/>
      <c r="H34" s="1069"/>
      <c r="I34" s="1070"/>
    </row>
    <row r="35" spans="1:9" s="181" customFormat="1" ht="11.25" x14ac:dyDescent="0.2">
      <c r="C35" s="186"/>
    </row>
    <row r="36" spans="1:9" s="181" customFormat="1" ht="11.25" x14ac:dyDescent="0.2">
      <c r="A36" s="1039" t="s">
        <v>372</v>
      </c>
      <c r="B36" s="1039"/>
      <c r="C36" s="1039"/>
      <c r="D36" s="1039"/>
      <c r="E36" s="1039"/>
      <c r="F36" s="1039"/>
      <c r="G36" s="1039"/>
      <c r="H36" s="1039"/>
      <c r="I36" s="1039"/>
    </row>
    <row r="37" spans="1:9" s="181" customFormat="1" ht="11.25" x14ac:dyDescent="0.2">
      <c r="C37" s="186"/>
    </row>
    <row r="38" spans="1:9" s="181" customFormat="1" ht="11.25" x14ac:dyDescent="0.2">
      <c r="A38" s="420" t="s">
        <v>105</v>
      </c>
      <c r="B38" s="420" t="s">
        <v>25</v>
      </c>
      <c r="C38" s="423" t="s">
        <v>106</v>
      </c>
      <c r="D38" s="1071" t="s">
        <v>107</v>
      </c>
      <c r="E38" s="1071"/>
      <c r="F38" s="1071"/>
      <c r="G38" s="1071"/>
      <c r="H38" s="1071"/>
      <c r="I38" s="1072"/>
    </row>
    <row r="39" spans="1:9" s="181" customFormat="1" ht="15" customHeight="1" x14ac:dyDescent="0.2">
      <c r="A39" s="218" t="s">
        <v>410</v>
      </c>
      <c r="B39" s="214"/>
      <c r="C39" s="219"/>
      <c r="D39" s="1057"/>
      <c r="E39" s="1073"/>
      <c r="F39" s="1073"/>
      <c r="G39" s="1073"/>
      <c r="H39" s="1073"/>
      <c r="I39" s="1074"/>
    </row>
    <row r="40" spans="1:9" s="181" customFormat="1" ht="15" customHeight="1" x14ac:dyDescent="0.2">
      <c r="A40" s="220"/>
      <c r="B40" s="216"/>
      <c r="C40" s="221"/>
      <c r="D40" s="1240"/>
      <c r="E40" s="1241"/>
      <c r="F40" s="1241"/>
      <c r="G40" s="1241"/>
      <c r="H40" s="1241"/>
      <c r="I40" s="1242"/>
    </row>
    <row r="41" spans="1:9" s="180" customFormat="1" ht="10.5" x14ac:dyDescent="0.15">
      <c r="A41" s="217" t="s">
        <v>34</v>
      </c>
      <c r="B41" s="183">
        <f>SUM(B39:B40)</f>
        <v>0</v>
      </c>
      <c r="C41" s="1075"/>
      <c r="D41" s="1076"/>
      <c r="E41" s="1076"/>
      <c r="F41" s="1076"/>
      <c r="G41" s="1076"/>
      <c r="H41" s="1076"/>
      <c r="I41" s="1076"/>
    </row>
    <row r="42" spans="1:9" s="181" customFormat="1" ht="11.25" x14ac:dyDescent="0.2">
      <c r="C42" s="186"/>
    </row>
    <row r="43" spans="1:9" s="181" customFormat="1" ht="11.25" x14ac:dyDescent="0.2">
      <c r="A43" s="1039" t="s">
        <v>374</v>
      </c>
      <c r="B43" s="1039"/>
      <c r="C43" s="1039"/>
      <c r="D43" s="1039"/>
      <c r="E43" s="1039"/>
      <c r="F43" s="1039"/>
      <c r="G43" s="1039"/>
      <c r="H43" s="1039"/>
      <c r="I43" s="1039"/>
    </row>
    <row r="44" spans="1:9" s="181" customFormat="1" ht="11.25" x14ac:dyDescent="0.2">
      <c r="C44" s="186"/>
    </row>
    <row r="45" spans="1:9" s="181" customFormat="1" ht="11.25" x14ac:dyDescent="0.2">
      <c r="A45" s="420" t="s">
        <v>25</v>
      </c>
      <c r="B45" s="423" t="s">
        <v>375</v>
      </c>
      <c r="C45" s="1077" t="s">
        <v>108</v>
      </c>
      <c r="D45" s="1077"/>
      <c r="E45" s="1077"/>
      <c r="F45" s="1077"/>
      <c r="G45" s="1077"/>
      <c r="H45" s="1077"/>
      <c r="I45" s="1078"/>
    </row>
    <row r="46" spans="1:9" s="181" customFormat="1" ht="11.25" x14ac:dyDescent="0.2">
      <c r="A46" s="228">
        <v>10000</v>
      </c>
      <c r="B46" s="228">
        <v>10000</v>
      </c>
      <c r="C46" s="1079" t="s">
        <v>561</v>
      </c>
      <c r="D46" s="1079"/>
      <c r="E46" s="1079"/>
      <c r="F46" s="1079"/>
      <c r="G46" s="1079"/>
      <c r="H46" s="1079"/>
      <c r="I46" s="1080"/>
    </row>
    <row r="47" spans="1:9" s="181" customFormat="1" ht="11.25" x14ac:dyDescent="0.2">
      <c r="A47" s="229">
        <v>15000</v>
      </c>
      <c r="B47" s="215">
        <v>15000</v>
      </c>
      <c r="C47" s="1237" t="s">
        <v>562</v>
      </c>
      <c r="D47" s="1238"/>
      <c r="E47" s="1238"/>
      <c r="F47" s="1238"/>
      <c r="G47" s="1238"/>
      <c r="H47" s="1238"/>
      <c r="I47" s="1239"/>
    </row>
    <row r="48" spans="1:9" s="181" customFormat="1" ht="11.25" x14ac:dyDescent="0.2">
      <c r="A48" s="230">
        <v>6098.18</v>
      </c>
      <c r="B48" s="231">
        <v>6098.18</v>
      </c>
      <c r="C48" s="1127" t="s">
        <v>563</v>
      </c>
      <c r="D48" s="1127"/>
      <c r="E48" s="1127"/>
      <c r="F48" s="1127"/>
      <c r="G48" s="1127"/>
      <c r="H48" s="1127"/>
      <c r="I48" s="1128"/>
    </row>
    <row r="49" spans="1:9" s="180" customFormat="1" ht="10.5" x14ac:dyDescent="0.15">
      <c r="A49" s="183">
        <f>A46+A47+A48</f>
        <v>31098.18</v>
      </c>
      <c r="B49" s="183">
        <f>B46+B47+B48</f>
        <v>31098.18</v>
      </c>
      <c r="C49" s="1081" t="s">
        <v>34</v>
      </c>
      <c r="D49" s="1081"/>
      <c r="E49" s="1081"/>
      <c r="F49" s="1081"/>
      <c r="G49" s="1081"/>
      <c r="H49" s="1081"/>
      <c r="I49" s="1082"/>
    </row>
    <row r="50" spans="1:9" s="181" customFormat="1" ht="11.25" x14ac:dyDescent="0.2">
      <c r="C50" s="186"/>
    </row>
    <row r="51" spans="1:9" s="181" customFormat="1" ht="11.25" x14ac:dyDescent="0.2">
      <c r="A51" s="1039" t="s">
        <v>377</v>
      </c>
      <c r="B51" s="1039"/>
      <c r="C51" s="1039"/>
      <c r="D51" s="1039"/>
      <c r="E51" s="1039"/>
      <c r="F51" s="1039"/>
      <c r="G51" s="1039"/>
      <c r="H51" s="1039"/>
      <c r="I51" s="1039"/>
    </row>
    <row r="52" spans="1:9" s="181" customFormat="1" ht="11.25" x14ac:dyDescent="0.2">
      <c r="C52" s="186"/>
    </row>
    <row r="53" spans="1:9" s="181" customFormat="1" ht="11.25" x14ac:dyDescent="0.2">
      <c r="A53" s="1120" t="s">
        <v>412</v>
      </c>
      <c r="B53" s="1120"/>
      <c r="C53" s="1120"/>
      <c r="D53" s="1120"/>
      <c r="E53" s="1120"/>
      <c r="F53" s="1120"/>
      <c r="G53" s="1120"/>
    </row>
    <row r="54" spans="1:9" s="181" customFormat="1" ht="11.25" x14ac:dyDescent="0.2">
      <c r="C54" s="186"/>
    </row>
    <row r="55" spans="1:9" s="232" customFormat="1" ht="34.5" customHeight="1" x14ac:dyDescent="0.15">
      <c r="A55" s="1121" t="s">
        <v>109</v>
      </c>
      <c r="B55" s="1121"/>
      <c r="C55" s="296" t="s">
        <v>115</v>
      </c>
      <c r="D55" s="296" t="s">
        <v>116</v>
      </c>
      <c r="E55" s="296" t="s">
        <v>117</v>
      </c>
      <c r="F55" s="296" t="s">
        <v>118</v>
      </c>
      <c r="G55" s="296" t="s">
        <v>119</v>
      </c>
    </row>
    <row r="56" spans="1:9" s="181" customFormat="1" ht="12" customHeight="1" x14ac:dyDescent="0.2">
      <c r="A56" s="1220" t="s">
        <v>564</v>
      </c>
      <c r="B56" s="1221"/>
      <c r="C56" s="653" t="s">
        <v>138</v>
      </c>
      <c r="D56" s="654">
        <v>10000</v>
      </c>
      <c r="E56" s="654">
        <v>0</v>
      </c>
      <c r="F56" s="655">
        <v>42759</v>
      </c>
      <c r="G56" s="656">
        <v>42759</v>
      </c>
    </row>
    <row r="57" spans="1:9" s="181" customFormat="1" ht="12" customHeight="1" x14ac:dyDescent="0.2">
      <c r="A57" s="1220" t="s">
        <v>565</v>
      </c>
      <c r="B57" s="1221"/>
      <c r="C57" s="653" t="s">
        <v>566</v>
      </c>
      <c r="D57" s="654">
        <v>0</v>
      </c>
      <c r="E57" s="654">
        <v>1436</v>
      </c>
      <c r="F57" s="655">
        <v>42759</v>
      </c>
      <c r="G57" s="656">
        <v>42759</v>
      </c>
    </row>
    <row r="58" spans="1:9" s="181" customFormat="1" ht="11.25" x14ac:dyDescent="0.2">
      <c r="A58" s="1220" t="s">
        <v>567</v>
      </c>
      <c r="B58" s="1221"/>
      <c r="C58" s="653" t="s">
        <v>139</v>
      </c>
      <c r="D58" s="654">
        <v>0</v>
      </c>
      <c r="E58" s="654">
        <v>1317</v>
      </c>
      <c r="F58" s="655">
        <v>42759</v>
      </c>
      <c r="G58" s="656">
        <v>42759</v>
      </c>
    </row>
    <row r="59" spans="1:9" s="181" customFormat="1" ht="12" customHeight="1" x14ac:dyDescent="0.2">
      <c r="A59" s="1220" t="s">
        <v>568</v>
      </c>
      <c r="B59" s="1221"/>
      <c r="C59" s="653" t="s">
        <v>140</v>
      </c>
      <c r="D59" s="654">
        <v>0</v>
      </c>
      <c r="E59" s="654">
        <v>7247</v>
      </c>
      <c r="F59" s="655">
        <v>42759</v>
      </c>
      <c r="G59" s="656">
        <v>42759</v>
      </c>
    </row>
    <row r="60" spans="1:9" s="181" customFormat="1" ht="12" customHeight="1" x14ac:dyDescent="0.2">
      <c r="A60" s="1220" t="s">
        <v>569</v>
      </c>
      <c r="B60" s="1221"/>
      <c r="C60" s="653" t="s">
        <v>138</v>
      </c>
      <c r="D60" s="654">
        <v>15000</v>
      </c>
      <c r="E60" s="654">
        <v>0</v>
      </c>
      <c r="F60" s="655">
        <v>42773</v>
      </c>
      <c r="G60" s="656">
        <v>42773</v>
      </c>
    </row>
    <row r="61" spans="1:9" s="181" customFormat="1" ht="11.25" x14ac:dyDescent="0.2">
      <c r="A61" s="1220" t="s">
        <v>570</v>
      </c>
      <c r="B61" s="1221"/>
      <c r="C61" s="653" t="s">
        <v>139</v>
      </c>
      <c r="D61" s="654">
        <v>0</v>
      </c>
      <c r="E61" s="654">
        <v>11370</v>
      </c>
      <c r="F61" s="655">
        <v>42773</v>
      </c>
      <c r="G61" s="656">
        <v>42773</v>
      </c>
    </row>
    <row r="62" spans="1:9" s="181" customFormat="1" ht="11.25" x14ac:dyDescent="0.2">
      <c r="A62" s="1220" t="s">
        <v>571</v>
      </c>
      <c r="B62" s="1221"/>
      <c r="C62" s="653" t="s">
        <v>572</v>
      </c>
      <c r="D62" s="654">
        <v>0</v>
      </c>
      <c r="E62" s="654">
        <v>3630</v>
      </c>
      <c r="F62" s="655">
        <v>42773</v>
      </c>
      <c r="G62" s="656">
        <v>42773</v>
      </c>
    </row>
    <row r="63" spans="1:9" s="181" customFormat="1" ht="12" customHeight="1" x14ac:dyDescent="0.2">
      <c r="A63" s="1220" t="s">
        <v>573</v>
      </c>
      <c r="B63" s="1221"/>
      <c r="C63" s="653" t="s">
        <v>147</v>
      </c>
      <c r="D63" s="654">
        <v>399000</v>
      </c>
      <c r="E63" s="654">
        <v>0</v>
      </c>
      <c r="F63" s="655">
        <v>42779</v>
      </c>
      <c r="G63" s="656">
        <v>42779</v>
      </c>
    </row>
    <row r="64" spans="1:9" s="181" customFormat="1" ht="12" customHeight="1" x14ac:dyDescent="0.2">
      <c r="A64" s="1220" t="s">
        <v>574</v>
      </c>
      <c r="B64" s="1221"/>
      <c r="C64" s="653" t="s">
        <v>160</v>
      </c>
      <c r="D64" s="654">
        <v>0</v>
      </c>
      <c r="E64" s="654">
        <v>399000</v>
      </c>
      <c r="F64" s="655">
        <v>42779</v>
      </c>
      <c r="G64" s="656">
        <v>42779</v>
      </c>
    </row>
    <row r="65" spans="1:7" s="181" customFormat="1" ht="12" customHeight="1" x14ac:dyDescent="0.2">
      <c r="A65" s="1220" t="s">
        <v>575</v>
      </c>
      <c r="B65" s="1221"/>
      <c r="C65" s="653" t="s">
        <v>138</v>
      </c>
      <c r="D65" s="654">
        <v>27100</v>
      </c>
      <c r="E65" s="654">
        <v>0</v>
      </c>
      <c r="F65" s="655">
        <v>42850</v>
      </c>
      <c r="G65" s="656">
        <v>42850</v>
      </c>
    </row>
    <row r="66" spans="1:7" s="181" customFormat="1" ht="11.25" x14ac:dyDescent="0.2">
      <c r="A66" s="1220" t="s">
        <v>576</v>
      </c>
      <c r="B66" s="1221"/>
      <c r="C66" s="653" t="s">
        <v>141</v>
      </c>
      <c r="D66" s="654">
        <v>0</v>
      </c>
      <c r="E66" s="654">
        <v>27100</v>
      </c>
      <c r="F66" s="655">
        <v>42850</v>
      </c>
      <c r="G66" s="656">
        <v>42850</v>
      </c>
    </row>
    <row r="67" spans="1:7" s="181" customFormat="1" ht="12" customHeight="1" x14ac:dyDescent="0.2">
      <c r="A67" s="1245" t="s">
        <v>577</v>
      </c>
      <c r="B67" s="1246"/>
      <c r="C67" s="657" t="s">
        <v>147</v>
      </c>
      <c r="D67" s="658">
        <v>83000</v>
      </c>
      <c r="E67" s="658">
        <v>0</v>
      </c>
      <c r="F67" s="659">
        <v>42878</v>
      </c>
      <c r="G67" s="660">
        <v>42878</v>
      </c>
    </row>
    <row r="68" spans="1:7" s="181" customFormat="1" ht="4.5" customHeight="1" x14ac:dyDescent="0.2">
      <c r="A68" s="661"/>
      <c r="B68" s="661"/>
      <c r="C68" s="662"/>
      <c r="D68" s="663"/>
      <c r="E68" s="663"/>
      <c r="F68" s="664"/>
      <c r="G68" s="664"/>
    </row>
    <row r="69" spans="1:7" s="181" customFormat="1" ht="29.25" customHeight="1" x14ac:dyDescent="0.2">
      <c r="A69" s="1121" t="s">
        <v>109</v>
      </c>
      <c r="B69" s="1121"/>
      <c r="C69" s="296" t="s">
        <v>115</v>
      </c>
      <c r="D69" s="296" t="s">
        <v>116</v>
      </c>
      <c r="E69" s="296" t="s">
        <v>117</v>
      </c>
      <c r="F69" s="296" t="s">
        <v>118</v>
      </c>
      <c r="G69" s="296" t="s">
        <v>119</v>
      </c>
    </row>
    <row r="70" spans="1:7" s="181" customFormat="1" ht="11.25" x14ac:dyDescent="0.2">
      <c r="A70" s="1232" t="s">
        <v>578</v>
      </c>
      <c r="B70" s="1233"/>
      <c r="C70" s="653" t="s">
        <v>579</v>
      </c>
      <c r="D70" s="654">
        <v>0</v>
      </c>
      <c r="E70" s="654">
        <v>83000</v>
      </c>
      <c r="F70" s="655">
        <v>42878</v>
      </c>
      <c r="G70" s="656">
        <v>42878</v>
      </c>
    </row>
    <row r="71" spans="1:7" s="181" customFormat="1" ht="12" customHeight="1" x14ac:dyDescent="0.2">
      <c r="A71" s="1232" t="s">
        <v>580</v>
      </c>
      <c r="B71" s="1233"/>
      <c r="C71" s="665" t="s">
        <v>147</v>
      </c>
      <c r="D71" s="666">
        <v>480000</v>
      </c>
      <c r="E71" s="666">
        <v>0</v>
      </c>
      <c r="F71" s="667">
        <v>42892</v>
      </c>
      <c r="G71" s="668">
        <v>42892</v>
      </c>
    </row>
    <row r="72" spans="1:7" s="181" customFormat="1" ht="12" customHeight="1" x14ac:dyDescent="0.2">
      <c r="A72" s="1232" t="s">
        <v>580</v>
      </c>
      <c r="B72" s="1233"/>
      <c r="C72" s="665" t="s">
        <v>581</v>
      </c>
      <c r="D72" s="666">
        <v>0</v>
      </c>
      <c r="E72" s="666">
        <v>480000</v>
      </c>
      <c r="F72" s="667">
        <v>42892</v>
      </c>
      <c r="G72" s="668">
        <v>42892</v>
      </c>
    </row>
    <row r="73" spans="1:7" s="181" customFormat="1" ht="11.25" x14ac:dyDescent="0.2">
      <c r="A73" s="1220" t="s">
        <v>148</v>
      </c>
      <c r="B73" s="1221"/>
      <c r="C73" s="669" t="s">
        <v>149</v>
      </c>
      <c r="D73" s="654">
        <v>100</v>
      </c>
      <c r="E73" s="654">
        <v>0</v>
      </c>
      <c r="F73" s="655">
        <v>42916</v>
      </c>
      <c r="G73" s="656">
        <v>42916</v>
      </c>
    </row>
    <row r="74" spans="1:7" s="181" customFormat="1" ht="11.25" x14ac:dyDescent="0.2">
      <c r="A74" s="1220" t="s">
        <v>582</v>
      </c>
      <c r="B74" s="1221"/>
      <c r="C74" s="670" t="s">
        <v>165</v>
      </c>
      <c r="D74" s="666">
        <v>300</v>
      </c>
      <c r="E74" s="666">
        <v>0</v>
      </c>
      <c r="F74" s="655">
        <v>42916</v>
      </c>
      <c r="G74" s="656">
        <v>42916</v>
      </c>
    </row>
    <row r="75" spans="1:7" s="181" customFormat="1" ht="11.25" x14ac:dyDescent="0.2">
      <c r="A75" s="1232" t="s">
        <v>583</v>
      </c>
      <c r="B75" s="1233"/>
      <c r="C75" s="670" t="s">
        <v>142</v>
      </c>
      <c r="D75" s="666">
        <v>-400</v>
      </c>
      <c r="E75" s="666">
        <v>0</v>
      </c>
      <c r="F75" s="655">
        <v>42916</v>
      </c>
      <c r="G75" s="656">
        <v>42916</v>
      </c>
    </row>
    <row r="76" spans="1:7" s="181" customFormat="1" ht="11.25" x14ac:dyDescent="0.2">
      <c r="A76" s="1243" t="s">
        <v>434</v>
      </c>
      <c r="B76" s="1244"/>
      <c r="C76" s="669" t="s">
        <v>141</v>
      </c>
      <c r="D76" s="671">
        <v>0</v>
      </c>
      <c r="E76" s="672">
        <v>3100</v>
      </c>
      <c r="F76" s="655">
        <v>42916</v>
      </c>
      <c r="G76" s="656">
        <v>42916</v>
      </c>
    </row>
    <row r="77" spans="1:7" s="181" customFormat="1" ht="11.25" x14ac:dyDescent="0.2">
      <c r="A77" s="1220" t="s">
        <v>584</v>
      </c>
      <c r="B77" s="1221"/>
      <c r="C77" s="673" t="s">
        <v>140</v>
      </c>
      <c r="D77" s="654">
        <v>0</v>
      </c>
      <c r="E77" s="654">
        <v>-3100</v>
      </c>
      <c r="F77" s="655">
        <v>42916</v>
      </c>
      <c r="G77" s="656">
        <v>42916</v>
      </c>
    </row>
    <row r="78" spans="1:7" s="181" customFormat="1" ht="11.25" x14ac:dyDescent="0.2">
      <c r="A78" s="1220" t="s">
        <v>148</v>
      </c>
      <c r="B78" s="1221"/>
      <c r="C78" s="674" t="s">
        <v>149</v>
      </c>
      <c r="D78" s="675">
        <v>315</v>
      </c>
      <c r="E78" s="676">
        <v>0</v>
      </c>
      <c r="F78" s="655">
        <v>42916</v>
      </c>
      <c r="G78" s="656">
        <v>42916</v>
      </c>
    </row>
    <row r="79" spans="1:7" s="181" customFormat="1" ht="11.25" x14ac:dyDescent="0.2">
      <c r="A79" s="1220" t="s">
        <v>585</v>
      </c>
      <c r="B79" s="1221"/>
      <c r="C79" s="669" t="s">
        <v>586</v>
      </c>
      <c r="D79" s="675">
        <v>0</v>
      </c>
      <c r="E79" s="676">
        <v>315</v>
      </c>
      <c r="F79" s="655">
        <v>42916</v>
      </c>
      <c r="G79" s="656">
        <v>42916</v>
      </c>
    </row>
    <row r="80" spans="1:7" s="181" customFormat="1" ht="11.25" x14ac:dyDescent="0.2">
      <c r="A80" s="1220" t="s">
        <v>143</v>
      </c>
      <c r="B80" s="1247"/>
      <c r="C80" s="669" t="s">
        <v>144</v>
      </c>
      <c r="D80" s="677">
        <v>2000</v>
      </c>
      <c r="E80" s="654">
        <v>0</v>
      </c>
      <c r="F80" s="655">
        <v>42916</v>
      </c>
      <c r="G80" s="656">
        <v>42916</v>
      </c>
    </row>
    <row r="81" spans="1:7" s="181" customFormat="1" ht="11.25" x14ac:dyDescent="0.2">
      <c r="A81" s="1220" t="s">
        <v>587</v>
      </c>
      <c r="B81" s="1221"/>
      <c r="C81" s="669" t="s">
        <v>588</v>
      </c>
      <c r="D81" s="654">
        <v>0</v>
      </c>
      <c r="E81" s="675">
        <v>2000</v>
      </c>
      <c r="F81" s="655">
        <v>42916</v>
      </c>
      <c r="G81" s="656">
        <v>42916</v>
      </c>
    </row>
    <row r="82" spans="1:7" s="181" customFormat="1" ht="12" customHeight="1" x14ac:dyDescent="0.2">
      <c r="A82" s="1232" t="s">
        <v>589</v>
      </c>
      <c r="B82" s="1233"/>
      <c r="C82" s="665" t="s">
        <v>147</v>
      </c>
      <c r="D82" s="671">
        <v>200000</v>
      </c>
      <c r="E82" s="654">
        <v>0</v>
      </c>
      <c r="F82" s="667">
        <v>43040</v>
      </c>
      <c r="G82" s="668">
        <v>43040</v>
      </c>
    </row>
    <row r="83" spans="1:7" s="181" customFormat="1" ht="12" customHeight="1" x14ac:dyDescent="0.2">
      <c r="A83" s="1220" t="s">
        <v>589</v>
      </c>
      <c r="B83" s="1221"/>
      <c r="C83" s="653" t="s">
        <v>160</v>
      </c>
      <c r="D83" s="654">
        <v>0</v>
      </c>
      <c r="E83" s="654">
        <v>200000</v>
      </c>
      <c r="F83" s="655">
        <v>43040</v>
      </c>
      <c r="G83" s="678">
        <v>43040</v>
      </c>
    </row>
    <row r="84" spans="1:7" s="181" customFormat="1" ht="12" customHeight="1" x14ac:dyDescent="0.2">
      <c r="A84" s="1220" t="s">
        <v>590</v>
      </c>
      <c r="B84" s="1221"/>
      <c r="C84" s="653" t="s">
        <v>160</v>
      </c>
      <c r="D84" s="654">
        <v>0</v>
      </c>
      <c r="E84" s="654">
        <v>265000</v>
      </c>
      <c r="F84" s="655">
        <v>43053</v>
      </c>
      <c r="G84" s="679">
        <v>43053</v>
      </c>
    </row>
    <row r="85" spans="1:7" s="181" customFormat="1" ht="12" customHeight="1" x14ac:dyDescent="0.2">
      <c r="A85" s="1220" t="s">
        <v>591</v>
      </c>
      <c r="B85" s="1221"/>
      <c r="C85" s="680" t="s">
        <v>425</v>
      </c>
      <c r="D85" s="671">
        <v>0</v>
      </c>
      <c r="E85" s="671">
        <v>-265000</v>
      </c>
      <c r="F85" s="655">
        <v>43053</v>
      </c>
      <c r="G85" s="679">
        <v>43053</v>
      </c>
    </row>
    <row r="86" spans="1:7" s="181" customFormat="1" ht="11.25" x14ac:dyDescent="0.2">
      <c r="A86" s="1243" t="s">
        <v>434</v>
      </c>
      <c r="B86" s="1244"/>
      <c r="C86" s="680" t="s">
        <v>141</v>
      </c>
      <c r="D86" s="675">
        <v>0</v>
      </c>
      <c r="E86" s="654">
        <v>17800</v>
      </c>
      <c r="F86" s="655">
        <v>43100</v>
      </c>
      <c r="G86" s="679">
        <v>43100</v>
      </c>
    </row>
    <row r="87" spans="1:7" s="181" customFormat="1" ht="11.25" x14ac:dyDescent="0.2">
      <c r="A87" s="1220" t="s">
        <v>592</v>
      </c>
      <c r="B87" s="1221"/>
      <c r="C87" s="680" t="s">
        <v>138</v>
      </c>
      <c r="D87" s="675">
        <v>40500</v>
      </c>
      <c r="E87" s="671">
        <v>0</v>
      </c>
      <c r="F87" s="655">
        <v>43100</v>
      </c>
      <c r="G87" s="679">
        <v>43100</v>
      </c>
    </row>
    <row r="88" spans="1:7" s="181" customFormat="1" ht="11.25" x14ac:dyDescent="0.2">
      <c r="A88" s="1220" t="s">
        <v>593</v>
      </c>
      <c r="B88" s="1221"/>
      <c r="C88" s="680" t="s">
        <v>139</v>
      </c>
      <c r="D88" s="675">
        <v>0</v>
      </c>
      <c r="E88" s="654">
        <v>30000</v>
      </c>
      <c r="F88" s="655">
        <v>43100</v>
      </c>
      <c r="G88" s="679">
        <v>43100</v>
      </c>
    </row>
    <row r="89" spans="1:7" s="181" customFormat="1" ht="11.25" x14ac:dyDescent="0.2">
      <c r="A89" s="1220" t="s">
        <v>594</v>
      </c>
      <c r="B89" s="1221"/>
      <c r="C89" s="653" t="s">
        <v>161</v>
      </c>
      <c r="D89" s="654">
        <v>0</v>
      </c>
      <c r="E89" s="654">
        <v>15100</v>
      </c>
      <c r="F89" s="655">
        <v>43100</v>
      </c>
      <c r="G89" s="679">
        <v>43100</v>
      </c>
    </row>
    <row r="90" spans="1:7" s="181" customFormat="1" ht="11.25" x14ac:dyDescent="0.2">
      <c r="A90" s="1220" t="s">
        <v>162</v>
      </c>
      <c r="B90" s="1221"/>
      <c r="C90" s="653" t="s">
        <v>163</v>
      </c>
      <c r="D90" s="671">
        <v>15100</v>
      </c>
      <c r="E90" s="654">
        <v>0</v>
      </c>
      <c r="F90" s="655">
        <v>43100</v>
      </c>
      <c r="G90" s="679">
        <v>43100</v>
      </c>
    </row>
    <row r="91" spans="1:7" s="181" customFormat="1" ht="11.25" x14ac:dyDescent="0.2">
      <c r="A91" s="1220" t="s">
        <v>145</v>
      </c>
      <c r="B91" s="1221"/>
      <c r="C91" s="653" t="s">
        <v>146</v>
      </c>
      <c r="D91" s="654">
        <v>0</v>
      </c>
      <c r="E91" s="671">
        <v>1302</v>
      </c>
      <c r="F91" s="655">
        <v>43100</v>
      </c>
      <c r="G91" s="679">
        <v>43100</v>
      </c>
    </row>
    <row r="92" spans="1:7" s="181" customFormat="1" ht="11.25" x14ac:dyDescent="0.2">
      <c r="A92" s="1220" t="s">
        <v>595</v>
      </c>
      <c r="B92" s="1221"/>
      <c r="C92" s="653" t="s">
        <v>596</v>
      </c>
      <c r="D92" s="654">
        <v>1302</v>
      </c>
      <c r="E92" s="654">
        <v>0</v>
      </c>
      <c r="F92" s="655">
        <v>43100</v>
      </c>
      <c r="G92" s="679">
        <v>43100</v>
      </c>
    </row>
    <row r="93" spans="1:7" s="181" customFormat="1" ht="11.25" x14ac:dyDescent="0.2">
      <c r="A93" s="1220" t="s">
        <v>597</v>
      </c>
      <c r="B93" s="1221"/>
      <c r="C93" s="665" t="s">
        <v>158</v>
      </c>
      <c r="D93" s="654">
        <v>0</v>
      </c>
      <c r="E93" s="671">
        <v>1975</v>
      </c>
      <c r="F93" s="655">
        <v>43100</v>
      </c>
      <c r="G93" s="679">
        <v>43100</v>
      </c>
    </row>
    <row r="94" spans="1:7" s="181" customFormat="1" ht="11.25" x14ac:dyDescent="0.2">
      <c r="A94" s="1220" t="s">
        <v>598</v>
      </c>
      <c r="B94" s="1221"/>
      <c r="C94" s="681" t="s">
        <v>159</v>
      </c>
      <c r="D94" s="671">
        <v>0</v>
      </c>
      <c r="E94" s="654">
        <v>711</v>
      </c>
      <c r="F94" s="655">
        <v>43100</v>
      </c>
      <c r="G94" s="679">
        <v>43100</v>
      </c>
    </row>
    <row r="95" spans="1:7" s="181" customFormat="1" ht="11.25" x14ac:dyDescent="0.2">
      <c r="A95" s="1220" t="s">
        <v>599</v>
      </c>
      <c r="B95" s="1221"/>
      <c r="C95" s="653" t="s">
        <v>600</v>
      </c>
      <c r="D95" s="654">
        <v>0</v>
      </c>
      <c r="E95" s="675">
        <v>7900</v>
      </c>
      <c r="F95" s="655">
        <v>43100</v>
      </c>
      <c r="G95" s="656">
        <v>43100</v>
      </c>
    </row>
    <row r="96" spans="1:7" s="181" customFormat="1" ht="11.25" x14ac:dyDescent="0.2">
      <c r="A96" s="1232" t="s">
        <v>601</v>
      </c>
      <c r="B96" s="1233"/>
      <c r="C96" s="681" t="s">
        <v>602</v>
      </c>
      <c r="D96" s="666">
        <v>7900</v>
      </c>
      <c r="E96" s="654">
        <v>0</v>
      </c>
      <c r="F96" s="667">
        <v>43100</v>
      </c>
      <c r="G96" s="682">
        <v>43100</v>
      </c>
    </row>
    <row r="97" spans="1:7" s="181" customFormat="1" ht="11.25" x14ac:dyDescent="0.2">
      <c r="A97" s="1220" t="s">
        <v>603</v>
      </c>
      <c r="B97" s="1221"/>
      <c r="C97" s="680" t="s">
        <v>149</v>
      </c>
      <c r="D97" s="654">
        <v>158585</v>
      </c>
      <c r="E97" s="654">
        <v>0</v>
      </c>
      <c r="F97" s="655">
        <v>43100</v>
      </c>
      <c r="G97" s="679">
        <v>43100</v>
      </c>
    </row>
    <row r="98" spans="1:7" s="181" customFormat="1" ht="11.25" x14ac:dyDescent="0.2">
      <c r="A98" s="1220" t="s">
        <v>604</v>
      </c>
      <c r="B98" s="1221"/>
      <c r="C98" s="680" t="s">
        <v>605</v>
      </c>
      <c r="D98" s="677">
        <v>10000</v>
      </c>
      <c r="E98" s="654">
        <v>0</v>
      </c>
      <c r="F98" s="655">
        <v>43100</v>
      </c>
      <c r="G98" s="679">
        <v>43100</v>
      </c>
    </row>
    <row r="99" spans="1:7" s="181" customFormat="1" ht="11.25" x14ac:dyDescent="0.2">
      <c r="A99" s="1220" t="s">
        <v>606</v>
      </c>
      <c r="B99" s="1221"/>
      <c r="C99" s="653" t="s">
        <v>607</v>
      </c>
      <c r="D99" s="666">
        <v>1000</v>
      </c>
      <c r="E99" s="666">
        <v>0</v>
      </c>
      <c r="F99" s="655">
        <v>43100</v>
      </c>
      <c r="G99" s="679">
        <v>43100</v>
      </c>
    </row>
    <row r="100" spans="1:7" s="181" customFormat="1" ht="11.25" x14ac:dyDescent="0.2">
      <c r="A100" s="1220" t="s">
        <v>162</v>
      </c>
      <c r="B100" s="1221"/>
      <c r="C100" s="681" t="s">
        <v>165</v>
      </c>
      <c r="D100" s="654">
        <v>300</v>
      </c>
      <c r="E100" s="666">
        <v>0</v>
      </c>
      <c r="F100" s="655">
        <v>43100</v>
      </c>
      <c r="G100" s="679">
        <v>43100</v>
      </c>
    </row>
    <row r="101" spans="1:7" s="181" customFormat="1" ht="11.25" x14ac:dyDescent="0.2">
      <c r="A101" s="1220" t="s">
        <v>143</v>
      </c>
      <c r="B101" s="1221"/>
      <c r="C101" s="653" t="s">
        <v>144</v>
      </c>
      <c r="D101" s="671">
        <v>750</v>
      </c>
      <c r="E101" s="666">
        <v>0</v>
      </c>
      <c r="F101" s="655">
        <v>43100</v>
      </c>
      <c r="G101" s="679">
        <v>43100</v>
      </c>
    </row>
    <row r="102" spans="1:7" s="181" customFormat="1" ht="11.25" x14ac:dyDescent="0.2">
      <c r="A102" s="1220" t="s">
        <v>151</v>
      </c>
      <c r="B102" s="1221"/>
      <c r="C102" s="653" t="s">
        <v>152</v>
      </c>
      <c r="D102" s="675">
        <v>0</v>
      </c>
      <c r="E102" s="666">
        <v>-2880</v>
      </c>
      <c r="F102" s="655">
        <v>43100</v>
      </c>
      <c r="G102" s="679">
        <v>43100</v>
      </c>
    </row>
    <row r="103" spans="1:7" s="181" customFormat="1" ht="11.25" x14ac:dyDescent="0.2">
      <c r="A103" s="1220" t="s">
        <v>608</v>
      </c>
      <c r="B103" s="1221"/>
      <c r="C103" s="653" t="s">
        <v>155</v>
      </c>
      <c r="D103" s="675">
        <v>0</v>
      </c>
      <c r="E103" s="654">
        <v>-523</v>
      </c>
      <c r="F103" s="655">
        <v>43100</v>
      </c>
      <c r="G103" s="656">
        <v>43100</v>
      </c>
    </row>
    <row r="104" spans="1:7" s="181" customFormat="1" ht="11.25" x14ac:dyDescent="0.2">
      <c r="A104" s="1220" t="s">
        <v>156</v>
      </c>
      <c r="B104" s="1221"/>
      <c r="C104" s="680" t="s">
        <v>157</v>
      </c>
      <c r="D104" s="654">
        <v>0</v>
      </c>
      <c r="E104" s="666">
        <v>-250</v>
      </c>
      <c r="F104" s="655">
        <v>43100</v>
      </c>
      <c r="G104" s="679">
        <v>43100</v>
      </c>
    </row>
    <row r="105" spans="1:7" s="181" customFormat="1" ht="11.25" x14ac:dyDescent="0.2">
      <c r="A105" s="1220" t="s">
        <v>432</v>
      </c>
      <c r="B105" s="1221"/>
      <c r="C105" s="680" t="s">
        <v>609</v>
      </c>
      <c r="D105" s="675">
        <v>0</v>
      </c>
      <c r="E105" s="666">
        <v>-1700</v>
      </c>
      <c r="F105" s="655">
        <v>43100</v>
      </c>
      <c r="G105" s="679">
        <v>43100</v>
      </c>
    </row>
    <row r="106" spans="1:7" s="181" customFormat="1" ht="11.25" x14ac:dyDescent="0.2">
      <c r="A106" s="1220" t="s">
        <v>153</v>
      </c>
      <c r="B106" s="1221"/>
      <c r="C106" s="680" t="s">
        <v>588</v>
      </c>
      <c r="D106" s="675">
        <v>0</v>
      </c>
      <c r="E106" s="666">
        <v>20500</v>
      </c>
      <c r="F106" s="655">
        <v>43100</v>
      </c>
      <c r="G106" s="679">
        <v>43100</v>
      </c>
    </row>
    <row r="107" spans="1:7" s="181" customFormat="1" ht="11.25" x14ac:dyDescent="0.2">
      <c r="A107" s="1220" t="s">
        <v>153</v>
      </c>
      <c r="B107" s="1221"/>
      <c r="C107" s="653" t="s">
        <v>154</v>
      </c>
      <c r="D107" s="675">
        <v>0</v>
      </c>
      <c r="E107" s="666">
        <v>6500</v>
      </c>
      <c r="F107" s="655">
        <v>43100</v>
      </c>
      <c r="G107" s="679">
        <v>43100</v>
      </c>
    </row>
    <row r="108" spans="1:7" s="181" customFormat="1" ht="11.25" x14ac:dyDescent="0.2">
      <c r="A108" s="1220" t="s">
        <v>610</v>
      </c>
      <c r="B108" s="1221"/>
      <c r="C108" s="681" t="s">
        <v>611</v>
      </c>
      <c r="D108" s="654">
        <v>0</v>
      </c>
      <c r="E108" s="671">
        <v>3000</v>
      </c>
      <c r="F108" s="655">
        <v>43100</v>
      </c>
      <c r="G108" s="679">
        <v>43100</v>
      </c>
    </row>
    <row r="109" spans="1:7" s="181" customFormat="1" ht="11.25" x14ac:dyDescent="0.2">
      <c r="A109" s="1220" t="s">
        <v>426</v>
      </c>
      <c r="B109" s="1221"/>
      <c r="C109" s="653" t="s">
        <v>150</v>
      </c>
      <c r="D109" s="654">
        <v>0</v>
      </c>
      <c r="E109" s="654">
        <v>136002</v>
      </c>
      <c r="F109" s="655">
        <v>43100</v>
      </c>
      <c r="G109" s="679">
        <v>43100</v>
      </c>
    </row>
    <row r="110" spans="1:7" s="181" customFormat="1" ht="11.25" x14ac:dyDescent="0.2">
      <c r="A110" s="1250" t="s">
        <v>132</v>
      </c>
      <c r="B110" s="1251"/>
      <c r="C110" s="683"/>
      <c r="D110" s="684">
        <f>SUM(D52:D109)</f>
        <v>1451852</v>
      </c>
      <c r="E110" s="685">
        <f>SUM(E52:E109)</f>
        <v>1451852</v>
      </c>
      <c r="F110" s="1230"/>
      <c r="G110" s="1229"/>
    </row>
    <row r="111" spans="1:7" s="181" customFormat="1" ht="11.25" x14ac:dyDescent="0.2">
      <c r="A111" s="255"/>
      <c r="B111" s="255"/>
      <c r="C111" s="293"/>
      <c r="D111" s="293"/>
      <c r="E111" s="294"/>
    </row>
    <row r="112" spans="1:7" s="181" customFormat="1" ht="11.25" x14ac:dyDescent="0.2">
      <c r="A112" s="1231" t="s">
        <v>612</v>
      </c>
      <c r="B112" s="1231"/>
      <c r="C112" s="1231"/>
      <c r="D112" s="1231"/>
      <c r="E112" s="1231"/>
      <c r="F112" s="1231"/>
      <c r="G112" s="1231"/>
    </row>
    <row r="113" spans="1:7" s="181" customFormat="1" ht="11.25" x14ac:dyDescent="0.2">
      <c r="A113" s="366"/>
      <c r="B113" s="243"/>
      <c r="C113" s="249"/>
      <c r="D113" s="249"/>
      <c r="E113" s="250"/>
    </row>
    <row r="114" spans="1:7" s="181" customFormat="1" ht="63" x14ac:dyDescent="0.2">
      <c r="A114" s="1252" t="s">
        <v>109</v>
      </c>
      <c r="B114" s="1253"/>
      <c r="C114" s="686" t="s">
        <v>613</v>
      </c>
      <c r="D114" s="686" t="s">
        <v>116</v>
      </c>
      <c r="E114" s="686" t="s">
        <v>117</v>
      </c>
      <c r="F114" s="686" t="s">
        <v>118</v>
      </c>
      <c r="G114" s="686" t="s">
        <v>119</v>
      </c>
    </row>
    <row r="115" spans="1:7" s="181" customFormat="1" ht="11.25" x14ac:dyDescent="0.2">
      <c r="A115" s="1232" t="s">
        <v>603</v>
      </c>
      <c r="B115" s="1233"/>
      <c r="C115" s="687" t="s">
        <v>614</v>
      </c>
      <c r="D115" s="666">
        <v>23900</v>
      </c>
      <c r="E115" s="666">
        <v>0</v>
      </c>
      <c r="F115" s="688">
        <v>42916</v>
      </c>
      <c r="G115" s="668">
        <v>42916</v>
      </c>
    </row>
    <row r="116" spans="1:7" s="181" customFormat="1" ht="11.25" x14ac:dyDescent="0.2">
      <c r="A116" s="1220" t="s">
        <v>615</v>
      </c>
      <c r="B116" s="1221"/>
      <c r="C116" s="680" t="s">
        <v>616</v>
      </c>
      <c r="D116" s="654">
        <v>0</v>
      </c>
      <c r="E116" s="654">
        <v>15000</v>
      </c>
      <c r="F116" s="688">
        <v>42916</v>
      </c>
      <c r="G116" s="668">
        <v>42916</v>
      </c>
    </row>
    <row r="117" spans="1:7" s="181" customFormat="1" ht="11.25" x14ac:dyDescent="0.2">
      <c r="A117" s="1220" t="s">
        <v>587</v>
      </c>
      <c r="B117" s="1221"/>
      <c r="C117" s="689" t="s">
        <v>617</v>
      </c>
      <c r="D117" s="690">
        <v>0</v>
      </c>
      <c r="E117" s="690">
        <v>100</v>
      </c>
      <c r="F117" s="688">
        <v>42916</v>
      </c>
      <c r="G117" s="668">
        <v>42916</v>
      </c>
    </row>
    <row r="118" spans="1:7" s="181" customFormat="1" ht="11.25" x14ac:dyDescent="0.2">
      <c r="A118" s="1220" t="s">
        <v>610</v>
      </c>
      <c r="B118" s="1221"/>
      <c r="C118" s="691" t="s">
        <v>618</v>
      </c>
      <c r="D118" s="690">
        <v>0</v>
      </c>
      <c r="E118" s="690">
        <v>5000</v>
      </c>
      <c r="F118" s="688">
        <v>42916</v>
      </c>
      <c r="G118" s="668">
        <v>42916</v>
      </c>
    </row>
    <row r="119" spans="1:7" s="181" customFormat="1" ht="11.25" x14ac:dyDescent="0.2">
      <c r="A119" s="1220" t="s">
        <v>434</v>
      </c>
      <c r="B119" s="1221"/>
      <c r="C119" s="691" t="s">
        <v>619</v>
      </c>
      <c r="D119" s="690">
        <v>0</v>
      </c>
      <c r="E119" s="690">
        <v>12000</v>
      </c>
      <c r="F119" s="688">
        <v>42916</v>
      </c>
      <c r="G119" s="668">
        <v>42916</v>
      </c>
    </row>
    <row r="120" spans="1:7" s="181" customFormat="1" ht="11.25" x14ac:dyDescent="0.2">
      <c r="A120" s="1220" t="s">
        <v>620</v>
      </c>
      <c r="B120" s="1221"/>
      <c r="C120" s="691" t="s">
        <v>621</v>
      </c>
      <c r="D120" s="690">
        <v>0</v>
      </c>
      <c r="E120" s="690">
        <v>4300</v>
      </c>
      <c r="F120" s="655">
        <v>43100</v>
      </c>
      <c r="G120" s="692">
        <v>43100</v>
      </c>
    </row>
    <row r="121" spans="1:7" s="181" customFormat="1" ht="11.25" x14ac:dyDescent="0.2">
      <c r="A121" s="1220" t="s">
        <v>622</v>
      </c>
      <c r="B121" s="1221"/>
      <c r="C121" s="691" t="s">
        <v>623</v>
      </c>
      <c r="D121" s="690">
        <v>0</v>
      </c>
      <c r="E121" s="690">
        <v>2300</v>
      </c>
      <c r="F121" s="655">
        <v>43100</v>
      </c>
      <c r="G121" s="692">
        <v>43100</v>
      </c>
    </row>
    <row r="122" spans="1:7" s="181" customFormat="1" ht="11.25" x14ac:dyDescent="0.2">
      <c r="A122" s="1220" t="s">
        <v>610</v>
      </c>
      <c r="B122" s="1221"/>
      <c r="C122" s="691" t="s">
        <v>618</v>
      </c>
      <c r="D122" s="690">
        <v>0</v>
      </c>
      <c r="E122" s="690">
        <v>5300</v>
      </c>
      <c r="F122" s="655">
        <v>43100</v>
      </c>
      <c r="G122" s="692">
        <v>43100</v>
      </c>
    </row>
    <row r="123" spans="1:7" s="181" customFormat="1" ht="11.25" x14ac:dyDescent="0.2">
      <c r="A123" s="1220" t="s">
        <v>156</v>
      </c>
      <c r="B123" s="1221"/>
      <c r="C123" s="691" t="s">
        <v>624</v>
      </c>
      <c r="D123" s="690">
        <v>0</v>
      </c>
      <c r="E123" s="690">
        <v>200</v>
      </c>
      <c r="F123" s="655">
        <v>43100</v>
      </c>
      <c r="G123" s="692">
        <v>43100</v>
      </c>
    </row>
    <row r="124" spans="1:7" s="181" customFormat="1" ht="11.25" x14ac:dyDescent="0.2">
      <c r="A124" s="1220" t="s">
        <v>625</v>
      </c>
      <c r="B124" s="1221"/>
      <c r="C124" s="691" t="s">
        <v>626</v>
      </c>
      <c r="D124" s="690">
        <v>0</v>
      </c>
      <c r="E124" s="690">
        <v>9900</v>
      </c>
      <c r="F124" s="655">
        <v>43100</v>
      </c>
      <c r="G124" s="692">
        <v>43100</v>
      </c>
    </row>
    <row r="125" spans="1:7" s="181" customFormat="1" ht="11.25" x14ac:dyDescent="0.2">
      <c r="A125" s="1248" t="s">
        <v>434</v>
      </c>
      <c r="B125" s="1249"/>
      <c r="C125" s="689" t="s">
        <v>619</v>
      </c>
      <c r="D125" s="654">
        <v>0</v>
      </c>
      <c r="E125" s="654">
        <v>3100</v>
      </c>
      <c r="F125" s="655">
        <v>43100</v>
      </c>
      <c r="G125" s="693">
        <v>43100</v>
      </c>
    </row>
    <row r="126" spans="1:7" s="181" customFormat="1" ht="11.25" x14ac:dyDescent="0.2">
      <c r="A126" s="1220" t="s">
        <v>226</v>
      </c>
      <c r="B126" s="1221"/>
      <c r="C126" s="653" t="s">
        <v>627</v>
      </c>
      <c r="D126" s="694">
        <v>0</v>
      </c>
      <c r="E126" s="694">
        <v>-11900</v>
      </c>
      <c r="F126" s="667">
        <v>43100</v>
      </c>
      <c r="G126" s="656">
        <v>43100</v>
      </c>
    </row>
    <row r="127" spans="1:7" s="181" customFormat="1" ht="11.25" x14ac:dyDescent="0.2">
      <c r="A127" s="1220" t="s">
        <v>628</v>
      </c>
      <c r="B127" s="1221"/>
      <c r="C127" s="691" t="s">
        <v>629</v>
      </c>
      <c r="D127" s="690">
        <v>0</v>
      </c>
      <c r="E127" s="690">
        <v>-27800</v>
      </c>
      <c r="F127" s="655">
        <v>43100</v>
      </c>
      <c r="G127" s="692">
        <v>43100</v>
      </c>
    </row>
    <row r="128" spans="1:7" s="181" customFormat="1" ht="11.25" x14ac:dyDescent="0.2">
      <c r="A128" s="1220" t="s">
        <v>598</v>
      </c>
      <c r="B128" s="1221"/>
      <c r="C128" s="691" t="s">
        <v>630</v>
      </c>
      <c r="D128" s="690">
        <v>0</v>
      </c>
      <c r="E128" s="690">
        <v>-2500</v>
      </c>
      <c r="F128" s="655">
        <v>43100</v>
      </c>
      <c r="G128" s="692">
        <v>43100</v>
      </c>
    </row>
    <row r="129" spans="1:9" s="181" customFormat="1" ht="11.25" x14ac:dyDescent="0.2">
      <c r="A129" s="1220" t="s">
        <v>597</v>
      </c>
      <c r="B129" s="1221"/>
      <c r="C129" s="653" t="s">
        <v>631</v>
      </c>
      <c r="D129" s="666">
        <v>0</v>
      </c>
      <c r="E129" s="654">
        <v>-6900</v>
      </c>
      <c r="F129" s="655">
        <v>43100</v>
      </c>
      <c r="G129" s="692">
        <v>43100</v>
      </c>
    </row>
    <row r="130" spans="1:9" s="181" customFormat="1" ht="11.25" x14ac:dyDescent="0.2">
      <c r="A130" s="1222" t="s">
        <v>608</v>
      </c>
      <c r="B130" s="1223"/>
      <c r="C130" s="695" t="s">
        <v>632</v>
      </c>
      <c r="D130" s="666">
        <v>0</v>
      </c>
      <c r="E130" s="696">
        <v>-100</v>
      </c>
      <c r="F130" s="655">
        <v>43100</v>
      </c>
      <c r="G130" s="692">
        <v>43100</v>
      </c>
    </row>
    <row r="131" spans="1:9" s="181" customFormat="1" ht="11.25" x14ac:dyDescent="0.2">
      <c r="A131" s="1222" t="s">
        <v>633</v>
      </c>
      <c r="B131" s="1223"/>
      <c r="C131" s="697" t="s">
        <v>634</v>
      </c>
      <c r="D131" s="666">
        <v>0</v>
      </c>
      <c r="E131" s="698">
        <v>3500</v>
      </c>
      <c r="F131" s="655">
        <v>43100</v>
      </c>
      <c r="G131" s="692">
        <v>43100</v>
      </c>
    </row>
    <row r="132" spans="1:9" s="181" customFormat="1" ht="11.25" x14ac:dyDescent="0.2">
      <c r="A132" s="1222" t="s">
        <v>635</v>
      </c>
      <c r="B132" s="1223"/>
      <c r="C132" s="695" t="s">
        <v>636</v>
      </c>
      <c r="D132" s="666">
        <v>0</v>
      </c>
      <c r="E132" s="696">
        <v>12400</v>
      </c>
      <c r="F132" s="655">
        <v>43100</v>
      </c>
      <c r="G132" s="692">
        <v>43100</v>
      </c>
    </row>
    <row r="133" spans="1:9" s="181" customFormat="1" ht="11.25" x14ac:dyDescent="0.2">
      <c r="A133" s="1222" t="s">
        <v>637</v>
      </c>
      <c r="B133" s="1223"/>
      <c r="C133" s="695" t="s">
        <v>638</v>
      </c>
      <c r="D133" s="666">
        <v>0</v>
      </c>
      <c r="E133" s="699">
        <v>1000</v>
      </c>
      <c r="F133" s="655">
        <v>43100</v>
      </c>
      <c r="G133" s="692">
        <v>43100</v>
      </c>
    </row>
    <row r="134" spans="1:9" s="181" customFormat="1" ht="11.25" x14ac:dyDescent="0.2">
      <c r="A134" s="1224" t="s">
        <v>639</v>
      </c>
      <c r="B134" s="1225"/>
      <c r="C134" s="700" t="s">
        <v>640</v>
      </c>
      <c r="D134" s="701">
        <v>1000</v>
      </c>
      <c r="E134" s="702">
        <v>0</v>
      </c>
      <c r="F134" s="659">
        <v>43100</v>
      </c>
      <c r="G134" s="703">
        <v>43100</v>
      </c>
    </row>
    <row r="135" spans="1:9" s="181" customFormat="1" ht="11.25" x14ac:dyDescent="0.2">
      <c r="A135" s="1226" t="s">
        <v>132</v>
      </c>
      <c r="B135" s="1227"/>
      <c r="C135" s="704"/>
      <c r="D135" s="705">
        <f>SUM(D113:D134)</f>
        <v>24900</v>
      </c>
      <c r="E135" s="705">
        <f>SUM(E113:E134)</f>
        <v>24900</v>
      </c>
      <c r="F135" s="1228"/>
      <c r="G135" s="1229"/>
    </row>
    <row r="136" spans="1:9" s="181" customFormat="1" ht="11.25" x14ac:dyDescent="0.2">
      <c r="A136" s="426"/>
      <c r="B136" s="426"/>
      <c r="C136" s="237"/>
      <c r="D136" s="237"/>
      <c r="E136" s="238"/>
    </row>
    <row r="137" spans="1:9" s="181" customFormat="1" ht="11.25" x14ac:dyDescent="0.2">
      <c r="A137" s="1083" t="s">
        <v>397</v>
      </c>
      <c r="B137" s="1083"/>
      <c r="C137" s="1083"/>
      <c r="D137" s="1083"/>
      <c r="E137" s="1083"/>
      <c r="F137" s="1083"/>
      <c r="G137" s="1083"/>
      <c r="H137" s="1083"/>
      <c r="I137" s="1083"/>
    </row>
    <row r="138" spans="1:9" s="181" customFormat="1" ht="11.25" x14ac:dyDescent="0.2"/>
    <row r="139" spans="1:9" s="181" customFormat="1" ht="11.25" x14ac:dyDescent="0.2">
      <c r="A139" s="1034" t="s">
        <v>441</v>
      </c>
      <c r="B139" s="1035"/>
      <c r="C139" s="1035"/>
      <c r="D139" s="1035"/>
      <c r="E139" s="1035"/>
      <c r="F139" s="1035"/>
      <c r="G139" s="1035"/>
      <c r="H139" s="1035"/>
      <c r="I139" s="1036"/>
    </row>
    <row r="140" spans="1:9" s="181" customFormat="1" ht="11.25" x14ac:dyDescent="0.2">
      <c r="A140" s="1034"/>
      <c r="B140" s="1035"/>
      <c r="C140" s="1035"/>
      <c r="D140" s="1035"/>
      <c r="E140" s="1035"/>
      <c r="F140" s="1035"/>
      <c r="G140" s="1035"/>
      <c r="H140" s="1035"/>
      <c r="I140" s="1036"/>
    </row>
    <row r="141" spans="1:9" s="181" customFormat="1" ht="0.75" customHeight="1" x14ac:dyDescent="0.2">
      <c r="A141" s="1034"/>
      <c r="B141" s="1035"/>
      <c r="C141" s="1035"/>
      <c r="D141" s="1035"/>
      <c r="E141" s="1035"/>
      <c r="F141" s="1035"/>
      <c r="G141" s="1035"/>
      <c r="H141" s="1035"/>
      <c r="I141" s="1036"/>
    </row>
    <row r="142" spans="1:9" s="181" customFormat="1" ht="11.25" hidden="1" x14ac:dyDescent="0.2"/>
    <row r="143" spans="1:9" s="180" customFormat="1" ht="10.5" x14ac:dyDescent="0.15">
      <c r="A143" s="1039" t="s">
        <v>399</v>
      </c>
      <c r="B143" s="1039"/>
      <c r="C143" s="1039"/>
      <c r="D143" s="1039"/>
      <c r="E143" s="1039"/>
      <c r="F143" s="1039"/>
      <c r="G143" s="1039"/>
      <c r="H143" s="1039"/>
      <c r="I143" s="1039"/>
    </row>
    <row r="144" spans="1:9" s="180" customFormat="1" ht="10.5" x14ac:dyDescent="0.15">
      <c r="A144" s="412"/>
      <c r="B144" s="412"/>
      <c r="C144" s="412"/>
      <c r="D144" s="412"/>
      <c r="E144" s="412"/>
      <c r="F144" s="412"/>
      <c r="G144" s="412"/>
      <c r="H144" s="412"/>
      <c r="I144" s="412"/>
    </row>
    <row r="145" spans="1:9" s="181" customFormat="1" ht="11.25" x14ac:dyDescent="0.2">
      <c r="A145" s="181" t="s">
        <v>112</v>
      </c>
    </row>
    <row r="146" spans="1:9" s="181" customFormat="1" ht="63" customHeight="1" x14ac:dyDescent="0.2">
      <c r="A146" s="1034" t="s">
        <v>641</v>
      </c>
      <c r="B146" s="1035"/>
      <c r="C146" s="1035"/>
      <c r="D146" s="1035"/>
      <c r="E146" s="1035"/>
      <c r="F146" s="1035"/>
      <c r="G146" s="1035"/>
      <c r="H146" s="1035"/>
      <c r="I146" s="1036"/>
    </row>
    <row r="147" spans="1:9" s="181" customFormat="1" ht="8.25" customHeight="1" x14ac:dyDescent="0.2">
      <c r="A147" s="1129"/>
      <c r="B147" s="1129"/>
      <c r="C147" s="1129"/>
      <c r="D147" s="1129"/>
      <c r="E147" s="1129"/>
      <c r="F147" s="1129"/>
      <c r="G147" s="1129"/>
      <c r="H147" s="1129"/>
      <c r="I147" s="1129"/>
    </row>
    <row r="148" spans="1:9" x14ac:dyDescent="0.2">
      <c r="A148" s="181" t="s">
        <v>642</v>
      </c>
    </row>
    <row r="150" spans="1:9" x14ac:dyDescent="0.2">
      <c r="A150" s="239"/>
    </row>
    <row r="151" spans="1:9" x14ac:dyDescent="0.2">
      <c r="A151" s="239"/>
    </row>
  </sheetData>
  <mergeCells count="125">
    <mergeCell ref="A124:B124"/>
    <mergeCell ref="A125:B125"/>
    <mergeCell ref="A126:B126"/>
    <mergeCell ref="A127:B127"/>
    <mergeCell ref="A109:B109"/>
    <mergeCell ref="A110:B110"/>
    <mergeCell ref="A114:B114"/>
    <mergeCell ref="A103:B103"/>
    <mergeCell ref="A104:B104"/>
    <mergeCell ref="A105:B105"/>
    <mergeCell ref="A106:B106"/>
    <mergeCell ref="A107:B107"/>
    <mergeCell ref="A108:B108"/>
    <mergeCell ref="A97:B97"/>
    <mergeCell ref="A98:B98"/>
    <mergeCell ref="A99:B99"/>
    <mergeCell ref="A100:B100"/>
    <mergeCell ref="A101:B101"/>
    <mergeCell ref="A102:B102"/>
    <mergeCell ref="A91:B91"/>
    <mergeCell ref="A92:B92"/>
    <mergeCell ref="A93:B93"/>
    <mergeCell ref="A94:B94"/>
    <mergeCell ref="A95:B95"/>
    <mergeCell ref="A96:B96"/>
    <mergeCell ref="A85:B85"/>
    <mergeCell ref="A86:B86"/>
    <mergeCell ref="A87:B87"/>
    <mergeCell ref="A88:B88"/>
    <mergeCell ref="A89:B89"/>
    <mergeCell ref="A90:B90"/>
    <mergeCell ref="A79:B79"/>
    <mergeCell ref="A80:B80"/>
    <mergeCell ref="A81:B81"/>
    <mergeCell ref="A82:B82"/>
    <mergeCell ref="A83:B83"/>
    <mergeCell ref="A84:B84"/>
    <mergeCell ref="A73:B73"/>
    <mergeCell ref="A74:B74"/>
    <mergeCell ref="A75:B75"/>
    <mergeCell ref="A76:B76"/>
    <mergeCell ref="A77:B77"/>
    <mergeCell ref="A78:B78"/>
    <mergeCell ref="A67:B67"/>
    <mergeCell ref="A69:B69"/>
    <mergeCell ref="A70:B70"/>
    <mergeCell ref="A71:B71"/>
    <mergeCell ref="A72:B72"/>
    <mergeCell ref="C48:I48"/>
    <mergeCell ref="C49:I49"/>
    <mergeCell ref="A51:I51"/>
    <mergeCell ref="A61:B61"/>
    <mergeCell ref="A62:B62"/>
    <mergeCell ref="A63:B63"/>
    <mergeCell ref="A64:B64"/>
    <mergeCell ref="A65:B65"/>
    <mergeCell ref="A66:B66"/>
    <mergeCell ref="A59:B59"/>
    <mergeCell ref="A60:B60"/>
    <mergeCell ref="A53:G53"/>
    <mergeCell ref="A55:B55"/>
    <mergeCell ref="A56:B56"/>
    <mergeCell ref="A57:B57"/>
    <mergeCell ref="A58:B58"/>
    <mergeCell ref="D32:I33"/>
    <mergeCell ref="C34:I34"/>
    <mergeCell ref="A36:I36"/>
    <mergeCell ref="C47:I47"/>
    <mergeCell ref="D38:I38"/>
    <mergeCell ref="D39:I39"/>
    <mergeCell ref="D40:I40"/>
    <mergeCell ref="C41:I41"/>
    <mergeCell ref="A43:I43"/>
    <mergeCell ref="C45:I45"/>
    <mergeCell ref="C46:I46"/>
    <mergeCell ref="F25:I25"/>
    <mergeCell ref="F26:I26"/>
    <mergeCell ref="F27:I27"/>
    <mergeCell ref="A29:I29"/>
    <mergeCell ref="D31:I31"/>
    <mergeCell ref="A11:I11"/>
    <mergeCell ref="A15:A17"/>
    <mergeCell ref="A20:I20"/>
    <mergeCell ref="F22:I22"/>
    <mergeCell ref="F23:I23"/>
    <mergeCell ref="F24:I24"/>
    <mergeCell ref="A7:B7"/>
    <mergeCell ref="D7:I7"/>
    <mergeCell ref="A8:B8"/>
    <mergeCell ref="D8:I8"/>
    <mergeCell ref="A9:B9"/>
    <mergeCell ref="D9:I9"/>
    <mergeCell ref="B1:I1"/>
    <mergeCell ref="A3:I3"/>
    <mergeCell ref="A5:B5"/>
    <mergeCell ref="D5:I5"/>
    <mergeCell ref="A6:B6"/>
    <mergeCell ref="D6:I6"/>
    <mergeCell ref="F110:G110"/>
    <mergeCell ref="A112:G112"/>
    <mergeCell ref="A117:B117"/>
    <mergeCell ref="A118:B118"/>
    <mergeCell ref="A119:B119"/>
    <mergeCell ref="A120:B120"/>
    <mergeCell ref="A121:B121"/>
    <mergeCell ref="A122:B122"/>
    <mergeCell ref="A123:B123"/>
    <mergeCell ref="A115:B115"/>
    <mergeCell ref="A116:B116"/>
    <mergeCell ref="A137:I137"/>
    <mergeCell ref="A139:I139"/>
    <mergeCell ref="A140:I140"/>
    <mergeCell ref="A141:I141"/>
    <mergeCell ref="A143:I143"/>
    <mergeCell ref="A146:I146"/>
    <mergeCell ref="A147:I147"/>
    <mergeCell ref="A128:B128"/>
    <mergeCell ref="A129:B129"/>
    <mergeCell ref="A130:B130"/>
    <mergeCell ref="A131:B131"/>
    <mergeCell ref="A132:B132"/>
    <mergeCell ref="A133:B133"/>
    <mergeCell ref="A134:B134"/>
    <mergeCell ref="A135:B135"/>
    <mergeCell ref="F135:G135"/>
  </mergeCells>
  <pageMargins left="0.70866141732283472" right="0.70866141732283472" top="0.78740157480314965" bottom="0.78740157480314965" header="0.31496062992125984" footer="0.31496062992125984"/>
  <pageSetup paperSize="9" scale="73" firstPageNumber="99" fitToHeight="10" orientation="portrait" useFirstPageNumber="1"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zoomScale="150" zoomScaleNormal="150" workbookViewId="0">
      <selection activeCell="A107" sqref="A107:XFD107"/>
    </sheetView>
  </sheetViews>
  <sheetFormatPr defaultColWidth="6.5" defaultRowHeight="8.25" x14ac:dyDescent="0.15"/>
  <cols>
    <col min="1" max="1" width="5.5" style="1" customWidth="1"/>
    <col min="2" max="2" width="6.5" customWidth="1"/>
    <col min="3" max="3" width="36.75" customWidth="1"/>
    <col min="4" max="4" width="9.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2" customFormat="1" ht="15.75" x14ac:dyDescent="0.25">
      <c r="A1" s="1019" t="s">
        <v>85</v>
      </c>
      <c r="B1" s="1019"/>
      <c r="C1" s="1019"/>
      <c r="D1" s="1019"/>
      <c r="E1" s="1019"/>
      <c r="F1" s="1019"/>
      <c r="G1" s="1019"/>
      <c r="H1" s="1019"/>
      <c r="I1" s="1019"/>
      <c r="J1" s="1019"/>
      <c r="K1" s="1019"/>
      <c r="L1" s="1019"/>
      <c r="M1" s="1019"/>
      <c r="N1" s="1019"/>
      <c r="O1" s="1019"/>
      <c r="P1" s="1019"/>
      <c r="Q1" s="1019"/>
      <c r="R1" s="1019"/>
      <c r="S1" s="1019"/>
      <c r="T1" s="1019"/>
      <c r="U1" s="1019"/>
      <c r="V1" s="1019"/>
      <c r="W1" s="1019"/>
      <c r="X1" s="1019"/>
    </row>
    <row r="3" spans="1:24" s="3" customFormat="1" ht="9.75" customHeight="1" x14ac:dyDescent="0.2">
      <c r="A3" s="1255" t="s">
        <v>40</v>
      </c>
      <c r="B3" s="1264" t="s">
        <v>41</v>
      </c>
      <c r="C3" s="1265"/>
      <c r="D3" s="1270" t="s">
        <v>42</v>
      </c>
      <c r="E3" s="1273" t="s">
        <v>34</v>
      </c>
      <c r="F3" s="1274"/>
      <c r="G3" s="1274"/>
      <c r="H3" s="1274"/>
      <c r="I3" s="1275"/>
      <c r="J3" s="1273" t="s">
        <v>39</v>
      </c>
      <c r="K3" s="1274"/>
      <c r="L3" s="1274"/>
      <c r="M3" s="1274"/>
      <c r="N3" s="1275"/>
      <c r="O3" s="1273" t="s">
        <v>43</v>
      </c>
      <c r="P3" s="1274"/>
      <c r="Q3" s="1274"/>
      <c r="R3" s="1274"/>
      <c r="S3" s="1275"/>
      <c r="T3" s="1273" t="s">
        <v>38</v>
      </c>
      <c r="U3" s="1274"/>
      <c r="V3" s="1274"/>
      <c r="W3" s="1274"/>
      <c r="X3" s="1275"/>
    </row>
    <row r="4" spans="1:24" s="4" customFormat="1" ht="9.75" customHeight="1" x14ac:dyDescent="0.2">
      <c r="A4" s="1262"/>
      <c r="B4" s="1266"/>
      <c r="C4" s="1267"/>
      <c r="D4" s="1271"/>
      <c r="E4" s="1257" t="s">
        <v>44</v>
      </c>
      <c r="F4" s="1259" t="s">
        <v>336</v>
      </c>
      <c r="G4" s="1260"/>
      <c r="H4" s="1261"/>
      <c r="I4" s="1255" t="s">
        <v>337</v>
      </c>
      <c r="J4" s="1257" t="s">
        <v>44</v>
      </c>
      <c r="K4" s="1259" t="s">
        <v>336</v>
      </c>
      <c r="L4" s="1260"/>
      <c r="M4" s="1261"/>
      <c r="N4" s="1255" t="s">
        <v>337</v>
      </c>
      <c r="O4" s="1257" t="s">
        <v>44</v>
      </c>
      <c r="P4" s="1259" t="s">
        <v>336</v>
      </c>
      <c r="Q4" s="1260"/>
      <c r="R4" s="1261"/>
      <c r="S4" s="1255" t="s">
        <v>337</v>
      </c>
      <c r="T4" s="1257" t="s">
        <v>44</v>
      </c>
      <c r="U4" s="1259" t="s">
        <v>336</v>
      </c>
      <c r="V4" s="1260"/>
      <c r="W4" s="1261"/>
      <c r="X4" s="1255" t="s">
        <v>337</v>
      </c>
    </row>
    <row r="5" spans="1:24" s="5" customFormat="1" ht="9.75" customHeight="1" x14ac:dyDescent="0.2">
      <c r="A5" s="1263"/>
      <c r="B5" s="1268"/>
      <c r="C5" s="1269"/>
      <c r="D5" s="1272"/>
      <c r="E5" s="1258"/>
      <c r="F5" s="147" t="s">
        <v>35</v>
      </c>
      <c r="G5" s="148" t="s">
        <v>36</v>
      </c>
      <c r="H5" s="147" t="s">
        <v>37</v>
      </c>
      <c r="I5" s="1256"/>
      <c r="J5" s="1258"/>
      <c r="K5" s="147" t="s">
        <v>35</v>
      </c>
      <c r="L5" s="148" t="s">
        <v>36</v>
      </c>
      <c r="M5" s="147" t="s">
        <v>37</v>
      </c>
      <c r="N5" s="1256"/>
      <c r="O5" s="1258"/>
      <c r="P5" s="147" t="s">
        <v>35</v>
      </c>
      <c r="Q5" s="148" t="s">
        <v>36</v>
      </c>
      <c r="R5" s="147" t="s">
        <v>37</v>
      </c>
      <c r="S5" s="1256"/>
      <c r="T5" s="1258"/>
      <c r="U5" s="147" t="s">
        <v>35</v>
      </c>
      <c r="V5" s="148" t="s">
        <v>36</v>
      </c>
      <c r="W5" s="147" t="s">
        <v>37</v>
      </c>
      <c r="X5" s="1256"/>
    </row>
    <row r="6" spans="1:24" s="3" customFormat="1" ht="9.75" customHeight="1" x14ac:dyDescent="0.2">
      <c r="A6" s="149" t="s">
        <v>0</v>
      </c>
      <c r="B6" s="1254" t="s">
        <v>1</v>
      </c>
      <c r="C6" s="1254"/>
      <c r="D6" s="150" t="s">
        <v>25</v>
      </c>
      <c r="E6" s="151">
        <f>SUM(E7:E9)</f>
        <v>39610220</v>
      </c>
      <c r="F6" s="151">
        <f>SUM(F7:F9)</f>
        <v>44534684.890000001</v>
      </c>
      <c r="G6" s="151">
        <f>SUM(G7:G9)</f>
        <v>44534684.890000001</v>
      </c>
      <c r="H6" s="152">
        <f t="shared" ref="H6:H36" si="0">G6/F6*100</f>
        <v>100</v>
      </c>
      <c r="I6" s="151">
        <f>SUM(I7:I9)</f>
        <v>38804120.469999999</v>
      </c>
      <c r="J6" s="151">
        <f>SUM(J7:J9)</f>
        <v>5592680</v>
      </c>
      <c r="K6" s="151">
        <f t="shared" ref="K6:X6" si="1">SUM(K7:K9)</f>
        <v>6724050.3600000003</v>
      </c>
      <c r="L6" s="151">
        <f t="shared" si="1"/>
        <v>6724050.3600000003</v>
      </c>
      <c r="M6" s="152">
        <f t="shared" ref="M6:M33" si="2">L6/K6*100</f>
        <v>100</v>
      </c>
      <c r="N6" s="153">
        <f>SUM(N7:N9)</f>
        <v>6140766.4699999997</v>
      </c>
      <c r="O6" s="151">
        <f t="shared" si="1"/>
        <v>34017540</v>
      </c>
      <c r="P6" s="151">
        <f t="shared" si="1"/>
        <v>37810634.530000001</v>
      </c>
      <c r="Q6" s="151">
        <f t="shared" si="1"/>
        <v>37810634.530000001</v>
      </c>
      <c r="R6" s="152">
        <f t="shared" ref="R6:R33" si="3">Q6/P6*100</f>
        <v>100</v>
      </c>
      <c r="S6" s="151">
        <f t="shared" si="1"/>
        <v>32663354</v>
      </c>
      <c r="T6" s="151">
        <f t="shared" si="1"/>
        <v>350000</v>
      </c>
      <c r="U6" s="151">
        <f t="shared" si="1"/>
        <v>520593</v>
      </c>
      <c r="V6" s="151">
        <f t="shared" si="1"/>
        <v>520593</v>
      </c>
      <c r="W6" s="152">
        <f t="shared" ref="W6:W33" si="4">V6/U6*100</f>
        <v>100</v>
      </c>
      <c r="X6" s="151">
        <f t="shared" si="1"/>
        <v>474573</v>
      </c>
    </row>
    <row r="7" spans="1:24" s="3" customFormat="1" ht="9.75" x14ac:dyDescent="0.2">
      <c r="A7" s="19" t="s">
        <v>2</v>
      </c>
      <c r="B7" s="1010" t="s">
        <v>46</v>
      </c>
      <c r="C7" s="1011"/>
      <c r="D7" s="154" t="s">
        <v>25</v>
      </c>
      <c r="E7" s="53">
        <f t="shared" ref="E7:G10" si="5">SUM(J7,O7)</f>
        <v>390000</v>
      </c>
      <c r="F7" s="54">
        <f t="shared" si="5"/>
        <v>585116.63</v>
      </c>
      <c r="G7" s="54">
        <f t="shared" si="5"/>
        <v>585116.63</v>
      </c>
      <c r="H7" s="6">
        <f t="shared" si="0"/>
        <v>100</v>
      </c>
      <c r="I7" s="60">
        <f>SUM(N7,S7)</f>
        <v>870184.98</v>
      </c>
      <c r="J7" s="61">
        <f>390000</f>
        <v>390000</v>
      </c>
      <c r="K7" s="62">
        <f>464380+34528.03+86208.6</f>
        <v>585116.63</v>
      </c>
      <c r="L7" s="62">
        <f>464380+34528.03+86208.6</f>
        <v>585116.63</v>
      </c>
      <c r="M7" s="6">
        <f t="shared" si="2"/>
        <v>100</v>
      </c>
      <c r="N7" s="62">
        <f>482312+387872.98</f>
        <v>870184.98</v>
      </c>
      <c r="O7" s="77">
        <v>0</v>
      </c>
      <c r="P7" s="62">
        <v>0</v>
      </c>
      <c r="Q7" s="62">
        <v>0</v>
      </c>
      <c r="R7" s="6" t="e">
        <f t="shared" si="3"/>
        <v>#DIV/0!</v>
      </c>
      <c r="S7" s="76">
        <v>0</v>
      </c>
      <c r="T7" s="77">
        <v>350000</v>
      </c>
      <c r="U7" s="62">
        <f>517833+2760</f>
        <v>520593</v>
      </c>
      <c r="V7" s="62">
        <f>517833+2760</f>
        <v>520593</v>
      </c>
      <c r="W7" s="6">
        <f t="shared" si="4"/>
        <v>100</v>
      </c>
      <c r="X7" s="91">
        <v>474573</v>
      </c>
    </row>
    <row r="8" spans="1:24" s="3" customFormat="1" ht="9.75" x14ac:dyDescent="0.2">
      <c r="A8" s="20" t="s">
        <v>3</v>
      </c>
      <c r="B8" s="1005" t="s">
        <v>47</v>
      </c>
      <c r="C8" s="1006"/>
      <c r="D8" s="155" t="s">
        <v>25</v>
      </c>
      <c r="E8" s="55">
        <f t="shared" si="5"/>
        <v>2000</v>
      </c>
      <c r="F8" s="56">
        <f t="shared" si="5"/>
        <v>1300.4100000000001</v>
      </c>
      <c r="G8" s="56">
        <f t="shared" si="5"/>
        <v>1300.4100000000001</v>
      </c>
      <c r="H8" s="7">
        <f t="shared" si="0"/>
        <v>100</v>
      </c>
      <c r="I8" s="63">
        <f>SUM(N8,S8)</f>
        <v>1451.49</v>
      </c>
      <c r="J8" s="64">
        <v>2000</v>
      </c>
      <c r="K8" s="56">
        <v>1253.73</v>
      </c>
      <c r="L8" s="56">
        <v>1253.73</v>
      </c>
      <c r="M8" s="7">
        <f t="shared" si="2"/>
        <v>100</v>
      </c>
      <c r="N8" s="56">
        <f>1448.99+2.5</f>
        <v>1451.49</v>
      </c>
      <c r="O8" s="55">
        <v>0</v>
      </c>
      <c r="P8" s="56">
        <v>46.68</v>
      </c>
      <c r="Q8" s="56">
        <v>46.68</v>
      </c>
      <c r="R8" s="7">
        <f t="shared" si="3"/>
        <v>100</v>
      </c>
      <c r="S8" s="63">
        <v>0</v>
      </c>
      <c r="T8" s="55">
        <v>0</v>
      </c>
      <c r="U8" s="56">
        <v>0</v>
      </c>
      <c r="V8" s="56">
        <v>0</v>
      </c>
      <c r="W8" s="7" t="e">
        <f t="shared" si="4"/>
        <v>#DIV/0!</v>
      </c>
      <c r="X8" s="92">
        <v>0</v>
      </c>
    </row>
    <row r="9" spans="1:24" s="3" customFormat="1" ht="9.75" x14ac:dyDescent="0.2">
      <c r="A9" s="21" t="s">
        <v>4</v>
      </c>
      <c r="B9" s="22" t="s">
        <v>62</v>
      </c>
      <c r="C9" s="23"/>
      <c r="D9" s="156" t="s">
        <v>25</v>
      </c>
      <c r="E9" s="57">
        <f t="shared" si="5"/>
        <v>39218220</v>
      </c>
      <c r="F9" s="58">
        <f t="shared" si="5"/>
        <v>43948267.850000001</v>
      </c>
      <c r="G9" s="58">
        <f t="shared" si="5"/>
        <v>43948267.850000001</v>
      </c>
      <c r="H9" s="24">
        <f t="shared" si="0"/>
        <v>100</v>
      </c>
      <c r="I9" s="65">
        <f>SUM(N9,S9)</f>
        <v>37932484</v>
      </c>
      <c r="J9" s="66">
        <v>5200680</v>
      </c>
      <c r="K9" s="58">
        <v>6137680</v>
      </c>
      <c r="L9" s="58">
        <v>6137680</v>
      </c>
      <c r="M9" s="24">
        <f t="shared" si="2"/>
        <v>100</v>
      </c>
      <c r="N9" s="58">
        <v>5269130</v>
      </c>
      <c r="O9" s="57">
        <v>34017540</v>
      </c>
      <c r="P9" s="58">
        <f>692317+1922099.32+80536.53+184445+34931190</f>
        <v>37810587.850000001</v>
      </c>
      <c r="Q9" s="58">
        <f>1922146+80536.53+35807952-46.68</f>
        <v>37810587.850000001</v>
      </c>
      <c r="R9" s="24">
        <f t="shared" si="3"/>
        <v>100</v>
      </c>
      <c r="S9" s="65">
        <v>32663354</v>
      </c>
      <c r="T9" s="57">
        <v>0</v>
      </c>
      <c r="U9" s="58">
        <v>0</v>
      </c>
      <c r="V9" s="58">
        <v>0</v>
      </c>
      <c r="W9" s="24" t="e">
        <f t="shared" si="4"/>
        <v>#DIV/0!</v>
      </c>
      <c r="X9" s="93">
        <v>0</v>
      </c>
    </row>
    <row r="10" spans="1:24" s="3" customFormat="1" ht="9.75" x14ac:dyDescent="0.2">
      <c r="A10" s="149" t="s">
        <v>5</v>
      </c>
      <c r="B10" s="1254" t="s">
        <v>7</v>
      </c>
      <c r="C10" s="1254"/>
      <c r="D10" s="157" t="s">
        <v>25</v>
      </c>
      <c r="E10" s="158">
        <f t="shared" si="5"/>
        <v>0</v>
      </c>
      <c r="F10" s="158">
        <f t="shared" si="5"/>
        <v>0</v>
      </c>
      <c r="G10" s="158">
        <f t="shared" si="5"/>
        <v>0</v>
      </c>
      <c r="H10" s="152" t="e">
        <f t="shared" si="0"/>
        <v>#DIV/0!</v>
      </c>
      <c r="I10" s="159">
        <f>SUM(N10,S10)</f>
        <v>0</v>
      </c>
      <c r="J10" s="160">
        <v>0</v>
      </c>
      <c r="K10" s="158">
        <v>0</v>
      </c>
      <c r="L10" s="158">
        <v>0</v>
      </c>
      <c r="M10" s="152" t="e">
        <f t="shared" si="2"/>
        <v>#DIV/0!</v>
      </c>
      <c r="N10" s="159">
        <v>0</v>
      </c>
      <c r="O10" s="158">
        <v>0</v>
      </c>
      <c r="P10" s="158">
        <v>0</v>
      </c>
      <c r="Q10" s="158">
        <v>0</v>
      </c>
      <c r="R10" s="152" t="e">
        <f t="shared" si="3"/>
        <v>#DIV/0!</v>
      </c>
      <c r="S10" s="159">
        <v>0</v>
      </c>
      <c r="T10" s="158">
        <v>0</v>
      </c>
      <c r="U10" s="158">
        <v>0</v>
      </c>
      <c r="V10" s="158">
        <v>0</v>
      </c>
      <c r="W10" s="152" t="e">
        <f t="shared" si="4"/>
        <v>#DIV/0!</v>
      </c>
      <c r="X10" s="158">
        <v>0</v>
      </c>
    </row>
    <row r="11" spans="1:24" s="3" customFormat="1" ht="9.75" x14ac:dyDescent="0.2">
      <c r="A11" s="149" t="s">
        <v>6</v>
      </c>
      <c r="B11" s="1254" t="s">
        <v>9</v>
      </c>
      <c r="C11" s="1254"/>
      <c r="D11" s="157" t="s">
        <v>25</v>
      </c>
      <c r="E11" s="151">
        <f>SUM(E12:E31)</f>
        <v>39610220</v>
      </c>
      <c r="F11" s="151">
        <f>SUM(F12:F31)</f>
        <v>44551201.649999999</v>
      </c>
      <c r="G11" s="151">
        <f>SUM(G12:G31)</f>
        <v>44551195.600000001</v>
      </c>
      <c r="H11" s="152">
        <f t="shared" si="0"/>
        <v>99.999986420119384</v>
      </c>
      <c r="I11" s="153">
        <f>SUM(I12:I31)</f>
        <v>38797090.93999999</v>
      </c>
      <c r="J11" s="151">
        <f>SUM(J12:J32)</f>
        <v>5592680</v>
      </c>
      <c r="K11" s="151">
        <f>SUM(K12:K31)</f>
        <v>6740567.1200000001</v>
      </c>
      <c r="L11" s="151">
        <f>SUM(L12:L31)</f>
        <v>6740561.0699999994</v>
      </c>
      <c r="M11" s="152">
        <f t="shared" si="2"/>
        <v>99.999910244940921</v>
      </c>
      <c r="N11" s="153">
        <f>SUM(N12:N32)</f>
        <v>6133736.9399999995</v>
      </c>
      <c r="O11" s="151">
        <f>SUM(O12:O31)</f>
        <v>34017540</v>
      </c>
      <c r="P11" s="151">
        <f>SUM(P12:P32)</f>
        <v>37810634.530000001</v>
      </c>
      <c r="Q11" s="151">
        <f>SUM(Q12:Q31)</f>
        <v>37810634.530000001</v>
      </c>
      <c r="R11" s="152">
        <f t="shared" si="3"/>
        <v>100</v>
      </c>
      <c r="S11" s="153">
        <f>SUM(S12:S31)</f>
        <v>32663354</v>
      </c>
      <c r="T11" s="151">
        <f>SUM(T12:T31)</f>
        <v>268850</v>
      </c>
      <c r="U11" s="151">
        <f>SUM(U12:U32)</f>
        <v>239265</v>
      </c>
      <c r="V11" s="151">
        <f>SUM(V12:V31)</f>
        <v>239104</v>
      </c>
      <c r="W11" s="152">
        <f t="shared" si="4"/>
        <v>99.932710592857291</v>
      </c>
      <c r="X11" s="151">
        <f>SUM(X12:X31)</f>
        <v>367942</v>
      </c>
    </row>
    <row r="12" spans="1:24" s="3" customFormat="1" ht="9.75" x14ac:dyDescent="0.2">
      <c r="A12" s="26" t="s">
        <v>8</v>
      </c>
      <c r="B12" s="1008" t="s">
        <v>28</v>
      </c>
      <c r="C12" s="1009"/>
      <c r="D12" s="161" t="s">
        <v>25</v>
      </c>
      <c r="E12" s="53">
        <f t="shared" ref="E12:I28" si="6">SUM(J12,O12)</f>
        <v>1037070</v>
      </c>
      <c r="F12" s="54">
        <f t="shared" si="6"/>
        <v>1210621.8700000001</v>
      </c>
      <c r="G12" s="54">
        <f t="shared" si="6"/>
        <v>1210621.8700000001</v>
      </c>
      <c r="H12" s="6">
        <f t="shared" si="0"/>
        <v>100</v>
      </c>
      <c r="I12" s="60">
        <f t="shared" si="6"/>
        <v>782676.29</v>
      </c>
      <c r="J12" s="70">
        <v>746530</v>
      </c>
      <c r="K12" s="71">
        <v>853904.72</v>
      </c>
      <c r="L12" s="71">
        <v>853904.72</v>
      </c>
      <c r="M12" s="6">
        <f t="shared" si="2"/>
        <v>100</v>
      </c>
      <c r="N12" s="71">
        <v>506835.29</v>
      </c>
      <c r="O12" s="79">
        <v>290540</v>
      </c>
      <c r="P12" s="71">
        <f>46410+310307.15</f>
        <v>356717.15</v>
      </c>
      <c r="Q12" s="71">
        <f>310307.15+45968+442</f>
        <v>356717.15</v>
      </c>
      <c r="R12" s="6">
        <f t="shared" si="3"/>
        <v>100</v>
      </c>
      <c r="S12" s="83">
        <v>275841</v>
      </c>
      <c r="T12" s="79">
        <v>20000</v>
      </c>
      <c r="U12" s="71">
        <v>16884</v>
      </c>
      <c r="V12" s="71">
        <v>16884</v>
      </c>
      <c r="W12" s="6">
        <f t="shared" si="4"/>
        <v>100</v>
      </c>
      <c r="X12" s="94">
        <v>12109</v>
      </c>
    </row>
    <row r="13" spans="1:24" s="3" customFormat="1" ht="9.75" x14ac:dyDescent="0.2">
      <c r="A13" s="27" t="s">
        <v>10</v>
      </c>
      <c r="B13" s="997" t="s">
        <v>29</v>
      </c>
      <c r="C13" s="998"/>
      <c r="D13" s="155" t="s">
        <v>25</v>
      </c>
      <c r="E13" s="55">
        <f t="shared" si="6"/>
        <v>2080000</v>
      </c>
      <c r="F13" s="56">
        <f t="shared" si="6"/>
        <v>2190388</v>
      </c>
      <c r="G13" s="56">
        <f t="shared" si="6"/>
        <v>2190388</v>
      </c>
      <c r="H13" s="7">
        <f t="shared" si="0"/>
        <v>100</v>
      </c>
      <c r="I13" s="63">
        <f t="shared" si="6"/>
        <v>2630286</v>
      </c>
      <c r="J13" s="72">
        <v>2080000</v>
      </c>
      <c r="K13" s="56">
        <v>2190388</v>
      </c>
      <c r="L13" s="56">
        <v>2190388</v>
      </c>
      <c r="M13" s="7">
        <f t="shared" si="2"/>
        <v>100</v>
      </c>
      <c r="N13" s="56">
        <v>2630286</v>
      </c>
      <c r="O13" s="55">
        <v>0</v>
      </c>
      <c r="P13" s="56">
        <v>0</v>
      </c>
      <c r="Q13" s="56">
        <v>0</v>
      </c>
      <c r="R13" s="7" t="e">
        <f t="shared" si="3"/>
        <v>#DIV/0!</v>
      </c>
      <c r="S13" s="63">
        <v>0</v>
      </c>
      <c r="T13" s="55">
        <v>155000</v>
      </c>
      <c r="U13" s="56">
        <v>122000</v>
      </c>
      <c r="V13" s="56">
        <v>121839</v>
      </c>
      <c r="W13" s="7">
        <f t="shared" si="4"/>
        <v>99.868032786885237</v>
      </c>
      <c r="X13" s="92">
        <v>157313</v>
      </c>
    </row>
    <row r="14" spans="1:24" s="3" customFormat="1" ht="9.75" x14ac:dyDescent="0.2">
      <c r="A14" s="27" t="s">
        <v>11</v>
      </c>
      <c r="B14" s="418" t="s">
        <v>63</v>
      </c>
      <c r="C14" s="419"/>
      <c r="D14" s="155" t="s">
        <v>25</v>
      </c>
      <c r="E14" s="55">
        <f t="shared" si="6"/>
        <v>0</v>
      </c>
      <c r="F14" s="56">
        <f t="shared" si="6"/>
        <v>0</v>
      </c>
      <c r="G14" s="56">
        <f t="shared" si="6"/>
        <v>0</v>
      </c>
      <c r="H14" s="7" t="e">
        <f t="shared" si="0"/>
        <v>#DIV/0!</v>
      </c>
      <c r="I14" s="63">
        <f t="shared" si="6"/>
        <v>0</v>
      </c>
      <c r="J14" s="72">
        <v>0</v>
      </c>
      <c r="K14" s="56">
        <v>0</v>
      </c>
      <c r="L14" s="56">
        <v>0</v>
      </c>
      <c r="M14" s="7" t="e">
        <f t="shared" si="2"/>
        <v>#DIV/0!</v>
      </c>
      <c r="N14" s="56">
        <v>0</v>
      </c>
      <c r="O14" s="55">
        <v>0</v>
      </c>
      <c r="P14" s="56">
        <v>0</v>
      </c>
      <c r="Q14" s="56">
        <v>0</v>
      </c>
      <c r="R14" s="7" t="e">
        <f t="shared" si="3"/>
        <v>#DIV/0!</v>
      </c>
      <c r="S14" s="63">
        <v>0</v>
      </c>
      <c r="T14" s="55">
        <v>0</v>
      </c>
      <c r="U14" s="56">
        <v>0</v>
      </c>
      <c r="V14" s="56">
        <v>0</v>
      </c>
      <c r="W14" s="7" t="e">
        <f t="shared" si="4"/>
        <v>#DIV/0!</v>
      </c>
      <c r="X14" s="92">
        <v>0</v>
      </c>
    </row>
    <row r="15" spans="1:24" s="3" customFormat="1" ht="9.75" x14ac:dyDescent="0.2">
      <c r="A15" s="27" t="s">
        <v>12</v>
      </c>
      <c r="B15" s="997" t="s">
        <v>64</v>
      </c>
      <c r="C15" s="998"/>
      <c r="D15" s="155" t="s">
        <v>25</v>
      </c>
      <c r="E15" s="55">
        <f t="shared" si="6"/>
        <v>650000</v>
      </c>
      <c r="F15" s="56">
        <f t="shared" si="6"/>
        <v>1448385.1</v>
      </c>
      <c r="G15" s="56">
        <f t="shared" si="6"/>
        <v>1448385.1</v>
      </c>
      <c r="H15" s="7">
        <f t="shared" si="0"/>
        <v>100</v>
      </c>
      <c r="I15" s="63">
        <f t="shared" si="6"/>
        <v>1194663.21</v>
      </c>
      <c r="J15" s="72">
        <v>650000</v>
      </c>
      <c r="K15" s="56">
        <v>1448385.1</v>
      </c>
      <c r="L15" s="56">
        <v>1448385.1</v>
      </c>
      <c r="M15" s="7">
        <f t="shared" si="2"/>
        <v>100</v>
      </c>
      <c r="N15" s="56">
        <v>1194663.21</v>
      </c>
      <c r="O15" s="55">
        <v>0</v>
      </c>
      <c r="P15" s="56">
        <v>0</v>
      </c>
      <c r="Q15" s="56">
        <v>0</v>
      </c>
      <c r="R15" s="7" t="e">
        <f t="shared" si="3"/>
        <v>#DIV/0!</v>
      </c>
      <c r="S15" s="63">
        <v>0</v>
      </c>
      <c r="T15" s="55">
        <v>25000</v>
      </c>
      <c r="U15" s="56">
        <v>23929</v>
      </c>
      <c r="V15" s="56">
        <v>23929</v>
      </c>
      <c r="W15" s="7">
        <f t="shared" si="4"/>
        <v>100</v>
      </c>
      <c r="X15" s="92">
        <v>132384</v>
      </c>
    </row>
    <row r="16" spans="1:24" s="3" customFormat="1" ht="9.75" x14ac:dyDescent="0.2">
      <c r="A16" s="27" t="s">
        <v>13</v>
      </c>
      <c r="B16" s="997" t="s">
        <v>30</v>
      </c>
      <c r="C16" s="998"/>
      <c r="D16" s="155" t="s">
        <v>25</v>
      </c>
      <c r="E16" s="55">
        <f t="shared" si="6"/>
        <v>39000</v>
      </c>
      <c r="F16" s="56">
        <f>SUM(K16,P16)</f>
        <v>49621</v>
      </c>
      <c r="G16" s="56">
        <f t="shared" si="6"/>
        <v>49621</v>
      </c>
      <c r="H16" s="7">
        <f t="shared" si="0"/>
        <v>100</v>
      </c>
      <c r="I16" s="63">
        <f t="shared" si="6"/>
        <v>37941</v>
      </c>
      <c r="J16" s="72">
        <v>3000</v>
      </c>
      <c r="K16" s="56">
        <v>2184</v>
      </c>
      <c r="L16" s="56">
        <v>2184</v>
      </c>
      <c r="M16" s="7">
        <f t="shared" si="2"/>
        <v>100</v>
      </c>
      <c r="N16" s="56">
        <v>1354</v>
      </c>
      <c r="O16" s="55">
        <v>36000</v>
      </c>
      <c r="P16" s="56">
        <f>46837+600</f>
        <v>47437</v>
      </c>
      <c r="Q16" s="56">
        <f>46837+600</f>
        <v>47437</v>
      </c>
      <c r="R16" s="7">
        <f t="shared" si="3"/>
        <v>100</v>
      </c>
      <c r="S16" s="63">
        <v>36587</v>
      </c>
      <c r="T16" s="55">
        <v>0</v>
      </c>
      <c r="U16" s="56">
        <v>0</v>
      </c>
      <c r="V16" s="56">
        <v>0</v>
      </c>
      <c r="W16" s="7" t="e">
        <f t="shared" si="4"/>
        <v>#DIV/0!</v>
      </c>
      <c r="X16" s="92">
        <v>0</v>
      </c>
    </row>
    <row r="17" spans="1:24" s="3" customFormat="1" ht="9.75" x14ac:dyDescent="0.2">
      <c r="A17" s="27" t="s">
        <v>14</v>
      </c>
      <c r="B17" s="418" t="s">
        <v>48</v>
      </c>
      <c r="C17" s="419"/>
      <c r="D17" s="155" t="s">
        <v>25</v>
      </c>
      <c r="E17" s="55">
        <f t="shared" si="6"/>
        <v>5000</v>
      </c>
      <c r="F17" s="56">
        <f t="shared" si="6"/>
        <v>3980</v>
      </c>
      <c r="G17" s="56">
        <f t="shared" si="6"/>
        <v>3980</v>
      </c>
      <c r="H17" s="7">
        <f t="shared" si="0"/>
        <v>100</v>
      </c>
      <c r="I17" s="63">
        <f t="shared" si="6"/>
        <v>2448</v>
      </c>
      <c r="J17" s="72">
        <v>5000</v>
      </c>
      <c r="K17" s="56">
        <v>3980</v>
      </c>
      <c r="L17" s="56">
        <v>3980</v>
      </c>
      <c r="M17" s="7">
        <f t="shared" si="2"/>
        <v>100</v>
      </c>
      <c r="N17" s="56">
        <v>2448</v>
      </c>
      <c r="O17" s="55">
        <v>0</v>
      </c>
      <c r="P17" s="56">
        <v>0</v>
      </c>
      <c r="Q17" s="56">
        <v>0</v>
      </c>
      <c r="R17" s="7" t="e">
        <f t="shared" si="3"/>
        <v>#DIV/0!</v>
      </c>
      <c r="S17" s="63">
        <v>0</v>
      </c>
      <c r="T17" s="55">
        <v>0</v>
      </c>
      <c r="U17" s="56">
        <v>0</v>
      </c>
      <c r="V17" s="56">
        <v>0</v>
      </c>
      <c r="W17" s="7" t="e">
        <f t="shared" si="4"/>
        <v>#DIV/0!</v>
      </c>
      <c r="X17" s="92">
        <v>0</v>
      </c>
    </row>
    <row r="18" spans="1:24" s="3" customFormat="1" ht="9.75" x14ac:dyDescent="0.2">
      <c r="A18" s="27" t="s">
        <v>15</v>
      </c>
      <c r="B18" s="997" t="s">
        <v>31</v>
      </c>
      <c r="C18" s="998"/>
      <c r="D18" s="155" t="s">
        <v>25</v>
      </c>
      <c r="E18" s="55">
        <f t="shared" si="6"/>
        <v>621500</v>
      </c>
      <c r="F18" s="56">
        <f t="shared" si="6"/>
        <v>769665.38</v>
      </c>
      <c r="G18" s="56">
        <f t="shared" si="6"/>
        <v>769665.38</v>
      </c>
      <c r="H18" s="7">
        <f t="shared" si="0"/>
        <v>100</v>
      </c>
      <c r="I18" s="63">
        <f t="shared" si="6"/>
        <v>466811.88</v>
      </c>
      <c r="J18" s="72">
        <v>460000</v>
      </c>
      <c r="K18" s="56">
        <v>539752.80000000005</v>
      </c>
      <c r="L18" s="56">
        <v>539752.80000000005</v>
      </c>
      <c r="M18" s="7">
        <f t="shared" si="2"/>
        <v>100</v>
      </c>
      <c r="N18" s="56">
        <v>366815.88</v>
      </c>
      <c r="O18" s="55">
        <v>161500</v>
      </c>
      <c r="P18" s="56">
        <f>29188+200724.58</f>
        <v>229912.58</v>
      </c>
      <c r="Q18" s="56">
        <f>200724.58+24115+5073</f>
        <v>229912.58</v>
      </c>
      <c r="R18" s="7">
        <f t="shared" si="3"/>
        <v>100</v>
      </c>
      <c r="S18" s="63">
        <v>99996</v>
      </c>
      <c r="T18" s="55">
        <v>3600</v>
      </c>
      <c r="U18" s="56">
        <v>9673</v>
      </c>
      <c r="V18" s="56">
        <v>9673</v>
      </c>
      <c r="W18" s="7">
        <f t="shared" si="4"/>
        <v>100</v>
      </c>
      <c r="X18" s="92">
        <v>2783</v>
      </c>
    </row>
    <row r="19" spans="1:24" s="8" customFormat="1" ht="9.75" x14ac:dyDescent="0.2">
      <c r="A19" s="27" t="s">
        <v>16</v>
      </c>
      <c r="B19" s="997" t="s">
        <v>32</v>
      </c>
      <c r="C19" s="998"/>
      <c r="D19" s="155" t="s">
        <v>25</v>
      </c>
      <c r="E19" s="55">
        <f t="shared" si="6"/>
        <v>24761650</v>
      </c>
      <c r="F19" s="56">
        <f t="shared" si="6"/>
        <v>27561580</v>
      </c>
      <c r="G19" s="56">
        <f>SUM(L19,Q19)</f>
        <v>27561580</v>
      </c>
      <c r="H19" s="7">
        <f t="shared" si="0"/>
        <v>100</v>
      </c>
      <c r="I19" s="63">
        <f t="shared" si="6"/>
        <v>23856861</v>
      </c>
      <c r="J19" s="73">
        <v>225750</v>
      </c>
      <c r="K19" s="56">
        <v>238250</v>
      </c>
      <c r="L19" s="56">
        <v>238250</v>
      </c>
      <c r="M19" s="7">
        <f t="shared" si="2"/>
        <v>100</v>
      </c>
      <c r="N19" s="56">
        <v>225125</v>
      </c>
      <c r="O19" s="55">
        <v>24535900</v>
      </c>
      <c r="P19" s="56">
        <f>509057+1476355+135622+25202296</f>
        <v>27323330</v>
      </c>
      <c r="Q19" s="56">
        <f>25846975+1416143+60212</f>
        <v>27323330</v>
      </c>
      <c r="R19" s="7">
        <f t="shared" si="3"/>
        <v>100</v>
      </c>
      <c r="S19" s="63">
        <v>23631736</v>
      </c>
      <c r="T19" s="84">
        <v>38000</v>
      </c>
      <c r="U19" s="85">
        <v>39339</v>
      </c>
      <c r="V19" s="85">
        <v>39339</v>
      </c>
      <c r="W19" s="7">
        <f t="shared" si="4"/>
        <v>100</v>
      </c>
      <c r="X19" s="95">
        <v>37280</v>
      </c>
    </row>
    <row r="20" spans="1:24" s="3" customFormat="1" ht="9.75" x14ac:dyDescent="0.2">
      <c r="A20" s="27" t="s">
        <v>17</v>
      </c>
      <c r="B20" s="997" t="s">
        <v>49</v>
      </c>
      <c r="C20" s="998"/>
      <c r="D20" s="155" t="s">
        <v>25</v>
      </c>
      <c r="E20" s="55">
        <f>SUM(J20,O20)</f>
        <v>8404130</v>
      </c>
      <c r="F20" s="56">
        <f t="shared" si="6"/>
        <v>9144358.2999999989</v>
      </c>
      <c r="G20" s="56">
        <f t="shared" si="6"/>
        <v>9144358.2999999989</v>
      </c>
      <c r="H20" s="7">
        <f t="shared" si="0"/>
        <v>100</v>
      </c>
      <c r="I20" s="63">
        <f t="shared" si="6"/>
        <v>8021151</v>
      </c>
      <c r="J20" s="72">
        <v>0</v>
      </c>
      <c r="K20" s="56">
        <f>4250+52.5</f>
        <v>4302.5</v>
      </c>
      <c r="L20" s="56">
        <f>4250+52.5</f>
        <v>4302.5</v>
      </c>
      <c r="M20" s="7">
        <f t="shared" si="2"/>
        <v>100</v>
      </c>
      <c r="N20" s="56">
        <f>8833+109</f>
        <v>8942</v>
      </c>
      <c r="O20" s="55">
        <f>8301580+102550</f>
        <v>8404130</v>
      </c>
      <c r="P20" s="56">
        <f>173079+344141+46111+8465195+2356.53+109173.27</f>
        <v>9140055.7999999989</v>
      </c>
      <c r="Q20" s="56">
        <f>13238+163.53+330903+2193+8684385+109173.27</f>
        <v>9140055.7999999989</v>
      </c>
      <c r="R20" s="7">
        <f t="shared" si="3"/>
        <v>100</v>
      </c>
      <c r="S20" s="63">
        <v>8012209</v>
      </c>
      <c r="T20" s="55">
        <f>12920+160</f>
        <v>13080</v>
      </c>
      <c r="U20" s="56">
        <f>12920+160</f>
        <v>13080</v>
      </c>
      <c r="V20" s="56">
        <f>12920+160</f>
        <v>13080</v>
      </c>
      <c r="W20" s="7">
        <f t="shared" si="4"/>
        <v>100</v>
      </c>
      <c r="X20" s="92">
        <v>12048</v>
      </c>
    </row>
    <row r="21" spans="1:24" s="3" customFormat="1" ht="9.75" x14ac:dyDescent="0.2">
      <c r="A21" s="27" t="s">
        <v>18</v>
      </c>
      <c r="B21" s="997" t="s">
        <v>50</v>
      </c>
      <c r="C21" s="998"/>
      <c r="D21" s="155" t="s">
        <v>25</v>
      </c>
      <c r="E21" s="55">
        <f>SUM(J21,O21)</f>
        <v>524470</v>
      </c>
      <c r="F21" s="56">
        <f t="shared" si="6"/>
        <v>556163</v>
      </c>
      <c r="G21" s="56">
        <f t="shared" si="6"/>
        <v>556163</v>
      </c>
      <c r="H21" s="7">
        <f t="shared" si="0"/>
        <v>100</v>
      </c>
      <c r="I21" s="63">
        <f t="shared" si="6"/>
        <v>368504</v>
      </c>
      <c r="J21" s="72">
        <v>15000</v>
      </c>
      <c r="K21" s="56">
        <v>15250</v>
      </c>
      <c r="L21" s="56">
        <v>15250</v>
      </c>
      <c r="M21" s="7">
        <f t="shared" si="2"/>
        <v>100</v>
      </c>
      <c r="N21" s="56">
        <v>10955</v>
      </c>
      <c r="O21" s="55">
        <v>509470</v>
      </c>
      <c r="P21" s="56">
        <f>10181+11251+2712+516769</f>
        <v>540913</v>
      </c>
      <c r="Q21" s="56">
        <f>529662+10443+808</f>
        <v>540913</v>
      </c>
      <c r="R21" s="7">
        <f t="shared" si="3"/>
        <v>100</v>
      </c>
      <c r="S21" s="63">
        <v>357549</v>
      </c>
      <c r="T21" s="55">
        <v>570</v>
      </c>
      <c r="U21" s="56">
        <v>760</v>
      </c>
      <c r="V21" s="56">
        <v>760</v>
      </c>
      <c r="W21" s="7">
        <f t="shared" si="4"/>
        <v>100</v>
      </c>
      <c r="X21" s="92">
        <v>525</v>
      </c>
    </row>
    <row r="22" spans="1:24" s="3" customFormat="1" ht="9.75" x14ac:dyDescent="0.2">
      <c r="A22" s="27" t="s">
        <v>19</v>
      </c>
      <c r="B22" s="997" t="s">
        <v>65</v>
      </c>
      <c r="C22" s="998"/>
      <c r="D22" s="155" t="s">
        <v>25</v>
      </c>
      <c r="E22" s="55">
        <f t="shared" si="6"/>
        <v>0</v>
      </c>
      <c r="F22" s="56">
        <f t="shared" si="6"/>
        <v>0</v>
      </c>
      <c r="G22" s="56">
        <f t="shared" si="6"/>
        <v>0</v>
      </c>
      <c r="H22" s="7" t="e">
        <f t="shared" si="0"/>
        <v>#DIV/0!</v>
      </c>
      <c r="I22" s="63">
        <f t="shared" si="6"/>
        <v>0</v>
      </c>
      <c r="J22" s="72">
        <v>0</v>
      </c>
      <c r="K22" s="56">
        <v>0</v>
      </c>
      <c r="L22" s="56">
        <v>0</v>
      </c>
      <c r="M22" s="7" t="e">
        <f t="shared" si="2"/>
        <v>#DIV/0!</v>
      </c>
      <c r="N22" s="56">
        <v>0</v>
      </c>
      <c r="O22" s="55">
        <v>0</v>
      </c>
      <c r="P22" s="56">
        <v>0</v>
      </c>
      <c r="Q22" s="56">
        <v>0</v>
      </c>
      <c r="R22" s="7" t="e">
        <f t="shared" si="3"/>
        <v>#DIV/0!</v>
      </c>
      <c r="S22" s="63">
        <v>0</v>
      </c>
      <c r="T22" s="55">
        <v>0</v>
      </c>
      <c r="U22" s="56">
        <v>0</v>
      </c>
      <c r="V22" s="56">
        <v>0</v>
      </c>
      <c r="W22" s="7" t="e">
        <f t="shared" si="4"/>
        <v>#DIV/0!</v>
      </c>
      <c r="X22" s="92">
        <v>0</v>
      </c>
    </row>
    <row r="23" spans="1:24" s="3" customFormat="1" ht="9.75" x14ac:dyDescent="0.2">
      <c r="A23" s="27" t="s">
        <v>20</v>
      </c>
      <c r="B23" s="418" t="s">
        <v>66</v>
      </c>
      <c r="C23" s="419"/>
      <c r="D23" s="155" t="s">
        <v>25</v>
      </c>
      <c r="E23" s="55">
        <f t="shared" si="6"/>
        <v>0</v>
      </c>
      <c r="F23" s="56">
        <f t="shared" si="6"/>
        <v>0</v>
      </c>
      <c r="G23" s="56">
        <f t="shared" si="6"/>
        <v>0</v>
      </c>
      <c r="H23" s="7" t="e">
        <f t="shared" si="0"/>
        <v>#DIV/0!</v>
      </c>
      <c r="I23" s="63">
        <f t="shared" si="6"/>
        <v>0</v>
      </c>
      <c r="J23" s="72">
        <v>0</v>
      </c>
      <c r="K23" s="56">
        <v>0</v>
      </c>
      <c r="L23" s="56">
        <v>0</v>
      </c>
      <c r="M23" s="7" t="e">
        <f t="shared" si="2"/>
        <v>#DIV/0!</v>
      </c>
      <c r="N23" s="56">
        <v>0</v>
      </c>
      <c r="O23" s="55">
        <v>0</v>
      </c>
      <c r="P23" s="56">
        <v>0</v>
      </c>
      <c r="Q23" s="56">
        <v>0</v>
      </c>
      <c r="R23" s="7" t="e">
        <f t="shared" si="3"/>
        <v>#DIV/0!</v>
      </c>
      <c r="S23" s="63">
        <v>0</v>
      </c>
      <c r="T23" s="55">
        <v>0</v>
      </c>
      <c r="U23" s="56">
        <v>0</v>
      </c>
      <c r="V23" s="56">
        <v>0</v>
      </c>
      <c r="W23" s="7" t="e">
        <f t="shared" si="4"/>
        <v>#DIV/0!</v>
      </c>
      <c r="X23" s="92">
        <v>0</v>
      </c>
    </row>
    <row r="24" spans="1:24" s="3" customFormat="1" ht="9.75" x14ac:dyDescent="0.2">
      <c r="A24" s="27" t="s">
        <v>21</v>
      </c>
      <c r="B24" s="418" t="s">
        <v>73</v>
      </c>
      <c r="C24" s="419"/>
      <c r="D24" s="155" t="s">
        <v>25</v>
      </c>
      <c r="E24" s="55">
        <f t="shared" si="6"/>
        <v>0</v>
      </c>
      <c r="F24" s="56">
        <f t="shared" si="6"/>
        <v>0</v>
      </c>
      <c r="G24" s="56">
        <f t="shared" si="6"/>
        <v>0</v>
      </c>
      <c r="H24" s="7" t="e">
        <f t="shared" si="0"/>
        <v>#DIV/0!</v>
      </c>
      <c r="I24" s="63">
        <f t="shared" si="6"/>
        <v>0</v>
      </c>
      <c r="J24" s="72">
        <v>0</v>
      </c>
      <c r="K24" s="56">
        <v>0</v>
      </c>
      <c r="L24" s="56">
        <v>0</v>
      </c>
      <c r="M24" s="7" t="e">
        <f t="shared" si="2"/>
        <v>#DIV/0!</v>
      </c>
      <c r="N24" s="56">
        <v>0</v>
      </c>
      <c r="O24" s="55">
        <v>0</v>
      </c>
      <c r="P24" s="56">
        <v>0</v>
      </c>
      <c r="Q24" s="56">
        <v>0</v>
      </c>
      <c r="R24" s="7" t="e">
        <f t="shared" si="3"/>
        <v>#DIV/0!</v>
      </c>
      <c r="S24" s="63">
        <v>0</v>
      </c>
      <c r="T24" s="55">
        <v>0</v>
      </c>
      <c r="U24" s="56">
        <v>0</v>
      </c>
      <c r="V24" s="56">
        <v>0</v>
      </c>
      <c r="W24" s="7" t="e">
        <f t="shared" si="4"/>
        <v>#DIV/0!</v>
      </c>
      <c r="X24" s="92">
        <v>0</v>
      </c>
    </row>
    <row r="25" spans="1:24" s="3" customFormat="1" ht="9.75" x14ac:dyDescent="0.2">
      <c r="A25" s="28" t="s">
        <v>22</v>
      </c>
      <c r="B25" s="29" t="s">
        <v>68</v>
      </c>
      <c r="C25" s="30"/>
      <c r="D25" s="155" t="s">
        <v>25</v>
      </c>
      <c r="E25" s="55">
        <f t="shared" si="6"/>
        <v>0</v>
      </c>
      <c r="F25" s="56">
        <f t="shared" si="6"/>
        <v>0</v>
      </c>
      <c r="G25" s="56">
        <f t="shared" si="6"/>
        <v>0</v>
      </c>
      <c r="H25" s="7" t="e">
        <f t="shared" si="0"/>
        <v>#DIV/0!</v>
      </c>
      <c r="I25" s="63">
        <f t="shared" si="6"/>
        <v>0</v>
      </c>
      <c r="J25" s="72">
        <v>0</v>
      </c>
      <c r="K25" s="74">
        <v>0</v>
      </c>
      <c r="L25" s="74">
        <v>0</v>
      </c>
      <c r="M25" s="7" t="e">
        <f t="shared" si="2"/>
        <v>#DIV/0!</v>
      </c>
      <c r="N25" s="74">
        <v>0</v>
      </c>
      <c r="O25" s="81">
        <v>0</v>
      </c>
      <c r="P25" s="74">
        <v>0</v>
      </c>
      <c r="Q25" s="74">
        <v>0</v>
      </c>
      <c r="R25" s="7" t="e">
        <f t="shared" si="3"/>
        <v>#DIV/0!</v>
      </c>
      <c r="S25" s="86">
        <v>0</v>
      </c>
      <c r="T25" s="81">
        <v>0</v>
      </c>
      <c r="U25" s="541">
        <v>0</v>
      </c>
      <c r="V25" s="74">
        <v>0</v>
      </c>
      <c r="W25" s="7" t="e">
        <f t="shared" si="4"/>
        <v>#DIV/0!</v>
      </c>
      <c r="X25" s="96">
        <v>0</v>
      </c>
    </row>
    <row r="26" spans="1:24" s="10" customFormat="1" ht="9.75" x14ac:dyDescent="0.2">
      <c r="A26" s="27" t="s">
        <v>23</v>
      </c>
      <c r="B26" s="997" t="s">
        <v>69</v>
      </c>
      <c r="C26" s="998"/>
      <c r="D26" s="155" t="s">
        <v>25</v>
      </c>
      <c r="E26" s="55">
        <f>SUM(J26,O26)</f>
        <v>976400</v>
      </c>
      <c r="F26" s="56">
        <f t="shared" si="6"/>
        <v>978158</v>
      </c>
      <c r="G26" s="56">
        <f t="shared" si="6"/>
        <v>978152.1</v>
      </c>
      <c r="H26" s="11">
        <f t="shared" si="0"/>
        <v>99.99939682546173</v>
      </c>
      <c r="I26" s="63">
        <f t="shared" si="6"/>
        <v>970567.05</v>
      </c>
      <c r="J26" s="72">
        <v>976400</v>
      </c>
      <c r="K26" s="75">
        <v>978158</v>
      </c>
      <c r="L26" s="75">
        <v>978152.1</v>
      </c>
      <c r="M26" s="7">
        <f t="shared" si="2"/>
        <v>99.99939682546173</v>
      </c>
      <c r="N26" s="75">
        <v>970567.05</v>
      </c>
      <c r="O26" s="82">
        <v>0</v>
      </c>
      <c r="P26" s="75">
        <v>0</v>
      </c>
      <c r="Q26" s="75">
        <v>0</v>
      </c>
      <c r="R26" s="7" t="e">
        <f t="shared" si="3"/>
        <v>#DIV/0!</v>
      </c>
      <c r="S26" s="80">
        <v>0</v>
      </c>
      <c r="T26" s="542">
        <v>13600</v>
      </c>
      <c r="U26" s="74">
        <v>13600</v>
      </c>
      <c r="V26" s="74">
        <v>13600</v>
      </c>
      <c r="W26" s="7">
        <f t="shared" si="4"/>
        <v>100</v>
      </c>
      <c r="X26" s="92">
        <v>13500</v>
      </c>
    </row>
    <row r="27" spans="1:24" s="12" customFormat="1" ht="9.75" x14ac:dyDescent="0.2">
      <c r="A27" s="27" t="s">
        <v>45</v>
      </c>
      <c r="B27" s="418" t="s">
        <v>70</v>
      </c>
      <c r="C27" s="419"/>
      <c r="D27" s="155" t="s">
        <v>25</v>
      </c>
      <c r="E27" s="55">
        <f t="shared" si="6"/>
        <v>0</v>
      </c>
      <c r="F27" s="56">
        <f t="shared" si="6"/>
        <v>0</v>
      </c>
      <c r="G27" s="56">
        <f t="shared" si="6"/>
        <v>0</v>
      </c>
      <c r="H27" s="11" t="e">
        <f t="shared" si="0"/>
        <v>#DIV/0!</v>
      </c>
      <c r="I27" s="63">
        <f t="shared" si="6"/>
        <v>0</v>
      </c>
      <c r="J27" s="72">
        <v>0</v>
      </c>
      <c r="K27" s="75">
        <v>0</v>
      </c>
      <c r="L27" s="75">
        <v>0</v>
      </c>
      <c r="M27" s="7" t="e">
        <f t="shared" si="2"/>
        <v>#DIV/0!</v>
      </c>
      <c r="N27" s="75">
        <v>0</v>
      </c>
      <c r="O27" s="82">
        <v>0</v>
      </c>
      <c r="P27" s="75">
        <v>0</v>
      </c>
      <c r="Q27" s="75">
        <v>0</v>
      </c>
      <c r="R27" s="7" t="e">
        <f t="shared" si="3"/>
        <v>#DIV/0!</v>
      </c>
      <c r="S27" s="80">
        <v>0</v>
      </c>
      <c r="T27" s="542">
        <v>0</v>
      </c>
      <c r="U27" s="75">
        <v>0</v>
      </c>
      <c r="V27" s="75">
        <v>0</v>
      </c>
      <c r="W27" s="7" t="e">
        <f t="shared" si="4"/>
        <v>#DIV/0!</v>
      </c>
      <c r="X27" s="92">
        <v>0</v>
      </c>
    </row>
    <row r="28" spans="1:24" s="12" customFormat="1" ht="9.75" x14ac:dyDescent="0.2">
      <c r="A28" s="27" t="s">
        <v>51</v>
      </c>
      <c r="B28" s="418" t="s">
        <v>74</v>
      </c>
      <c r="C28" s="419"/>
      <c r="D28" s="155" t="s">
        <v>25</v>
      </c>
      <c r="E28" s="55">
        <f>SUM(J28,O28)</f>
        <v>510000</v>
      </c>
      <c r="F28" s="56">
        <f>SUM(K28,P28)</f>
        <v>607242</v>
      </c>
      <c r="G28" s="56">
        <f>SUM(L28,Q28)</f>
        <v>607242</v>
      </c>
      <c r="H28" s="11">
        <f t="shared" si="0"/>
        <v>100</v>
      </c>
      <c r="I28" s="63">
        <f t="shared" si="6"/>
        <v>461675</v>
      </c>
      <c r="J28" s="72">
        <v>430000</v>
      </c>
      <c r="K28" s="75">
        <v>434973</v>
      </c>
      <c r="L28" s="75">
        <v>434973</v>
      </c>
      <c r="M28" s="7">
        <f t="shared" si="2"/>
        <v>100</v>
      </c>
      <c r="N28" s="75">
        <v>212239</v>
      </c>
      <c r="O28" s="82">
        <v>80000</v>
      </c>
      <c r="P28" s="75">
        <f>92381+79888</f>
        <v>172269</v>
      </c>
      <c r="Q28" s="75">
        <f>92381+79888</f>
        <v>172269</v>
      </c>
      <c r="R28" s="7">
        <f t="shared" si="3"/>
        <v>100</v>
      </c>
      <c r="S28" s="80">
        <v>249436</v>
      </c>
      <c r="T28" s="542">
        <v>0</v>
      </c>
      <c r="U28" s="75">
        <v>0</v>
      </c>
      <c r="V28" s="75">
        <v>0</v>
      </c>
      <c r="W28" s="7" t="e">
        <f t="shared" si="4"/>
        <v>#DIV/0!</v>
      </c>
      <c r="X28" s="92">
        <v>0</v>
      </c>
    </row>
    <row r="29" spans="1:24" s="10" customFormat="1" ht="9.75" x14ac:dyDescent="0.2">
      <c r="A29" s="27" t="s">
        <v>52</v>
      </c>
      <c r="B29" s="997" t="s">
        <v>67</v>
      </c>
      <c r="C29" s="998"/>
      <c r="D29" s="155" t="s">
        <v>25</v>
      </c>
      <c r="E29" s="55">
        <f>SUM(J29,O29)</f>
        <v>1000</v>
      </c>
      <c r="F29" s="56">
        <f>SUM(K29,P29)</f>
        <v>31039</v>
      </c>
      <c r="G29" s="56">
        <f t="shared" ref="E29:G31" si="7">SUM(L29,Q29)</f>
        <v>31038.85</v>
      </c>
      <c r="H29" s="11">
        <f t="shared" si="0"/>
        <v>99.999516737008278</v>
      </c>
      <c r="I29" s="63">
        <f>SUM(N29,S29)</f>
        <v>3506.51</v>
      </c>
      <c r="J29" s="72">
        <v>1000</v>
      </c>
      <c r="K29" s="75">
        <v>31039</v>
      </c>
      <c r="L29" s="75">
        <v>31038.85</v>
      </c>
      <c r="M29" s="7">
        <f t="shared" si="2"/>
        <v>99.999516737008278</v>
      </c>
      <c r="N29" s="75">
        <v>3506.51</v>
      </c>
      <c r="O29" s="82">
        <v>0</v>
      </c>
      <c r="P29" s="75">
        <v>0</v>
      </c>
      <c r="Q29" s="75">
        <v>0</v>
      </c>
      <c r="R29" s="7" t="e">
        <f t="shared" si="3"/>
        <v>#DIV/0!</v>
      </c>
      <c r="S29" s="80">
        <v>0</v>
      </c>
      <c r="T29" s="542">
        <v>0</v>
      </c>
      <c r="U29" s="75">
        <v>0</v>
      </c>
      <c r="V29" s="75">
        <v>0</v>
      </c>
      <c r="W29" s="7" t="e">
        <f t="shared" si="4"/>
        <v>#DIV/0!</v>
      </c>
      <c r="X29" s="92">
        <v>0</v>
      </c>
    </row>
    <row r="30" spans="1:24" s="3" customFormat="1" ht="9.75" x14ac:dyDescent="0.2">
      <c r="A30" s="27" t="s">
        <v>54</v>
      </c>
      <c r="B30" s="418" t="s">
        <v>53</v>
      </c>
      <c r="C30" s="419"/>
      <c r="D30" s="155" t="s">
        <v>25</v>
      </c>
      <c r="E30" s="55">
        <f t="shared" si="7"/>
        <v>0</v>
      </c>
      <c r="F30" s="56">
        <f t="shared" si="7"/>
        <v>0</v>
      </c>
      <c r="G30" s="56">
        <f t="shared" si="7"/>
        <v>0</v>
      </c>
      <c r="H30" s="11" t="e">
        <f t="shared" si="0"/>
        <v>#DIV/0!</v>
      </c>
      <c r="I30" s="63">
        <f>SUM(N30,S30)</f>
        <v>0</v>
      </c>
      <c r="J30" s="72">
        <v>0</v>
      </c>
      <c r="K30" s="75">
        <v>0</v>
      </c>
      <c r="L30" s="75">
        <v>0</v>
      </c>
      <c r="M30" s="7" t="e">
        <f t="shared" si="2"/>
        <v>#DIV/0!</v>
      </c>
      <c r="N30" s="75">
        <v>0</v>
      </c>
      <c r="O30" s="82">
        <v>0</v>
      </c>
      <c r="P30" s="75">
        <v>0</v>
      </c>
      <c r="Q30" s="75">
        <v>0</v>
      </c>
      <c r="R30" s="7" t="e">
        <f t="shared" si="3"/>
        <v>#DIV/0!</v>
      </c>
      <c r="S30" s="80">
        <v>0</v>
      </c>
      <c r="T30" s="542">
        <v>0</v>
      </c>
      <c r="U30" s="75">
        <v>0</v>
      </c>
      <c r="V30" s="75">
        <v>0</v>
      </c>
      <c r="W30" s="7" t="e">
        <f t="shared" si="4"/>
        <v>#DIV/0!</v>
      </c>
      <c r="X30" s="92">
        <v>0</v>
      </c>
    </row>
    <row r="31" spans="1:24" s="31" customFormat="1" ht="9.75" x14ac:dyDescent="0.2">
      <c r="A31" s="27" t="s">
        <v>55</v>
      </c>
      <c r="B31" s="102" t="s">
        <v>71</v>
      </c>
      <c r="C31" s="103"/>
      <c r="D31" s="155" t="s">
        <v>25</v>
      </c>
      <c r="E31" s="55">
        <f t="shared" si="7"/>
        <v>0</v>
      </c>
      <c r="F31" s="56">
        <f t="shared" si="7"/>
        <v>0</v>
      </c>
      <c r="G31" s="56">
        <f t="shared" si="7"/>
        <v>0</v>
      </c>
      <c r="H31" s="11" t="e">
        <f t="shared" si="0"/>
        <v>#DIV/0!</v>
      </c>
      <c r="I31" s="63">
        <f>SUM(N31,S31)</f>
        <v>0</v>
      </c>
      <c r="J31" s="72">
        <v>0</v>
      </c>
      <c r="K31" s="104">
        <v>0</v>
      </c>
      <c r="L31" s="104">
        <v>0</v>
      </c>
      <c r="M31" s="7" t="e">
        <f t="shared" si="2"/>
        <v>#DIV/0!</v>
      </c>
      <c r="N31" s="104">
        <v>0</v>
      </c>
      <c r="O31" s="106">
        <v>0</v>
      </c>
      <c r="P31" s="104">
        <v>0</v>
      </c>
      <c r="Q31" s="104">
        <v>0</v>
      </c>
      <c r="R31" s="7" t="e">
        <f t="shared" si="3"/>
        <v>#DIV/0!</v>
      </c>
      <c r="S31" s="105">
        <v>0</v>
      </c>
      <c r="T31" s="543">
        <v>0</v>
      </c>
      <c r="U31" s="75">
        <v>0</v>
      </c>
      <c r="V31" s="75">
        <v>0</v>
      </c>
      <c r="W31" s="7" t="e">
        <f t="shared" si="4"/>
        <v>#DIV/0!</v>
      </c>
      <c r="X31" s="92">
        <v>0</v>
      </c>
    </row>
    <row r="32" spans="1:24" s="31" customFormat="1" ht="9.75" x14ac:dyDescent="0.2">
      <c r="A32" s="110" t="s">
        <v>56</v>
      </c>
      <c r="B32" s="111" t="s">
        <v>72</v>
      </c>
      <c r="C32" s="112"/>
      <c r="D32" s="163" t="s">
        <v>25</v>
      </c>
      <c r="E32" s="57">
        <f>SUM(J32,O32)</f>
        <v>0</v>
      </c>
      <c r="F32" s="58">
        <f>SUM(K32,P32)</f>
        <v>0</v>
      </c>
      <c r="G32" s="58">
        <f>SUM(L32,Q32)</f>
        <v>0</v>
      </c>
      <c r="H32" s="13" t="e">
        <f t="shared" si="0"/>
        <v>#DIV/0!</v>
      </c>
      <c r="I32" s="65">
        <f>SUM(N32,S32)</f>
        <v>0</v>
      </c>
      <c r="J32" s="113">
        <v>0</v>
      </c>
      <c r="K32" s="90">
        <v>0</v>
      </c>
      <c r="L32" s="90">
        <v>0</v>
      </c>
      <c r="M32" s="24" t="e">
        <f t="shared" si="2"/>
        <v>#DIV/0!</v>
      </c>
      <c r="N32" s="90">
        <v>0</v>
      </c>
      <c r="O32" s="89">
        <v>0</v>
      </c>
      <c r="P32" s="90">
        <v>0</v>
      </c>
      <c r="Q32" s="90">
        <v>0</v>
      </c>
      <c r="R32" s="24" t="e">
        <f t="shared" si="3"/>
        <v>#DIV/0!</v>
      </c>
      <c r="S32" s="114">
        <v>0</v>
      </c>
      <c r="T32" s="544">
        <v>0</v>
      </c>
      <c r="U32" s="177">
        <v>0</v>
      </c>
      <c r="V32" s="177">
        <v>0</v>
      </c>
      <c r="W32" s="24" t="e">
        <f t="shared" si="4"/>
        <v>#DIV/0!</v>
      </c>
      <c r="X32" s="92">
        <v>0</v>
      </c>
    </row>
    <row r="33" spans="1:24" s="31" customFormat="1" ht="9.75" x14ac:dyDescent="0.2">
      <c r="A33" s="149" t="s">
        <v>57</v>
      </c>
      <c r="B33" s="164" t="s">
        <v>58</v>
      </c>
      <c r="C33" s="165"/>
      <c r="D33" s="150" t="s">
        <v>25</v>
      </c>
      <c r="E33" s="151">
        <f>E6-E11</f>
        <v>0</v>
      </c>
      <c r="F33" s="151">
        <f>F6-F11</f>
        <v>-16516.759999997914</v>
      </c>
      <c r="G33" s="151">
        <f>G6-G11</f>
        <v>-16510.710000000894</v>
      </c>
      <c r="H33" s="171">
        <f t="shared" si="0"/>
        <v>99.963370540002884</v>
      </c>
      <c r="I33" s="151">
        <f>I6-I11</f>
        <v>7029.5300000086427</v>
      </c>
      <c r="J33" s="151">
        <f>J6-J11</f>
        <v>0</v>
      </c>
      <c r="K33" s="151">
        <f>K6-K11</f>
        <v>-16516.759999999776</v>
      </c>
      <c r="L33" s="151">
        <f>L6-L11</f>
        <v>-16510.709999999031</v>
      </c>
      <c r="M33" s="166">
        <f t="shared" si="2"/>
        <v>99.963370539980318</v>
      </c>
      <c r="N33" s="151">
        <f>N6-N11</f>
        <v>7029.5300000002608</v>
      </c>
      <c r="O33" s="151">
        <f>O6-O11</f>
        <v>0</v>
      </c>
      <c r="P33" s="151">
        <f>P6-P11</f>
        <v>0</v>
      </c>
      <c r="Q33" s="151">
        <f>Q6-Q11</f>
        <v>0</v>
      </c>
      <c r="R33" s="166" t="e">
        <f t="shared" si="3"/>
        <v>#DIV/0!</v>
      </c>
      <c r="S33" s="151">
        <f>S6-S11</f>
        <v>0</v>
      </c>
      <c r="T33" s="151">
        <f>T6-T11</f>
        <v>81150</v>
      </c>
      <c r="U33" s="545">
        <f>U6-U11</f>
        <v>281328</v>
      </c>
      <c r="V33" s="151">
        <f>V6-V11</f>
        <v>281489</v>
      </c>
      <c r="W33" s="166">
        <f t="shared" si="4"/>
        <v>100.05722857305352</v>
      </c>
      <c r="X33" s="151">
        <f>X6-X11</f>
        <v>106631</v>
      </c>
    </row>
    <row r="34" spans="1:24" s="37" customFormat="1" ht="9" x14ac:dyDescent="0.2">
      <c r="A34" s="36" t="s">
        <v>59</v>
      </c>
      <c r="B34" s="999" t="s">
        <v>24</v>
      </c>
      <c r="C34" s="1000"/>
      <c r="D34" s="167" t="s">
        <v>25</v>
      </c>
      <c r="E34" s="40">
        <f>E19/12/E35</f>
        <v>27512.944444444442</v>
      </c>
      <c r="F34" s="41">
        <f>F19/12/F35</f>
        <v>28419.390894767668</v>
      </c>
      <c r="G34" s="41">
        <f>G19/12/G35</f>
        <v>28419.390894767668</v>
      </c>
      <c r="H34" s="9">
        <f t="shared" si="0"/>
        <v>100</v>
      </c>
      <c r="I34" s="44">
        <f>I19/12/I35</f>
        <v>25488.099358974359</v>
      </c>
      <c r="J34" s="40"/>
      <c r="K34" s="41"/>
      <c r="L34" s="41"/>
      <c r="M34" s="9">
        <v>0</v>
      </c>
      <c r="N34" s="44"/>
      <c r="O34" s="40">
        <f>O19/12/O35</f>
        <v>27262.111111111109</v>
      </c>
      <c r="P34" s="41">
        <f>P19/12/P35</f>
        <v>28173.7257376657</v>
      </c>
      <c r="Q34" s="41">
        <f>Q19/12/Q35</f>
        <v>28173.7257376657</v>
      </c>
      <c r="R34" s="9">
        <v>0</v>
      </c>
      <c r="S34" s="44">
        <f>S19/12/S35</f>
        <v>26257.484444444442</v>
      </c>
      <c r="T34" s="40"/>
      <c r="U34" s="41"/>
      <c r="V34" s="41"/>
      <c r="W34" s="9">
        <v>0</v>
      </c>
      <c r="X34" s="44"/>
    </row>
    <row r="35" spans="1:24" s="37" customFormat="1" ht="9" x14ac:dyDescent="0.2">
      <c r="A35" s="38" t="s">
        <v>60</v>
      </c>
      <c r="B35" s="1001" t="s">
        <v>33</v>
      </c>
      <c r="C35" s="1002"/>
      <c r="D35" s="168" t="s">
        <v>26</v>
      </c>
      <c r="E35" s="118">
        <v>75</v>
      </c>
      <c r="F35" s="119">
        <v>80.817999999999998</v>
      </c>
      <c r="G35" s="119">
        <v>80.817999999999998</v>
      </c>
      <c r="H35" s="11">
        <f t="shared" si="0"/>
        <v>100</v>
      </c>
      <c r="I35" s="45">
        <v>78</v>
      </c>
      <c r="J35" s="118"/>
      <c r="K35" s="119"/>
      <c r="L35" s="119"/>
      <c r="M35" s="11">
        <v>0</v>
      </c>
      <c r="N35" s="45"/>
      <c r="O35" s="118">
        <v>75</v>
      </c>
      <c r="P35" s="119">
        <v>80.817999999999998</v>
      </c>
      <c r="Q35" s="119">
        <v>80.817999999999998</v>
      </c>
      <c r="R35" s="11">
        <v>0</v>
      </c>
      <c r="S35" s="45">
        <v>75</v>
      </c>
      <c r="T35" s="118"/>
      <c r="U35" s="119"/>
      <c r="V35" s="119"/>
      <c r="W35" s="11">
        <v>0</v>
      </c>
      <c r="X35" s="45"/>
    </row>
    <row r="36" spans="1:24" s="37" customFormat="1" ht="9" x14ac:dyDescent="0.2">
      <c r="A36" s="39" t="s">
        <v>61</v>
      </c>
      <c r="B36" s="1003" t="s">
        <v>27</v>
      </c>
      <c r="C36" s="1004"/>
      <c r="D36" s="169" t="s">
        <v>26</v>
      </c>
      <c r="E36" s="42">
        <v>86</v>
      </c>
      <c r="F36" s="43">
        <v>90</v>
      </c>
      <c r="G36" s="43">
        <v>90</v>
      </c>
      <c r="H36" s="13">
        <f t="shared" si="0"/>
        <v>100</v>
      </c>
      <c r="I36" s="46">
        <v>86</v>
      </c>
      <c r="J36" s="42"/>
      <c r="K36" s="43"/>
      <c r="L36" s="43"/>
      <c r="M36" s="13">
        <v>0</v>
      </c>
      <c r="N36" s="46"/>
      <c r="O36" s="42">
        <v>86</v>
      </c>
      <c r="P36" s="43">
        <v>90</v>
      </c>
      <c r="Q36" s="43">
        <v>90</v>
      </c>
      <c r="R36" s="13">
        <v>0</v>
      </c>
      <c r="S36" s="46">
        <v>86</v>
      </c>
      <c r="T36" s="42"/>
      <c r="U36" s="43"/>
      <c r="V36" s="43"/>
      <c r="W36" s="13">
        <v>0</v>
      </c>
      <c r="X36" s="46"/>
    </row>
  </sheetData>
  <mergeCells count="39">
    <mergeCell ref="A1:X1"/>
    <mergeCell ref="A3:A5"/>
    <mergeCell ref="B3:C5"/>
    <mergeCell ref="D3:D5"/>
    <mergeCell ref="E3:I3"/>
    <mergeCell ref="J3:N3"/>
    <mergeCell ref="O3:S3"/>
    <mergeCell ref="T3:X3"/>
    <mergeCell ref="E4:E5"/>
    <mergeCell ref="F4:H4"/>
    <mergeCell ref="S4:S5"/>
    <mergeCell ref="T4:T5"/>
    <mergeCell ref="U4:W4"/>
    <mergeCell ref="X4:X5"/>
    <mergeCell ref="O4:O5"/>
    <mergeCell ref="P4:R4"/>
    <mergeCell ref="B7:C7"/>
    <mergeCell ref="I4:I5"/>
    <mergeCell ref="J4:J5"/>
    <mergeCell ref="K4:M4"/>
    <mergeCell ref="N4:N5"/>
    <mergeCell ref="B6:C6"/>
    <mergeCell ref="B22:C22"/>
    <mergeCell ref="B8:C8"/>
    <mergeCell ref="B10:C10"/>
    <mergeCell ref="B11:C11"/>
    <mergeCell ref="B12:C12"/>
    <mergeCell ref="B13:C13"/>
    <mergeCell ref="B15:C15"/>
    <mergeCell ref="B16:C16"/>
    <mergeCell ref="B18:C18"/>
    <mergeCell ref="B19:C19"/>
    <mergeCell ref="B20:C20"/>
    <mergeCell ref="B21:C21"/>
    <mergeCell ref="B26:C26"/>
    <mergeCell ref="B29:C29"/>
    <mergeCell ref="B34:C34"/>
    <mergeCell ref="B35:C35"/>
    <mergeCell ref="B36:C36"/>
  </mergeCells>
  <pageMargins left="0.70866141732283472" right="0.70866141732283472" top="0.78740157480314965" bottom="0.78740157480314965" header="0.31496062992125984" footer="0.31496062992125984"/>
  <pageSetup paperSize="9" scale="91" firstPageNumber="101" orientation="landscape" useFirstPageNumber="1"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7"/>
  <sheetViews>
    <sheetView topLeftCell="A73" workbookViewId="0">
      <selection activeCell="A107" sqref="A107:XFD107"/>
    </sheetView>
  </sheetViews>
  <sheetFormatPr defaultRowHeight="12.75" x14ac:dyDescent="0.2"/>
  <cols>
    <col min="1" max="1" width="58" style="350" customWidth="1"/>
    <col min="2" max="2" width="33.5" style="350" customWidth="1"/>
    <col min="3" max="5" width="25.75" style="350" customWidth="1"/>
    <col min="6" max="6" width="22.75" style="350" customWidth="1"/>
    <col min="7" max="7" width="17" style="350" customWidth="1"/>
    <col min="8" max="16384" width="10" style="350"/>
  </cols>
  <sheetData>
    <row r="1" spans="1:9" s="301" customFormat="1" ht="18.75" x14ac:dyDescent="0.3">
      <c r="A1" s="1279" t="s">
        <v>1344</v>
      </c>
      <c r="B1" s="1279"/>
      <c r="C1" s="1279"/>
      <c r="D1" s="1279"/>
      <c r="E1" s="1279"/>
      <c r="F1" s="1279"/>
      <c r="G1" s="1279"/>
      <c r="H1" s="1279"/>
      <c r="I1" s="1279"/>
    </row>
    <row r="3" spans="1:9" s="302" customFormat="1" ht="10.5" x14ac:dyDescent="0.15">
      <c r="A3" s="1280" t="s">
        <v>354</v>
      </c>
      <c r="B3" s="1280"/>
      <c r="C3" s="1280"/>
      <c r="D3" s="1280"/>
      <c r="E3" s="1280"/>
      <c r="F3" s="1280"/>
      <c r="G3" s="1280"/>
      <c r="H3" s="1280"/>
      <c r="I3" s="1280"/>
    </row>
    <row r="4" spans="1:9" s="303" customFormat="1" ht="11.25" x14ac:dyDescent="0.2"/>
    <row r="5" spans="1:9" s="304" customFormat="1" ht="9.75" x14ac:dyDescent="0.2">
      <c r="A5" s="1281" t="s">
        <v>93</v>
      </c>
      <c r="B5" s="1282"/>
      <c r="C5" s="427" t="s">
        <v>25</v>
      </c>
      <c r="D5" s="1283" t="s">
        <v>355</v>
      </c>
      <c r="E5" s="1283"/>
      <c r="F5" s="1283"/>
      <c r="G5" s="1283"/>
      <c r="H5" s="1283"/>
      <c r="I5" s="1283"/>
    </row>
    <row r="6" spans="1:9" s="303" customFormat="1" ht="15" customHeight="1" x14ac:dyDescent="0.2">
      <c r="A6" s="1284" t="s">
        <v>356</v>
      </c>
      <c r="B6" s="1284"/>
      <c r="C6" s="305">
        <f>SUM(C7:C9)</f>
        <v>264978.28999999998</v>
      </c>
      <c r="D6" s="1285"/>
      <c r="E6" s="1286"/>
      <c r="F6" s="1286"/>
      <c r="G6" s="1286"/>
      <c r="H6" s="1286"/>
      <c r="I6" s="1286"/>
    </row>
    <row r="7" spans="1:9" s="303" customFormat="1" ht="34.5" customHeight="1" x14ac:dyDescent="0.2">
      <c r="A7" s="1287" t="s">
        <v>94</v>
      </c>
      <c r="B7" s="1288"/>
      <c r="C7" s="306">
        <v>-16510.71</v>
      </c>
      <c r="D7" s="1048" t="s">
        <v>643</v>
      </c>
      <c r="E7" s="1048"/>
      <c r="F7" s="1048"/>
      <c r="G7" s="1048"/>
      <c r="H7" s="1048"/>
      <c r="I7" s="1048"/>
    </row>
    <row r="8" spans="1:9" s="302" customFormat="1" ht="83.25" customHeight="1" x14ac:dyDescent="0.15">
      <c r="A8" s="1289" t="s">
        <v>95</v>
      </c>
      <c r="B8" s="1290"/>
      <c r="C8" s="307">
        <v>281489</v>
      </c>
      <c r="D8" s="1048" t="s">
        <v>644</v>
      </c>
      <c r="E8" s="1048"/>
      <c r="F8" s="1048"/>
      <c r="G8" s="1048"/>
      <c r="H8" s="1048"/>
      <c r="I8" s="1048"/>
    </row>
    <row r="9" spans="1:9" s="302" customFormat="1" ht="15" customHeight="1" x14ac:dyDescent="0.15">
      <c r="A9" s="1289" t="s">
        <v>96</v>
      </c>
      <c r="B9" s="1290"/>
      <c r="C9" s="307">
        <v>0</v>
      </c>
      <c r="D9" s="1291"/>
      <c r="E9" s="1292"/>
      <c r="F9" s="1292"/>
      <c r="G9" s="1292"/>
      <c r="H9" s="1292"/>
      <c r="I9" s="1293"/>
    </row>
    <row r="10" spans="1:9" s="303" customFormat="1" ht="11.25" x14ac:dyDescent="0.2">
      <c r="C10" s="308"/>
    </row>
    <row r="11" spans="1:9" s="303" customFormat="1" ht="11.25" x14ac:dyDescent="0.2">
      <c r="A11" s="1280" t="s">
        <v>359</v>
      </c>
      <c r="B11" s="1280"/>
      <c r="C11" s="1280"/>
      <c r="D11" s="1280"/>
      <c r="E11" s="1280"/>
      <c r="F11" s="1280"/>
      <c r="G11" s="1280"/>
      <c r="H11" s="1280"/>
      <c r="I11" s="1280"/>
    </row>
    <row r="12" spans="1:9" s="303" customFormat="1" ht="11.25" x14ac:dyDescent="0.2">
      <c r="C12" s="308"/>
      <c r="D12" s="309"/>
      <c r="E12" s="309"/>
      <c r="F12" s="309"/>
      <c r="G12" s="309"/>
      <c r="H12" s="309"/>
      <c r="I12" s="309"/>
    </row>
    <row r="13" spans="1:9" s="312" customFormat="1" ht="9.75" x14ac:dyDescent="0.2">
      <c r="A13" s="427" t="s">
        <v>93</v>
      </c>
      <c r="B13" s="427" t="s">
        <v>97</v>
      </c>
      <c r="C13" s="427" t="s">
        <v>25</v>
      </c>
      <c r="D13" s="310"/>
      <c r="E13" s="311"/>
      <c r="F13" s="311"/>
      <c r="G13" s="311"/>
      <c r="H13" s="311"/>
      <c r="I13" s="311"/>
    </row>
    <row r="14" spans="1:9" s="303" customFormat="1" ht="15" customHeight="1" x14ac:dyDescent="0.2">
      <c r="A14" s="313" t="s">
        <v>98</v>
      </c>
      <c r="B14" s="314"/>
      <c r="C14" s="315">
        <v>0</v>
      </c>
      <c r="D14" s="316"/>
      <c r="E14" s="317"/>
      <c r="F14" s="317"/>
      <c r="G14" s="317"/>
      <c r="H14" s="317"/>
      <c r="I14" s="317"/>
    </row>
    <row r="15" spans="1:9" s="303" customFormat="1" ht="15" customHeight="1" x14ac:dyDescent="0.2">
      <c r="A15" s="1294" t="s">
        <v>99</v>
      </c>
      <c r="B15" s="318" t="s">
        <v>100</v>
      </c>
      <c r="C15" s="319">
        <f>C6-C17</f>
        <v>239978.28999999998</v>
      </c>
      <c r="D15" s="320"/>
      <c r="E15" s="321"/>
      <c r="F15" s="321"/>
      <c r="G15" s="321"/>
      <c r="H15" s="321"/>
      <c r="I15" s="321"/>
    </row>
    <row r="16" spans="1:9" s="303" customFormat="1" ht="15" customHeight="1" x14ac:dyDescent="0.2">
      <c r="A16" s="1295"/>
      <c r="B16" s="322" t="s">
        <v>100</v>
      </c>
      <c r="C16" s="323">
        <v>0</v>
      </c>
      <c r="D16" s="320"/>
      <c r="E16" s="706"/>
      <c r="F16" s="706"/>
      <c r="G16" s="706"/>
      <c r="H16" s="706"/>
      <c r="I16" s="707"/>
    </row>
    <row r="17" spans="1:9" s="303" customFormat="1" ht="15" customHeight="1" x14ac:dyDescent="0.2">
      <c r="A17" s="1295"/>
      <c r="B17" s="322" t="s">
        <v>101</v>
      </c>
      <c r="C17" s="324">
        <v>25000</v>
      </c>
      <c r="D17" s="325"/>
      <c r="E17" s="706"/>
      <c r="F17" s="706"/>
      <c r="G17" s="706"/>
      <c r="H17" s="706"/>
      <c r="I17" s="707"/>
    </row>
    <row r="18" spans="1:9" s="303" customFormat="1" ht="15" customHeight="1" x14ac:dyDescent="0.2">
      <c r="A18" s="428" t="s">
        <v>356</v>
      </c>
      <c r="B18" s="326"/>
      <c r="C18" s="327">
        <f>SUM(C14:C17)</f>
        <v>264978.28999999998</v>
      </c>
      <c r="D18" s="328"/>
      <c r="E18" s="328"/>
      <c r="F18" s="328"/>
      <c r="G18" s="328"/>
      <c r="H18" s="328"/>
      <c r="I18" s="328"/>
    </row>
    <row r="19" spans="1:9" s="330" customFormat="1" ht="11.25" x14ac:dyDescent="0.2">
      <c r="A19" s="329"/>
      <c r="C19" s="331"/>
      <c r="D19" s="332"/>
      <c r="E19" s="332"/>
      <c r="F19" s="332"/>
      <c r="G19" s="332"/>
      <c r="H19" s="332"/>
      <c r="I19" s="332"/>
    </row>
    <row r="20" spans="1:9" s="303" customFormat="1" ht="11.25" x14ac:dyDescent="0.2">
      <c r="A20" s="1280" t="s">
        <v>360</v>
      </c>
      <c r="B20" s="1280"/>
      <c r="C20" s="1280"/>
      <c r="D20" s="1280"/>
      <c r="E20" s="1280"/>
      <c r="F20" s="1280"/>
      <c r="G20" s="1280"/>
      <c r="H20" s="1280"/>
      <c r="I20" s="1280"/>
    </row>
    <row r="21" spans="1:9" s="303" customFormat="1" ht="11.25" x14ac:dyDescent="0.2">
      <c r="C21" s="308"/>
    </row>
    <row r="22" spans="1:9" s="333" customFormat="1" ht="9.75" x14ac:dyDescent="0.2">
      <c r="A22" s="427" t="s">
        <v>97</v>
      </c>
      <c r="B22" s="427" t="s">
        <v>361</v>
      </c>
      <c r="C22" s="429" t="s">
        <v>362</v>
      </c>
      <c r="D22" s="427" t="s">
        <v>363</v>
      </c>
      <c r="E22" s="427" t="s">
        <v>364</v>
      </c>
      <c r="F22" s="1283" t="s">
        <v>365</v>
      </c>
      <c r="G22" s="1283"/>
      <c r="H22" s="1283"/>
      <c r="I22" s="1283"/>
    </row>
    <row r="23" spans="1:9" s="303" customFormat="1" ht="213" customHeight="1" x14ac:dyDescent="0.2">
      <c r="A23" s="334" t="s">
        <v>102</v>
      </c>
      <c r="B23" s="367">
        <v>135101.89000000001</v>
      </c>
      <c r="C23" s="367">
        <v>1453548</v>
      </c>
      <c r="D23" s="367">
        <v>80780.899999999994</v>
      </c>
      <c r="E23" s="367">
        <f>B23+C23-D23</f>
        <v>1507868.9900000002</v>
      </c>
      <c r="F23" s="1054" t="s">
        <v>645</v>
      </c>
      <c r="G23" s="1055"/>
      <c r="H23" s="1055"/>
      <c r="I23" s="1056"/>
    </row>
    <row r="24" spans="1:9" s="303" customFormat="1" ht="78" customHeight="1" x14ac:dyDescent="0.2">
      <c r="A24" s="318" t="s">
        <v>103</v>
      </c>
      <c r="B24" s="368">
        <v>191523.73</v>
      </c>
      <c r="C24" s="368">
        <v>1039752.1</v>
      </c>
      <c r="D24" s="368">
        <v>1113806</v>
      </c>
      <c r="E24" s="368">
        <f>B24+C24-D24</f>
        <v>117469.83000000007</v>
      </c>
      <c r="F24" s="1057" t="s">
        <v>646</v>
      </c>
      <c r="G24" s="1296"/>
      <c r="H24" s="1296"/>
      <c r="I24" s="1297"/>
    </row>
    <row r="25" spans="1:9" s="303" customFormat="1" ht="19.5" customHeight="1" x14ac:dyDescent="0.2">
      <c r="A25" s="318" t="s">
        <v>101</v>
      </c>
      <c r="B25" s="368">
        <v>40066.120000000003</v>
      </c>
      <c r="C25" s="368">
        <v>20000</v>
      </c>
      <c r="D25" s="368">
        <v>12500</v>
      </c>
      <c r="E25" s="368">
        <f>B25+C25-D25</f>
        <v>47566.12</v>
      </c>
      <c r="F25" s="1057" t="s">
        <v>647</v>
      </c>
      <c r="G25" s="1296"/>
      <c r="H25" s="1296"/>
      <c r="I25" s="1297"/>
    </row>
    <row r="26" spans="1:9" s="303" customFormat="1" ht="114.75" customHeight="1" x14ac:dyDescent="0.2">
      <c r="A26" s="322" t="s">
        <v>104</v>
      </c>
      <c r="B26" s="336">
        <v>332207.09999999998</v>
      </c>
      <c r="C26" s="336">
        <v>525480</v>
      </c>
      <c r="D26" s="336">
        <v>256847.29</v>
      </c>
      <c r="E26" s="368">
        <f>B26+C26-D26</f>
        <v>600839.80999999994</v>
      </c>
      <c r="F26" s="1060" t="s">
        <v>648</v>
      </c>
      <c r="G26" s="1061"/>
      <c r="H26" s="1061"/>
      <c r="I26" s="1062"/>
    </row>
    <row r="27" spans="1:9" s="302" customFormat="1" ht="10.5" x14ac:dyDescent="0.15">
      <c r="A27" s="335" t="s">
        <v>34</v>
      </c>
      <c r="B27" s="305">
        <f>SUM(B23:B26)</f>
        <v>698898.84</v>
      </c>
      <c r="C27" s="305">
        <f>SUM(C23:C26)</f>
        <v>3038780.1</v>
      </c>
      <c r="D27" s="305">
        <f>SUM(D23:D26)</f>
        <v>1463934.19</v>
      </c>
      <c r="E27" s="305">
        <f>SUM(E23:E26)</f>
        <v>2273744.7500000005</v>
      </c>
      <c r="F27" s="1298"/>
      <c r="G27" s="1298"/>
      <c r="H27" s="1298"/>
      <c r="I27" s="1299"/>
    </row>
    <row r="28" spans="1:9" s="303" customFormat="1" ht="11.25" x14ac:dyDescent="0.2">
      <c r="C28" s="308"/>
    </row>
    <row r="29" spans="1:9" s="303" customFormat="1" ht="11.25" x14ac:dyDescent="0.2">
      <c r="A29" s="1280" t="s">
        <v>370</v>
      </c>
      <c r="B29" s="1280"/>
      <c r="C29" s="1280"/>
      <c r="D29" s="1280"/>
      <c r="E29" s="1280"/>
      <c r="F29" s="1280"/>
      <c r="G29" s="1280"/>
      <c r="H29" s="1280"/>
      <c r="I29" s="1280"/>
    </row>
    <row r="30" spans="1:9" s="303" customFormat="1" ht="11.25" x14ac:dyDescent="0.2">
      <c r="C30" s="308"/>
    </row>
    <row r="31" spans="1:9" s="303" customFormat="1" ht="11.25" x14ac:dyDescent="0.2">
      <c r="A31" s="427" t="s">
        <v>105</v>
      </c>
      <c r="B31" s="427" t="s">
        <v>25</v>
      </c>
      <c r="C31" s="429" t="s">
        <v>106</v>
      </c>
      <c r="D31" s="1283" t="s">
        <v>107</v>
      </c>
      <c r="E31" s="1283"/>
      <c r="F31" s="1283"/>
      <c r="G31" s="1283"/>
      <c r="H31" s="1283"/>
      <c r="I31" s="1283"/>
    </row>
    <row r="32" spans="1:9" s="303" customFormat="1" ht="15" customHeight="1" x14ac:dyDescent="0.2">
      <c r="A32" s="218"/>
      <c r="B32" s="367"/>
      <c r="C32" s="369"/>
      <c r="D32" s="1065"/>
      <c r="E32" s="1066"/>
      <c r="F32" s="1066"/>
      <c r="G32" s="1066"/>
      <c r="H32" s="1066"/>
      <c r="I32" s="1067"/>
    </row>
    <row r="33" spans="1:9" s="302" customFormat="1" ht="11.25" x14ac:dyDescent="0.2">
      <c r="A33" s="335" t="s">
        <v>34</v>
      </c>
      <c r="B33" s="305">
        <f>SUM(B32:B32)</f>
        <v>0</v>
      </c>
      <c r="C33" s="1300" t="s">
        <v>166</v>
      </c>
      <c r="D33" s="1300"/>
      <c r="E33" s="1300"/>
      <c r="F33" s="1300"/>
      <c r="G33" s="1300"/>
      <c r="H33" s="1300"/>
      <c r="I33" s="1301"/>
    </row>
    <row r="34" spans="1:9" s="303" customFormat="1" ht="11.25" x14ac:dyDescent="0.2">
      <c r="C34" s="308"/>
    </row>
    <row r="35" spans="1:9" s="303" customFormat="1" ht="11.25" x14ac:dyDescent="0.2">
      <c r="A35" s="1280" t="s">
        <v>372</v>
      </c>
      <c r="B35" s="1280"/>
      <c r="C35" s="1280"/>
      <c r="D35" s="1280"/>
      <c r="E35" s="1280"/>
      <c r="F35" s="1280"/>
      <c r="G35" s="1280"/>
      <c r="H35" s="1280"/>
      <c r="I35" s="1280"/>
    </row>
    <row r="36" spans="1:9" s="303" customFormat="1" ht="11.25" x14ac:dyDescent="0.2">
      <c r="C36" s="308"/>
    </row>
    <row r="37" spans="1:9" s="303" customFormat="1" ht="11.25" x14ac:dyDescent="0.2">
      <c r="A37" s="427" t="s">
        <v>105</v>
      </c>
      <c r="B37" s="427" t="s">
        <v>25</v>
      </c>
      <c r="C37" s="429" t="s">
        <v>106</v>
      </c>
      <c r="D37" s="1302" t="s">
        <v>107</v>
      </c>
      <c r="E37" s="1302"/>
      <c r="F37" s="1302"/>
      <c r="G37" s="1302"/>
      <c r="H37" s="1302"/>
      <c r="I37" s="1303"/>
    </row>
    <row r="38" spans="1:9" s="303" customFormat="1" ht="15" customHeight="1" x14ac:dyDescent="0.2">
      <c r="A38" s="218"/>
      <c r="B38" s="367"/>
      <c r="C38" s="369"/>
      <c r="D38" s="1057"/>
      <c r="E38" s="1073"/>
      <c r="F38" s="1073"/>
      <c r="G38" s="1073"/>
      <c r="H38" s="1073"/>
      <c r="I38" s="1074"/>
    </row>
    <row r="39" spans="1:9" s="302" customFormat="1" ht="10.5" x14ac:dyDescent="0.15">
      <c r="A39" s="335" t="s">
        <v>34</v>
      </c>
      <c r="B39" s="305">
        <f>SUM(B38:B38)</f>
        <v>0</v>
      </c>
      <c r="C39" s="1304" t="s">
        <v>167</v>
      </c>
      <c r="D39" s="1304"/>
      <c r="E39" s="1304"/>
      <c r="F39" s="1304"/>
      <c r="G39" s="1304"/>
      <c r="H39" s="1304"/>
      <c r="I39" s="1304"/>
    </row>
    <row r="40" spans="1:9" s="303" customFormat="1" ht="11.25" x14ac:dyDescent="0.2">
      <c r="C40" s="308"/>
    </row>
    <row r="41" spans="1:9" s="303" customFormat="1" ht="11.25" x14ac:dyDescent="0.2">
      <c r="A41" s="1280" t="s">
        <v>374</v>
      </c>
      <c r="B41" s="1280"/>
      <c r="C41" s="1280"/>
      <c r="D41" s="1280"/>
      <c r="E41" s="1280"/>
      <c r="F41" s="1280"/>
      <c r="G41" s="1280"/>
      <c r="H41" s="1280"/>
      <c r="I41" s="1280"/>
    </row>
    <row r="42" spans="1:9" s="303" customFormat="1" ht="11.25" x14ac:dyDescent="0.2">
      <c r="C42" s="308"/>
    </row>
    <row r="43" spans="1:9" s="303" customFormat="1" ht="11.25" x14ac:dyDescent="0.2">
      <c r="A43" s="427" t="s">
        <v>25</v>
      </c>
      <c r="B43" s="429" t="s">
        <v>375</v>
      </c>
      <c r="C43" s="1305" t="s">
        <v>108</v>
      </c>
      <c r="D43" s="1305"/>
      <c r="E43" s="1305"/>
      <c r="F43" s="1305"/>
      <c r="G43" s="1305"/>
      <c r="H43" s="1305"/>
      <c r="I43" s="1306"/>
    </row>
    <row r="44" spans="1:9" s="303" customFormat="1" ht="11.25" x14ac:dyDescent="0.2">
      <c r="A44" s="708">
        <v>6446</v>
      </c>
      <c r="B44" s="337">
        <v>6446</v>
      </c>
      <c r="C44" s="1307" t="s">
        <v>168</v>
      </c>
      <c r="D44" s="1308"/>
      <c r="E44" s="1308"/>
      <c r="F44" s="1308"/>
      <c r="G44" s="1308"/>
      <c r="H44" s="1308"/>
      <c r="I44" s="1309"/>
    </row>
    <row r="45" spans="1:9" s="303" customFormat="1" ht="11.25" x14ac:dyDescent="0.2">
      <c r="A45" s="709">
        <v>4000</v>
      </c>
      <c r="B45" s="370">
        <v>4000</v>
      </c>
      <c r="C45" s="1237" t="s">
        <v>649</v>
      </c>
      <c r="D45" s="1238"/>
      <c r="E45" s="1238"/>
      <c r="F45" s="1238"/>
      <c r="G45" s="1238"/>
      <c r="H45" s="1238"/>
      <c r="I45" s="1239"/>
    </row>
    <row r="46" spans="1:9" s="303" customFormat="1" ht="11.25" x14ac:dyDescent="0.2">
      <c r="A46" s="371">
        <v>48000</v>
      </c>
      <c r="B46" s="372">
        <v>48000</v>
      </c>
      <c r="C46" s="1127" t="s">
        <v>650</v>
      </c>
      <c r="D46" s="1127"/>
      <c r="E46" s="1127"/>
      <c r="F46" s="1127"/>
      <c r="G46" s="1127"/>
      <c r="H46" s="1127"/>
      <c r="I46" s="1128"/>
    </row>
    <row r="47" spans="1:9" s="302" customFormat="1" ht="10.5" x14ac:dyDescent="0.15">
      <c r="A47" s="305">
        <f>A44+A45+A46</f>
        <v>58446</v>
      </c>
      <c r="B47" s="305">
        <f>B44+B45+B46</f>
        <v>58446</v>
      </c>
      <c r="C47" s="1310" t="s">
        <v>34</v>
      </c>
      <c r="D47" s="1310"/>
      <c r="E47" s="1310"/>
      <c r="F47" s="1310"/>
      <c r="G47" s="1310"/>
      <c r="H47" s="1310"/>
      <c r="I47" s="1311"/>
    </row>
    <row r="48" spans="1:9" s="303" customFormat="1" ht="11.25" x14ac:dyDescent="0.2">
      <c r="C48" s="308"/>
    </row>
    <row r="49" spans="1:9" s="303" customFormat="1" ht="11.25" x14ac:dyDescent="0.2">
      <c r="A49" s="1280" t="s">
        <v>377</v>
      </c>
      <c r="B49" s="1280"/>
      <c r="C49" s="1280"/>
      <c r="D49" s="1280"/>
      <c r="E49" s="1280"/>
      <c r="F49" s="1280"/>
      <c r="G49" s="1280"/>
      <c r="H49" s="1280"/>
      <c r="I49" s="1280"/>
    </row>
    <row r="50" spans="1:9" s="303" customFormat="1" ht="11.25" x14ac:dyDescent="0.2">
      <c r="C50" s="308"/>
    </row>
    <row r="51" spans="1:9" s="339" customFormat="1" ht="31.5" x14ac:dyDescent="0.15">
      <c r="A51" s="1312" t="s">
        <v>169</v>
      </c>
      <c r="B51" s="1313"/>
      <c r="C51" s="338" t="s">
        <v>115</v>
      </c>
      <c r="D51" s="338" t="s">
        <v>116</v>
      </c>
      <c r="E51" s="338" t="s">
        <v>117</v>
      </c>
      <c r="F51" s="338" t="s">
        <v>118</v>
      </c>
      <c r="G51" s="338" t="s">
        <v>119</v>
      </c>
    </row>
    <row r="52" spans="1:9" s="339" customFormat="1" ht="12" x14ac:dyDescent="0.15">
      <c r="A52" s="1314" t="s">
        <v>651</v>
      </c>
      <c r="B52" s="1315"/>
      <c r="C52" s="340" t="s">
        <v>176</v>
      </c>
      <c r="D52" s="341">
        <v>5192</v>
      </c>
      <c r="E52" s="342"/>
      <c r="F52" s="1318">
        <v>42586</v>
      </c>
      <c r="G52" s="1320">
        <v>42737</v>
      </c>
    </row>
    <row r="53" spans="1:9" s="339" customFormat="1" ht="12" x14ac:dyDescent="0.15">
      <c r="A53" s="1316"/>
      <c r="B53" s="1317"/>
      <c r="C53" s="343" t="s">
        <v>652</v>
      </c>
      <c r="D53" s="344"/>
      <c r="E53" s="344">
        <v>5192</v>
      </c>
      <c r="F53" s="1319"/>
      <c r="G53" s="1321"/>
    </row>
    <row r="54" spans="1:9" s="339" customFormat="1" ht="12" x14ac:dyDescent="0.15">
      <c r="A54" s="1314" t="s">
        <v>653</v>
      </c>
      <c r="B54" s="1315"/>
      <c r="C54" s="340" t="s">
        <v>171</v>
      </c>
      <c r="D54" s="341">
        <f>10000+6500</f>
        <v>16500</v>
      </c>
      <c r="E54" s="342"/>
      <c r="F54" s="1318">
        <v>42759</v>
      </c>
      <c r="G54" s="1320">
        <v>42767</v>
      </c>
    </row>
    <row r="55" spans="1:9" s="339" customFormat="1" ht="12" x14ac:dyDescent="0.15">
      <c r="A55" s="1316"/>
      <c r="B55" s="1317"/>
      <c r="C55" s="343" t="s">
        <v>172</v>
      </c>
      <c r="D55" s="344"/>
      <c r="E55" s="344">
        <f>D54</f>
        <v>16500</v>
      </c>
      <c r="F55" s="1319">
        <v>42066</v>
      </c>
      <c r="G55" s="1321">
        <v>42101</v>
      </c>
    </row>
    <row r="56" spans="1:9" s="339" customFormat="1" ht="12" x14ac:dyDescent="0.15">
      <c r="A56" s="1314" t="s">
        <v>654</v>
      </c>
      <c r="B56" s="1315"/>
      <c r="C56" s="340" t="s">
        <v>171</v>
      </c>
      <c r="D56" s="341">
        <f>E57+E58</f>
        <v>10163</v>
      </c>
      <c r="E56" s="341"/>
      <c r="F56" s="1318">
        <v>42850</v>
      </c>
      <c r="G56" s="1320">
        <v>42857</v>
      </c>
    </row>
    <row r="57" spans="1:9" s="339" customFormat="1" ht="12" x14ac:dyDescent="0.15">
      <c r="A57" s="1322"/>
      <c r="B57" s="1323"/>
      <c r="C57" s="340" t="s">
        <v>172</v>
      </c>
      <c r="D57" s="341"/>
      <c r="E57" s="341">
        <v>5388</v>
      </c>
      <c r="F57" s="1324"/>
      <c r="G57" s="1325"/>
    </row>
    <row r="58" spans="1:9" s="339" customFormat="1" ht="12" x14ac:dyDescent="0.15">
      <c r="A58" s="1316"/>
      <c r="B58" s="1317"/>
      <c r="C58" s="345" t="s">
        <v>175</v>
      </c>
      <c r="D58" s="346"/>
      <c r="E58" s="346">
        <f>1787+2988</f>
        <v>4775</v>
      </c>
      <c r="F58" s="1319"/>
      <c r="G58" s="1321"/>
    </row>
    <row r="59" spans="1:9" s="339" customFormat="1" ht="12" x14ac:dyDescent="0.15">
      <c r="A59" s="1314" t="s">
        <v>655</v>
      </c>
      <c r="B59" s="1315"/>
      <c r="C59" s="340" t="s">
        <v>656</v>
      </c>
      <c r="D59" s="341">
        <f>E60</f>
        <v>77000</v>
      </c>
      <c r="E59" s="342"/>
      <c r="F59" s="1318">
        <v>42878</v>
      </c>
      <c r="G59" s="1320">
        <v>42913</v>
      </c>
    </row>
    <row r="60" spans="1:9" s="339" customFormat="1" ht="12" x14ac:dyDescent="0.15">
      <c r="A60" s="1316"/>
      <c r="B60" s="1317"/>
      <c r="C60" s="343" t="s">
        <v>657</v>
      </c>
      <c r="D60" s="344"/>
      <c r="E60" s="344">
        <v>77000</v>
      </c>
      <c r="F60" s="1319"/>
      <c r="G60" s="1321"/>
    </row>
    <row r="61" spans="1:9" s="339" customFormat="1" ht="12" x14ac:dyDescent="0.15">
      <c r="A61" s="1326" t="s">
        <v>658</v>
      </c>
      <c r="B61" s="1327"/>
      <c r="C61" s="340" t="s">
        <v>659</v>
      </c>
      <c r="D61" s="341"/>
      <c r="E61" s="341">
        <v>-23963</v>
      </c>
      <c r="F61" s="1318">
        <v>42907</v>
      </c>
      <c r="G61" s="1320">
        <v>75778</v>
      </c>
    </row>
    <row r="62" spans="1:9" s="303" customFormat="1" ht="12" x14ac:dyDescent="0.2">
      <c r="A62" s="1328"/>
      <c r="B62" s="1329"/>
      <c r="C62" s="343" t="s">
        <v>660</v>
      </c>
      <c r="D62" s="344"/>
      <c r="E62" s="344">
        <f>-E61</f>
        <v>23963</v>
      </c>
      <c r="F62" s="1319"/>
      <c r="G62" s="1321"/>
    </row>
    <row r="63" spans="1:9" s="303" customFormat="1" ht="12" x14ac:dyDescent="0.2">
      <c r="A63" s="1314" t="s">
        <v>661</v>
      </c>
      <c r="B63" s="1315"/>
      <c r="C63" s="340" t="s">
        <v>656</v>
      </c>
      <c r="D63" s="341">
        <f>E64+E65</f>
        <v>320000</v>
      </c>
      <c r="E63" s="341"/>
      <c r="F63" s="1318">
        <v>42892</v>
      </c>
      <c r="G63" s="1320">
        <v>42913</v>
      </c>
    </row>
    <row r="64" spans="1:9" s="303" customFormat="1" ht="12" x14ac:dyDescent="0.2">
      <c r="A64" s="1322"/>
      <c r="B64" s="1323"/>
      <c r="C64" s="340" t="s">
        <v>174</v>
      </c>
      <c r="D64" s="341"/>
      <c r="E64" s="341">
        <v>200000</v>
      </c>
      <c r="F64" s="1324"/>
      <c r="G64" s="1325"/>
    </row>
    <row r="65" spans="1:7" s="303" customFormat="1" ht="12" x14ac:dyDescent="0.2">
      <c r="A65" s="1316"/>
      <c r="B65" s="1317"/>
      <c r="C65" s="345" t="s">
        <v>174</v>
      </c>
      <c r="D65" s="346"/>
      <c r="E65" s="346">
        <v>120000</v>
      </c>
      <c r="F65" s="1319"/>
      <c r="G65" s="1321"/>
    </row>
    <row r="66" spans="1:7" s="303" customFormat="1" ht="12" x14ac:dyDescent="0.2">
      <c r="A66" s="1314" t="s">
        <v>662</v>
      </c>
      <c r="B66" s="1327"/>
      <c r="C66" s="347" t="s">
        <v>170</v>
      </c>
      <c r="D66" s="348"/>
      <c r="E66" s="341">
        <v>1388</v>
      </c>
      <c r="F66" s="1318">
        <v>42878</v>
      </c>
      <c r="G66" s="1320">
        <v>42917</v>
      </c>
    </row>
    <row r="67" spans="1:7" s="303" customFormat="1" ht="12" x14ac:dyDescent="0.2">
      <c r="A67" s="1328"/>
      <c r="B67" s="1329"/>
      <c r="C67" s="345" t="s">
        <v>663</v>
      </c>
      <c r="D67" s="346"/>
      <c r="E67" s="344">
        <v>-1388</v>
      </c>
      <c r="F67" s="1319"/>
      <c r="G67" s="1321"/>
    </row>
    <row r="68" spans="1:7" s="303" customFormat="1" ht="12" x14ac:dyDescent="0.2">
      <c r="A68" s="1314" t="s">
        <v>664</v>
      </c>
      <c r="B68" s="1315"/>
      <c r="C68" s="340" t="s">
        <v>656</v>
      </c>
      <c r="D68" s="341">
        <f>E69+E70+E71</f>
        <v>540000</v>
      </c>
      <c r="E68" s="341"/>
      <c r="F68" s="1318">
        <v>42913</v>
      </c>
      <c r="G68" s="1320">
        <v>42926</v>
      </c>
    </row>
    <row r="69" spans="1:7" s="303" customFormat="1" ht="12" x14ac:dyDescent="0.2">
      <c r="A69" s="1322"/>
      <c r="B69" s="1323"/>
      <c r="C69" s="340" t="s">
        <v>174</v>
      </c>
      <c r="D69" s="341"/>
      <c r="E69" s="341">
        <v>480000</v>
      </c>
      <c r="F69" s="1324"/>
      <c r="G69" s="1325"/>
    </row>
    <row r="70" spans="1:7" s="303" customFormat="1" ht="12" x14ac:dyDescent="0.2">
      <c r="A70" s="1322"/>
      <c r="B70" s="1323"/>
      <c r="C70" s="340" t="s">
        <v>172</v>
      </c>
      <c r="D70" s="341"/>
      <c r="E70" s="341">
        <v>58151</v>
      </c>
      <c r="F70" s="1324"/>
      <c r="G70" s="1325"/>
    </row>
    <row r="71" spans="1:7" s="303" customFormat="1" ht="12" x14ac:dyDescent="0.2">
      <c r="A71" s="1322"/>
      <c r="B71" s="1323"/>
      <c r="C71" s="343" t="s">
        <v>175</v>
      </c>
      <c r="D71" s="344"/>
      <c r="E71" s="344">
        <v>1849</v>
      </c>
      <c r="F71" s="1324"/>
      <c r="G71" s="1325"/>
    </row>
    <row r="72" spans="1:7" s="303" customFormat="1" ht="12" x14ac:dyDescent="0.2">
      <c r="A72" s="1314" t="s">
        <v>665</v>
      </c>
      <c r="B72" s="1327"/>
      <c r="C72" s="347" t="s">
        <v>176</v>
      </c>
      <c r="D72" s="348">
        <v>1254</v>
      </c>
      <c r="E72" s="341"/>
      <c r="F72" s="1318">
        <v>42997</v>
      </c>
      <c r="G72" s="1320">
        <v>43005</v>
      </c>
    </row>
    <row r="73" spans="1:7" s="303" customFormat="1" ht="12" x14ac:dyDescent="0.2">
      <c r="A73" s="1328"/>
      <c r="B73" s="1329"/>
      <c r="C73" s="345" t="s">
        <v>652</v>
      </c>
      <c r="D73" s="346"/>
      <c r="E73" s="344">
        <f>D72</f>
        <v>1254</v>
      </c>
      <c r="F73" s="1319"/>
      <c r="G73" s="1321"/>
    </row>
    <row r="74" spans="1:7" s="303" customFormat="1" ht="12" x14ac:dyDescent="0.2">
      <c r="A74" s="1314" t="s">
        <v>666</v>
      </c>
      <c r="B74" s="1327"/>
      <c r="C74" s="347" t="s">
        <v>176</v>
      </c>
      <c r="D74" s="348">
        <f>E75</f>
        <v>4000</v>
      </c>
      <c r="E74" s="341"/>
      <c r="F74" s="1318">
        <v>43011</v>
      </c>
      <c r="G74" s="1320">
        <v>43100</v>
      </c>
    </row>
    <row r="75" spans="1:7" s="303" customFormat="1" ht="12" x14ac:dyDescent="0.2">
      <c r="A75" s="1328"/>
      <c r="B75" s="1329"/>
      <c r="C75" s="345" t="s">
        <v>177</v>
      </c>
      <c r="D75" s="346"/>
      <c r="E75" s="344">
        <v>4000</v>
      </c>
      <c r="F75" s="1319"/>
      <c r="G75" s="1321"/>
    </row>
    <row r="76" spans="1:7" s="303" customFormat="1" ht="12" x14ac:dyDescent="0.2">
      <c r="A76" s="1314" t="s">
        <v>667</v>
      </c>
      <c r="B76" s="1327"/>
      <c r="C76" s="340" t="s">
        <v>171</v>
      </c>
      <c r="D76" s="348">
        <f>E77</f>
        <v>10075</v>
      </c>
      <c r="E76" s="341"/>
      <c r="F76" s="1318">
        <v>43053</v>
      </c>
      <c r="G76" s="1320">
        <v>43069</v>
      </c>
    </row>
    <row r="77" spans="1:7" s="303" customFormat="1" ht="12" x14ac:dyDescent="0.2">
      <c r="A77" s="1328"/>
      <c r="B77" s="1329"/>
      <c r="C77" s="343" t="s">
        <v>172</v>
      </c>
      <c r="D77" s="346"/>
      <c r="E77" s="344">
        <v>10075</v>
      </c>
      <c r="F77" s="1319"/>
      <c r="G77" s="1321"/>
    </row>
    <row r="78" spans="1:7" s="303" customFormat="1" ht="12" x14ac:dyDescent="0.2">
      <c r="A78" s="1314" t="s">
        <v>668</v>
      </c>
      <c r="B78" s="1327"/>
      <c r="C78" s="340" t="s">
        <v>170</v>
      </c>
      <c r="D78" s="341"/>
      <c r="E78" s="341">
        <v>370</v>
      </c>
      <c r="F78" s="1318">
        <v>43074</v>
      </c>
      <c r="G78" s="1320">
        <v>43100</v>
      </c>
    </row>
    <row r="79" spans="1:7" s="303" customFormat="1" ht="12" x14ac:dyDescent="0.2">
      <c r="A79" s="1328"/>
      <c r="B79" s="1329"/>
      <c r="C79" s="345" t="s">
        <v>669</v>
      </c>
      <c r="D79" s="346"/>
      <c r="E79" s="346">
        <f>-E78</f>
        <v>-370</v>
      </c>
      <c r="F79" s="1330"/>
      <c r="G79" s="1331"/>
    </row>
    <row r="80" spans="1:7" s="303" customFormat="1" ht="12" x14ac:dyDescent="0.2">
      <c r="A80" s="1326" t="s">
        <v>670</v>
      </c>
      <c r="B80" s="1327"/>
      <c r="C80" s="347" t="s">
        <v>173</v>
      </c>
      <c r="D80" s="348"/>
      <c r="E80" s="348">
        <f>D81-E82</f>
        <v>110388</v>
      </c>
      <c r="F80" s="1318">
        <v>43100</v>
      </c>
      <c r="G80" s="1320">
        <v>43100</v>
      </c>
    </row>
    <row r="81" spans="1:7" s="303" customFormat="1" ht="12" x14ac:dyDescent="0.2">
      <c r="A81" s="1332"/>
      <c r="B81" s="1333"/>
      <c r="C81" s="340" t="s">
        <v>183</v>
      </c>
      <c r="D81" s="341">
        <v>20388</v>
      </c>
      <c r="E81" s="341"/>
      <c r="F81" s="1334"/>
      <c r="G81" s="1335"/>
    </row>
    <row r="82" spans="1:7" s="303" customFormat="1" ht="12" x14ac:dyDescent="0.2">
      <c r="A82" s="1328"/>
      <c r="B82" s="1329"/>
      <c r="C82" s="345" t="s">
        <v>172</v>
      </c>
      <c r="D82" s="346"/>
      <c r="E82" s="346">
        <v>-90000</v>
      </c>
      <c r="F82" s="1319"/>
      <c r="G82" s="1321"/>
    </row>
    <row r="83" spans="1:7" s="303" customFormat="1" ht="12" x14ac:dyDescent="0.2">
      <c r="A83" s="1326" t="s">
        <v>671</v>
      </c>
      <c r="B83" s="1336"/>
      <c r="C83" s="340" t="s">
        <v>176</v>
      </c>
      <c r="D83" s="341">
        <f>E84+E85+E86</f>
        <v>24082.03</v>
      </c>
      <c r="E83" s="341"/>
      <c r="F83" s="1318">
        <v>43100</v>
      </c>
      <c r="G83" s="1320">
        <v>43100</v>
      </c>
    </row>
    <row r="84" spans="1:7" s="303" customFormat="1" ht="12" x14ac:dyDescent="0.2">
      <c r="A84" s="1337"/>
      <c r="B84" s="1338"/>
      <c r="C84" s="340" t="s">
        <v>178</v>
      </c>
      <c r="D84" s="341"/>
      <c r="E84" s="341">
        <v>12500</v>
      </c>
      <c r="F84" s="1334"/>
      <c r="G84" s="1335"/>
    </row>
    <row r="85" spans="1:7" s="303" customFormat="1" ht="12" x14ac:dyDescent="0.2">
      <c r="A85" s="1337"/>
      <c r="B85" s="1338"/>
      <c r="C85" s="340" t="s">
        <v>175</v>
      </c>
      <c r="D85" s="341"/>
      <c r="E85" s="341">
        <v>7029.53</v>
      </c>
      <c r="F85" s="1334"/>
      <c r="G85" s="1335"/>
    </row>
    <row r="86" spans="1:7" s="303" customFormat="1" ht="12" x14ac:dyDescent="0.2">
      <c r="A86" s="1337"/>
      <c r="B86" s="1338"/>
      <c r="C86" s="343" t="s">
        <v>672</v>
      </c>
      <c r="D86" s="344"/>
      <c r="E86" s="344">
        <v>4552.5</v>
      </c>
      <c r="F86" s="1334"/>
      <c r="G86" s="1335"/>
    </row>
    <row r="87" spans="1:7" s="303" customFormat="1" ht="12" x14ac:dyDescent="0.2">
      <c r="A87" s="1326" t="s">
        <v>673</v>
      </c>
      <c r="B87" s="1336"/>
      <c r="C87" s="347" t="s">
        <v>674</v>
      </c>
      <c r="D87" s="348">
        <f>73630-20388</f>
        <v>53242</v>
      </c>
      <c r="E87" s="348"/>
      <c r="F87" s="1318">
        <v>43100</v>
      </c>
      <c r="G87" s="1320">
        <v>43100</v>
      </c>
    </row>
    <row r="88" spans="1:7" s="303" customFormat="1" ht="12" x14ac:dyDescent="0.2">
      <c r="A88" s="1337"/>
      <c r="B88" s="1338"/>
      <c r="C88" s="340" t="s">
        <v>675</v>
      </c>
      <c r="D88" s="341">
        <f>6122.8+20388</f>
        <v>26510.799999999999</v>
      </c>
      <c r="E88" s="341"/>
      <c r="F88" s="1334"/>
      <c r="G88" s="1335"/>
    </row>
    <row r="89" spans="1:7" s="303" customFormat="1" ht="12" x14ac:dyDescent="0.2">
      <c r="A89" s="1339"/>
      <c r="B89" s="1340"/>
      <c r="C89" s="345" t="s">
        <v>181</v>
      </c>
      <c r="D89" s="346"/>
      <c r="E89" s="346">
        <f>D88+D87</f>
        <v>79752.800000000003</v>
      </c>
      <c r="F89" s="1334"/>
      <c r="G89" s="1335"/>
    </row>
    <row r="90" spans="1:7" s="303" customFormat="1" ht="12" x14ac:dyDescent="0.2">
      <c r="A90" s="1337" t="s">
        <v>676</v>
      </c>
      <c r="B90" s="1333"/>
      <c r="C90" s="340" t="s">
        <v>184</v>
      </c>
      <c r="D90" s="341">
        <v>750</v>
      </c>
      <c r="E90" s="341"/>
      <c r="F90" s="1318">
        <v>43100</v>
      </c>
      <c r="G90" s="1320">
        <v>43100</v>
      </c>
    </row>
    <row r="91" spans="1:7" s="303" customFormat="1" ht="12" x14ac:dyDescent="0.2">
      <c r="A91" s="1337"/>
      <c r="B91" s="1333"/>
      <c r="C91" s="340" t="s">
        <v>675</v>
      </c>
      <c r="D91" s="341">
        <f>32334-26510.8</f>
        <v>5823.2000000000007</v>
      </c>
      <c r="E91" s="341"/>
      <c r="F91" s="1334"/>
      <c r="G91" s="1335"/>
    </row>
    <row r="92" spans="1:7" s="303" customFormat="1" ht="12" x14ac:dyDescent="0.2">
      <c r="A92" s="1337"/>
      <c r="B92" s="1333"/>
      <c r="C92" s="340" t="s">
        <v>185</v>
      </c>
      <c r="D92" s="341">
        <v>12000</v>
      </c>
      <c r="E92" s="341"/>
      <c r="F92" s="1334"/>
      <c r="G92" s="1335"/>
    </row>
    <row r="93" spans="1:7" s="303" customFormat="1" ht="12" x14ac:dyDescent="0.2">
      <c r="A93" s="1337"/>
      <c r="B93" s="1333"/>
      <c r="C93" s="340" t="s">
        <v>677</v>
      </c>
      <c r="D93" s="341">
        <v>3627.6</v>
      </c>
      <c r="E93" s="341"/>
      <c r="F93" s="1334"/>
      <c r="G93" s="1335"/>
    </row>
    <row r="94" spans="1:7" s="303" customFormat="1" ht="12" x14ac:dyDescent="0.2">
      <c r="A94" s="1337"/>
      <c r="B94" s="1333"/>
      <c r="C94" s="340" t="s">
        <v>678</v>
      </c>
      <c r="D94" s="341">
        <v>1509</v>
      </c>
      <c r="E94" s="341"/>
      <c r="F94" s="1334"/>
      <c r="G94" s="1335"/>
    </row>
    <row r="95" spans="1:7" s="303" customFormat="1" ht="12" x14ac:dyDescent="0.2">
      <c r="A95" s="1337"/>
      <c r="B95" s="1333"/>
      <c r="C95" s="340" t="s">
        <v>186</v>
      </c>
      <c r="D95" s="341">
        <v>-746.27</v>
      </c>
      <c r="E95" s="341"/>
      <c r="F95" s="1334"/>
      <c r="G95" s="1335"/>
    </row>
    <row r="96" spans="1:7" s="303" customFormat="1" ht="12" x14ac:dyDescent="0.2">
      <c r="A96" s="1337"/>
      <c r="B96" s="1333"/>
      <c r="C96" s="340" t="s">
        <v>172</v>
      </c>
      <c r="D96" s="341"/>
      <c r="E96" s="341">
        <v>4859</v>
      </c>
      <c r="F96" s="1324"/>
      <c r="G96" s="1325"/>
    </row>
    <row r="97" spans="1:9" s="303" customFormat="1" ht="12" x14ac:dyDescent="0.2">
      <c r="A97" s="1337"/>
      <c r="B97" s="1341"/>
      <c r="C97" s="340" t="s">
        <v>679</v>
      </c>
      <c r="D97" s="341"/>
      <c r="E97" s="341">
        <v>14109.19</v>
      </c>
      <c r="F97" s="1324"/>
      <c r="G97" s="1325"/>
    </row>
    <row r="98" spans="1:9" s="303" customFormat="1" ht="12" x14ac:dyDescent="0.2">
      <c r="A98" s="1337"/>
      <c r="B98" s="1341"/>
      <c r="C98" s="340" t="s">
        <v>179</v>
      </c>
      <c r="D98" s="341"/>
      <c r="E98" s="341">
        <v>22348.1</v>
      </c>
      <c r="F98" s="1324"/>
      <c r="G98" s="1325"/>
    </row>
    <row r="99" spans="1:9" s="303" customFormat="1" ht="12" x14ac:dyDescent="0.2">
      <c r="A99" s="1337"/>
      <c r="B99" s="1341"/>
      <c r="C99" s="340" t="s">
        <v>180</v>
      </c>
      <c r="D99" s="341"/>
      <c r="E99" s="341">
        <v>-816</v>
      </c>
      <c r="F99" s="1324"/>
      <c r="G99" s="1325"/>
    </row>
    <row r="100" spans="1:9" s="303" customFormat="1" ht="12" x14ac:dyDescent="0.2">
      <c r="A100" s="1337"/>
      <c r="B100" s="1341"/>
      <c r="C100" s="340" t="s">
        <v>182</v>
      </c>
      <c r="D100" s="341"/>
      <c r="E100" s="341">
        <v>-1020</v>
      </c>
      <c r="F100" s="1324"/>
      <c r="G100" s="1325"/>
    </row>
    <row r="101" spans="1:9" s="303" customFormat="1" ht="12" x14ac:dyDescent="0.2">
      <c r="A101" s="1276" t="s">
        <v>132</v>
      </c>
      <c r="B101" s="1277"/>
      <c r="C101" s="290"/>
      <c r="D101" s="349">
        <f>SUM(D52:D100)</f>
        <v>1131370.3600000001</v>
      </c>
      <c r="E101" s="349">
        <f>SUM(E52:E100)</f>
        <v>1147887.1200000001</v>
      </c>
      <c r="F101" s="1176"/>
      <c r="G101" s="1177"/>
    </row>
    <row r="102" spans="1:9" s="303" customFormat="1" ht="11.25" customHeight="1" x14ac:dyDescent="0.2">
      <c r="A102" s="433"/>
      <c r="B102" s="433"/>
      <c r="C102" s="710"/>
      <c r="D102" s="711"/>
      <c r="E102" s="711"/>
      <c r="F102" s="712"/>
      <c r="G102" s="712"/>
    </row>
    <row r="103" spans="1:9" s="303" customFormat="1" ht="11.25" customHeight="1" x14ac:dyDescent="0.2">
      <c r="A103" s="433"/>
      <c r="B103" s="433"/>
      <c r="C103" s="710"/>
      <c r="D103" s="711"/>
      <c r="E103" s="711"/>
      <c r="F103" s="712"/>
      <c r="G103" s="712"/>
    </row>
    <row r="104" spans="1:9" s="303" customFormat="1" ht="11.25" x14ac:dyDescent="0.2">
      <c r="A104" s="1278" t="s">
        <v>397</v>
      </c>
      <c r="B104" s="1278"/>
      <c r="C104" s="1278"/>
      <c r="D104" s="1278"/>
      <c r="E104" s="1278"/>
      <c r="F104" s="1278"/>
      <c r="G104" s="1278"/>
      <c r="H104" s="1278"/>
      <c r="I104" s="1278"/>
    </row>
    <row r="105" spans="1:9" s="303" customFormat="1" ht="11.25" x14ac:dyDescent="0.2"/>
    <row r="106" spans="1:9" s="303" customFormat="1" ht="11.25" x14ac:dyDescent="0.2">
      <c r="A106" s="1342" t="s">
        <v>680</v>
      </c>
      <c r="B106" s="1343"/>
      <c r="C106" s="1343"/>
      <c r="D106" s="1343"/>
      <c r="E106" s="1343"/>
      <c r="F106" s="1343"/>
      <c r="G106" s="1343"/>
      <c r="H106" s="1343"/>
      <c r="I106" s="1344"/>
    </row>
    <row r="107" spans="1:9" s="303" customFormat="1" ht="10.5" customHeight="1" x14ac:dyDescent="0.2">
      <c r="A107" s="1342"/>
      <c r="B107" s="1343"/>
      <c r="C107" s="1343"/>
      <c r="D107" s="1343"/>
      <c r="E107" s="1343"/>
      <c r="F107" s="1343"/>
      <c r="G107" s="1343"/>
      <c r="H107" s="1343"/>
      <c r="I107" s="1344"/>
    </row>
    <row r="108" spans="1:9" s="302" customFormat="1" ht="10.5" x14ac:dyDescent="0.15">
      <c r="A108" s="1280" t="s">
        <v>399</v>
      </c>
      <c r="B108" s="1280"/>
      <c r="C108" s="1280"/>
      <c r="D108" s="1280"/>
      <c r="E108" s="1280"/>
      <c r="F108" s="1280"/>
      <c r="G108" s="1280"/>
      <c r="H108" s="1280"/>
      <c r="I108" s="1280"/>
    </row>
    <row r="109" spans="1:9" s="303" customFormat="1" ht="11.25" x14ac:dyDescent="0.2">
      <c r="A109" s="303" t="s">
        <v>112</v>
      </c>
    </row>
    <row r="110" spans="1:9" s="303" customFormat="1" ht="35.25" customHeight="1" x14ac:dyDescent="0.2">
      <c r="A110" s="1213" t="s">
        <v>681</v>
      </c>
      <c r="B110" s="1214"/>
      <c r="C110" s="1214"/>
      <c r="D110" s="1214"/>
      <c r="E110" s="1214"/>
      <c r="F110" s="1214"/>
      <c r="G110" s="1214"/>
      <c r="H110" s="1214"/>
      <c r="I110" s="1215"/>
    </row>
    <row r="111" spans="1:9" s="303" customFormat="1" ht="12.75" customHeight="1" x14ac:dyDescent="0.2">
      <c r="A111" s="1213" t="s">
        <v>187</v>
      </c>
      <c r="B111" s="1214"/>
      <c r="C111" s="1214"/>
      <c r="D111" s="1214"/>
      <c r="E111" s="1214"/>
      <c r="F111" s="1214"/>
      <c r="G111" s="1214"/>
      <c r="H111" s="1214"/>
      <c r="I111" s="1215"/>
    </row>
    <row r="112" spans="1:9" x14ac:dyDescent="0.2">
      <c r="A112" s="1213" t="s">
        <v>682</v>
      </c>
      <c r="B112" s="1214"/>
      <c r="C112" s="1214"/>
      <c r="D112" s="1214"/>
      <c r="E112" s="1214"/>
      <c r="F112" s="1214"/>
      <c r="G112" s="1214"/>
      <c r="H112" s="1214"/>
      <c r="I112" s="1215"/>
    </row>
    <row r="113" spans="1:1" ht="11.25" customHeight="1" x14ac:dyDescent="0.2"/>
    <row r="114" spans="1:1" ht="11.25" customHeight="1" x14ac:dyDescent="0.2">
      <c r="A114" s="373"/>
    </row>
    <row r="115" spans="1:1" x14ac:dyDescent="0.2">
      <c r="A115" s="262" t="s">
        <v>683</v>
      </c>
    </row>
    <row r="116" spans="1:1" ht="11.25" customHeight="1" x14ac:dyDescent="0.2">
      <c r="A116" s="262"/>
    </row>
    <row r="117" spans="1:1" x14ac:dyDescent="0.2">
      <c r="A117" s="262" t="s">
        <v>684</v>
      </c>
    </row>
  </sheetData>
  <mergeCells count="94">
    <mergeCell ref="A90:B100"/>
    <mergeCell ref="F90:F100"/>
    <mergeCell ref="G90:G100"/>
    <mergeCell ref="A107:I107"/>
    <mergeCell ref="A108:I108"/>
    <mergeCell ref="A106:I106"/>
    <mergeCell ref="A83:B86"/>
    <mergeCell ref="F83:F86"/>
    <mergeCell ref="G83:G86"/>
    <mergeCell ref="A87:B89"/>
    <mergeCell ref="F87:F89"/>
    <mergeCell ref="G87:G89"/>
    <mergeCell ref="A78:B79"/>
    <mergeCell ref="F78:F79"/>
    <mergeCell ref="G78:G79"/>
    <mergeCell ref="A80:B82"/>
    <mergeCell ref="F80:F82"/>
    <mergeCell ref="G80:G82"/>
    <mergeCell ref="A74:B75"/>
    <mergeCell ref="F74:F75"/>
    <mergeCell ref="G74:G75"/>
    <mergeCell ref="A76:B77"/>
    <mergeCell ref="F76:F77"/>
    <mergeCell ref="G76:G77"/>
    <mergeCell ref="A68:B71"/>
    <mergeCell ref="F68:F71"/>
    <mergeCell ref="G68:G71"/>
    <mergeCell ref="A72:B73"/>
    <mergeCell ref="F72:F73"/>
    <mergeCell ref="G72:G73"/>
    <mergeCell ref="A63:B65"/>
    <mergeCell ref="F63:F65"/>
    <mergeCell ref="G63:G65"/>
    <mergeCell ref="A66:B67"/>
    <mergeCell ref="F66:F67"/>
    <mergeCell ref="G66:G67"/>
    <mergeCell ref="A59:B60"/>
    <mergeCell ref="F59:F60"/>
    <mergeCell ref="G59:G60"/>
    <mergeCell ref="A61:B62"/>
    <mergeCell ref="F61:F62"/>
    <mergeCell ref="G61:G62"/>
    <mergeCell ref="A54:B55"/>
    <mergeCell ref="F54:F55"/>
    <mergeCell ref="G54:G55"/>
    <mergeCell ref="A56:B58"/>
    <mergeCell ref="F56:F58"/>
    <mergeCell ref="G56:G58"/>
    <mergeCell ref="C47:I47"/>
    <mergeCell ref="A49:I49"/>
    <mergeCell ref="A51:B51"/>
    <mergeCell ref="A52:B53"/>
    <mergeCell ref="F52:F53"/>
    <mergeCell ref="G52:G53"/>
    <mergeCell ref="A41:I41"/>
    <mergeCell ref="C43:I43"/>
    <mergeCell ref="C44:I44"/>
    <mergeCell ref="C45:I45"/>
    <mergeCell ref="C46:I46"/>
    <mergeCell ref="C33:I33"/>
    <mergeCell ref="A35:I35"/>
    <mergeCell ref="D37:I37"/>
    <mergeCell ref="D38:I38"/>
    <mergeCell ref="C39:I39"/>
    <mergeCell ref="D32:I32"/>
    <mergeCell ref="A11:I11"/>
    <mergeCell ref="A15:A17"/>
    <mergeCell ref="A20:I20"/>
    <mergeCell ref="F22:I22"/>
    <mergeCell ref="F23:I23"/>
    <mergeCell ref="F24:I24"/>
    <mergeCell ref="F25:I25"/>
    <mergeCell ref="F26:I26"/>
    <mergeCell ref="F27:I27"/>
    <mergeCell ref="A29:I29"/>
    <mergeCell ref="D31:I31"/>
    <mergeCell ref="A7:B7"/>
    <mergeCell ref="D7:I7"/>
    <mergeCell ref="A8:B8"/>
    <mergeCell ref="D8:I8"/>
    <mergeCell ref="A9:B9"/>
    <mergeCell ref="D9:I9"/>
    <mergeCell ref="A1:I1"/>
    <mergeCell ref="A3:I3"/>
    <mergeCell ref="A5:B5"/>
    <mergeCell ref="D5:I5"/>
    <mergeCell ref="A6:B6"/>
    <mergeCell ref="D6:I6"/>
    <mergeCell ref="A112:I112"/>
    <mergeCell ref="A101:B101"/>
    <mergeCell ref="F101:G101"/>
    <mergeCell ref="A104:I104"/>
    <mergeCell ref="A110:I110"/>
    <mergeCell ref="A111:I111"/>
  </mergeCells>
  <pageMargins left="0.70866141732283472" right="0.70866141732283472" top="0.78740157480314965" bottom="0.78740157480314965" header="0.31496062992125984" footer="0.31496062992125984"/>
  <pageSetup paperSize="9" scale="71" firstPageNumber="102" fitToHeight="9" orientation="portrait" useFirstPageNumber="1" r:id="rId1"/>
  <headerFoot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zoomScale="150" zoomScaleNormal="150" workbookViewId="0">
      <selection activeCell="A107" sqref="A107:XFD107"/>
    </sheetView>
  </sheetViews>
  <sheetFormatPr defaultColWidth="6.5" defaultRowHeight="8.25" x14ac:dyDescent="0.15"/>
  <cols>
    <col min="1" max="1" width="5.5" style="1" customWidth="1"/>
    <col min="2" max="2" width="6.5" customWidth="1"/>
    <col min="3" max="3" width="36.75" customWidth="1"/>
    <col min="4" max="4" width="9.5" customWidth="1"/>
    <col min="5" max="7" width="11" customWidth="1"/>
    <col min="8" max="8" width="8.75" customWidth="1"/>
    <col min="9" max="12" width="11" customWidth="1"/>
    <col min="13" max="13" width="8.75" customWidth="1"/>
    <col min="14" max="16" width="11" customWidth="1"/>
    <col min="17" max="17" width="12.5" customWidth="1"/>
    <col min="18" max="18" width="8.75" customWidth="1"/>
    <col min="19" max="22" width="11" customWidth="1"/>
    <col min="23" max="23" width="8.75" customWidth="1"/>
    <col min="24" max="24" width="11" customWidth="1"/>
  </cols>
  <sheetData>
    <row r="1" spans="1:24" s="2" customFormat="1" ht="15.75" x14ac:dyDescent="0.25">
      <c r="A1" s="1019" t="s">
        <v>347</v>
      </c>
      <c r="B1" s="1019"/>
      <c r="C1" s="1019"/>
      <c r="D1" s="1019"/>
      <c r="E1" s="1019"/>
      <c r="F1" s="1019"/>
      <c r="G1" s="1019"/>
      <c r="H1" s="1019"/>
      <c r="I1" s="1019"/>
      <c r="J1" s="1019"/>
      <c r="K1" s="1019"/>
      <c r="L1" s="1019"/>
      <c r="M1" s="1019"/>
      <c r="N1" s="1019"/>
      <c r="O1" s="1019"/>
      <c r="P1" s="1019"/>
      <c r="Q1" s="1019"/>
      <c r="R1" s="1019"/>
      <c r="S1" s="1019"/>
      <c r="T1" s="1019"/>
      <c r="U1" s="1019"/>
      <c r="V1" s="1019"/>
      <c r="W1" s="1019"/>
      <c r="X1" s="1019"/>
    </row>
    <row r="3" spans="1:24" s="3" customFormat="1" ht="9.75" customHeight="1" x14ac:dyDescent="0.2">
      <c r="A3" s="1012" t="s">
        <v>40</v>
      </c>
      <c r="B3" s="1022" t="s">
        <v>41</v>
      </c>
      <c r="C3" s="1023"/>
      <c r="D3" s="1028" t="s">
        <v>42</v>
      </c>
      <c r="E3" s="1031" t="s">
        <v>34</v>
      </c>
      <c r="F3" s="1032"/>
      <c r="G3" s="1032"/>
      <c r="H3" s="1032"/>
      <c r="I3" s="1033"/>
      <c r="J3" s="1031" t="s">
        <v>39</v>
      </c>
      <c r="K3" s="1032"/>
      <c r="L3" s="1032"/>
      <c r="M3" s="1032"/>
      <c r="N3" s="1033"/>
      <c r="O3" s="1031" t="s">
        <v>43</v>
      </c>
      <c r="P3" s="1032"/>
      <c r="Q3" s="1032"/>
      <c r="R3" s="1032"/>
      <c r="S3" s="1033"/>
      <c r="T3" s="1031" t="s">
        <v>38</v>
      </c>
      <c r="U3" s="1032"/>
      <c r="V3" s="1032"/>
      <c r="W3" s="1032"/>
      <c r="X3" s="1033"/>
    </row>
    <row r="4" spans="1:24" s="4" customFormat="1" ht="9.75" customHeight="1" x14ac:dyDescent="0.2">
      <c r="A4" s="1020"/>
      <c r="B4" s="1024"/>
      <c r="C4" s="1025"/>
      <c r="D4" s="1029"/>
      <c r="E4" s="1014" t="s">
        <v>44</v>
      </c>
      <c r="F4" s="1016" t="s">
        <v>336</v>
      </c>
      <c r="G4" s="1017"/>
      <c r="H4" s="1018"/>
      <c r="I4" s="1012" t="s">
        <v>337</v>
      </c>
      <c r="J4" s="1014" t="s">
        <v>44</v>
      </c>
      <c r="K4" s="1016" t="s">
        <v>336</v>
      </c>
      <c r="L4" s="1017"/>
      <c r="M4" s="1018"/>
      <c r="N4" s="1012" t="s">
        <v>337</v>
      </c>
      <c r="O4" s="1014" t="s">
        <v>44</v>
      </c>
      <c r="P4" s="1016" t="s">
        <v>336</v>
      </c>
      <c r="Q4" s="1017"/>
      <c r="R4" s="1018"/>
      <c r="S4" s="1012" t="s">
        <v>337</v>
      </c>
      <c r="T4" s="1014" t="s">
        <v>44</v>
      </c>
      <c r="U4" s="1016" t="s">
        <v>336</v>
      </c>
      <c r="V4" s="1017"/>
      <c r="W4" s="1018"/>
      <c r="X4" s="1012" t="s">
        <v>337</v>
      </c>
    </row>
    <row r="5" spans="1:24" s="5" customFormat="1" ht="9.75" customHeight="1" x14ac:dyDescent="0.2">
      <c r="A5" s="1021"/>
      <c r="B5" s="1026"/>
      <c r="C5" s="1027"/>
      <c r="D5" s="1030"/>
      <c r="E5" s="1015"/>
      <c r="F5" s="14" t="s">
        <v>35</v>
      </c>
      <c r="G5" s="15" t="s">
        <v>36</v>
      </c>
      <c r="H5" s="14" t="s">
        <v>37</v>
      </c>
      <c r="I5" s="1013"/>
      <c r="J5" s="1015"/>
      <c r="K5" s="14" t="s">
        <v>35</v>
      </c>
      <c r="L5" s="15" t="s">
        <v>36</v>
      </c>
      <c r="M5" s="14" t="s">
        <v>37</v>
      </c>
      <c r="N5" s="1013"/>
      <c r="O5" s="1015"/>
      <c r="P5" s="14" t="s">
        <v>35</v>
      </c>
      <c r="Q5" s="15" t="s">
        <v>36</v>
      </c>
      <c r="R5" s="14" t="s">
        <v>37</v>
      </c>
      <c r="S5" s="1013"/>
      <c r="T5" s="1015"/>
      <c r="U5" s="14" t="s">
        <v>35</v>
      </c>
      <c r="V5" s="15" t="s">
        <v>36</v>
      </c>
      <c r="W5" s="14" t="s">
        <v>37</v>
      </c>
      <c r="X5" s="1013"/>
    </row>
    <row r="6" spans="1:24" s="3" customFormat="1" ht="9.75" customHeight="1" x14ac:dyDescent="0.2">
      <c r="A6" s="16" t="s">
        <v>0</v>
      </c>
      <c r="B6" s="1007" t="s">
        <v>1</v>
      </c>
      <c r="C6" s="1007"/>
      <c r="D6" s="17" t="s">
        <v>25</v>
      </c>
      <c r="E6" s="52">
        <f>SUM(E7:E9)</f>
        <v>27805396</v>
      </c>
      <c r="F6" s="52">
        <f>SUM(F7:F9)</f>
        <v>30365243</v>
      </c>
      <c r="G6" s="52">
        <f>SUM(G7:G9)</f>
        <v>30422649.59</v>
      </c>
      <c r="H6" s="18">
        <f t="shared" ref="H6:H36" si="0">G6/F6*100</f>
        <v>100.18905361633365</v>
      </c>
      <c r="I6" s="52">
        <f>SUM(I7:I9)</f>
        <v>27534404</v>
      </c>
      <c r="J6" s="52">
        <f>SUM(J7:J9)</f>
        <v>4238206</v>
      </c>
      <c r="K6" s="52">
        <f t="shared" ref="K6:X6" si="1">SUM(K7:K9)</f>
        <v>4884917</v>
      </c>
      <c r="L6" s="52">
        <v>4942323</v>
      </c>
      <c r="M6" s="18">
        <f t="shared" ref="M6:M36" si="2">L6/K6*100</f>
        <v>101.17516838054772</v>
      </c>
      <c r="N6" s="69">
        <f t="shared" si="1"/>
        <v>5370338</v>
      </c>
      <c r="O6" s="52">
        <f t="shared" si="1"/>
        <v>23567190</v>
      </c>
      <c r="P6" s="52">
        <v>25480326</v>
      </c>
      <c r="Q6" s="52">
        <f t="shared" si="1"/>
        <v>25480326</v>
      </c>
      <c r="R6" s="18">
        <f t="shared" ref="R6:R36" si="3">Q6/P6*100</f>
        <v>100</v>
      </c>
      <c r="S6" s="52">
        <f t="shared" si="1"/>
        <v>22164066</v>
      </c>
      <c r="T6" s="52">
        <f t="shared" si="1"/>
        <v>81000</v>
      </c>
      <c r="U6" s="52">
        <v>133536</v>
      </c>
      <c r="V6" s="52">
        <f t="shared" si="1"/>
        <v>134438</v>
      </c>
      <c r="W6" s="18">
        <f t="shared" ref="W6:W33" si="4">V6/U6*100</f>
        <v>100.67547328061346</v>
      </c>
      <c r="X6" s="52">
        <f t="shared" si="1"/>
        <v>107917</v>
      </c>
    </row>
    <row r="7" spans="1:24" s="3" customFormat="1" ht="9.75" x14ac:dyDescent="0.2">
      <c r="A7" s="19" t="s">
        <v>2</v>
      </c>
      <c r="B7" s="1010" t="s">
        <v>46</v>
      </c>
      <c r="C7" s="1011"/>
      <c r="D7" s="47" t="s">
        <v>25</v>
      </c>
      <c r="E7" s="53">
        <f t="shared" ref="E7:G9" si="5">SUM(J7,O7)</f>
        <v>223000</v>
      </c>
      <c r="F7" s="54">
        <f t="shared" si="5"/>
        <v>442711</v>
      </c>
      <c r="G7" s="54">
        <f t="shared" si="5"/>
        <v>500456.1</v>
      </c>
      <c r="H7" s="6">
        <f t="shared" si="0"/>
        <v>113.04352049079422</v>
      </c>
      <c r="I7" s="60">
        <f>SUM(N7,S7)</f>
        <v>685208</v>
      </c>
      <c r="J7" s="61">
        <v>223000</v>
      </c>
      <c r="K7" s="62">
        <v>442711</v>
      </c>
      <c r="L7" s="62">
        <v>500456.1</v>
      </c>
      <c r="M7" s="6">
        <f t="shared" si="2"/>
        <v>113.04352049079422</v>
      </c>
      <c r="N7" s="76">
        <v>685208</v>
      </c>
      <c r="O7" s="77"/>
      <c r="P7" s="62"/>
      <c r="Q7" s="62"/>
      <c r="R7" s="6"/>
      <c r="S7" s="76"/>
      <c r="T7" s="77">
        <v>81000</v>
      </c>
      <c r="U7" s="62">
        <v>133536</v>
      </c>
      <c r="V7" s="62">
        <v>134438</v>
      </c>
      <c r="W7" s="6">
        <f t="shared" si="4"/>
        <v>100.67547328061346</v>
      </c>
      <c r="X7" s="91">
        <v>107917</v>
      </c>
    </row>
    <row r="8" spans="1:24" s="3" customFormat="1" ht="9.75" x14ac:dyDescent="0.2">
      <c r="A8" s="20" t="s">
        <v>3</v>
      </c>
      <c r="B8" s="1005" t="s">
        <v>47</v>
      </c>
      <c r="C8" s="1006"/>
      <c r="D8" s="48" t="s">
        <v>25</v>
      </c>
      <c r="E8" s="55">
        <f t="shared" si="5"/>
        <v>1200</v>
      </c>
      <c r="F8" s="56">
        <f t="shared" si="5"/>
        <v>1200</v>
      </c>
      <c r="G8" s="56">
        <f t="shared" si="5"/>
        <v>861.49</v>
      </c>
      <c r="H8" s="7">
        <f t="shared" si="0"/>
        <v>71.790833333333339</v>
      </c>
      <c r="I8" s="63">
        <f>SUM(N8,S8)</f>
        <v>1358</v>
      </c>
      <c r="J8" s="64">
        <v>1200</v>
      </c>
      <c r="K8" s="56">
        <v>1200</v>
      </c>
      <c r="L8" s="56">
        <v>861.49</v>
      </c>
      <c r="M8" s="7">
        <f t="shared" si="2"/>
        <v>71.790833333333339</v>
      </c>
      <c r="N8" s="63">
        <v>1358</v>
      </c>
      <c r="O8" s="55"/>
      <c r="P8" s="56"/>
      <c r="Q8" s="56"/>
      <c r="R8" s="7"/>
      <c r="S8" s="63"/>
      <c r="T8" s="55"/>
      <c r="U8" s="56"/>
      <c r="V8" s="56"/>
      <c r="W8" s="7"/>
      <c r="X8" s="92"/>
    </row>
    <row r="9" spans="1:24" s="3" customFormat="1" ht="9.75" x14ac:dyDescent="0.2">
      <c r="A9" s="21" t="s">
        <v>4</v>
      </c>
      <c r="B9" s="22" t="s">
        <v>62</v>
      </c>
      <c r="C9" s="23"/>
      <c r="D9" s="50" t="s">
        <v>25</v>
      </c>
      <c r="E9" s="57">
        <f t="shared" si="5"/>
        <v>27581196</v>
      </c>
      <c r="F9" s="58">
        <f t="shared" si="5"/>
        <v>29921332</v>
      </c>
      <c r="G9" s="58">
        <f t="shared" si="5"/>
        <v>29921332</v>
      </c>
      <c r="H9" s="24">
        <f t="shared" si="0"/>
        <v>100</v>
      </c>
      <c r="I9" s="65">
        <f>SUM(N9,S9)</f>
        <v>26847838</v>
      </c>
      <c r="J9" s="66">
        <v>4014006</v>
      </c>
      <c r="K9" s="58">
        <v>4441006</v>
      </c>
      <c r="L9" s="58">
        <v>4441006</v>
      </c>
      <c r="M9" s="24">
        <f t="shared" si="2"/>
        <v>100</v>
      </c>
      <c r="N9" s="65">
        <v>4683772</v>
      </c>
      <c r="O9" s="57">
        <v>23567190</v>
      </c>
      <c r="P9" s="58">
        <v>25480326</v>
      </c>
      <c r="Q9" s="58">
        <v>25480326</v>
      </c>
      <c r="R9" s="24">
        <f t="shared" si="3"/>
        <v>100</v>
      </c>
      <c r="S9" s="65">
        <v>22164066</v>
      </c>
      <c r="T9" s="57"/>
      <c r="U9" s="58"/>
      <c r="V9" s="58"/>
      <c r="W9" s="24"/>
      <c r="X9" s="93"/>
    </row>
    <row r="10" spans="1:24" s="3" customFormat="1" ht="9.75" x14ac:dyDescent="0.2">
      <c r="A10" s="16" t="s">
        <v>5</v>
      </c>
      <c r="B10" s="1007" t="s">
        <v>7</v>
      </c>
      <c r="C10" s="1007"/>
      <c r="D10" s="25" t="s">
        <v>25</v>
      </c>
      <c r="E10" s="59"/>
      <c r="F10" s="59"/>
      <c r="G10" s="59"/>
      <c r="H10" s="18"/>
      <c r="I10" s="67"/>
      <c r="J10" s="68"/>
      <c r="K10" s="59"/>
      <c r="L10" s="59"/>
      <c r="M10" s="18"/>
      <c r="N10" s="67"/>
      <c r="O10" s="59"/>
      <c r="P10" s="59"/>
      <c r="Q10" s="59"/>
      <c r="R10" s="18"/>
      <c r="S10" s="67"/>
      <c r="T10" s="59"/>
      <c r="U10" s="59"/>
      <c r="V10" s="59"/>
      <c r="W10" s="18"/>
      <c r="X10" s="59"/>
    </row>
    <row r="11" spans="1:24" s="3" customFormat="1" ht="9.75" x14ac:dyDescent="0.2">
      <c r="A11" s="16" t="s">
        <v>6</v>
      </c>
      <c r="B11" s="1007" t="s">
        <v>9</v>
      </c>
      <c r="C11" s="1007"/>
      <c r="D11" s="25" t="s">
        <v>25</v>
      </c>
      <c r="E11" s="52">
        <f>SUM(E12:E31)</f>
        <v>27805396</v>
      </c>
      <c r="F11" s="52">
        <f>SUM(F12:F31)</f>
        <v>30365243</v>
      </c>
      <c r="G11" s="52">
        <f>SUM(G12:G31)</f>
        <v>30138282.310000002</v>
      </c>
      <c r="H11" s="18">
        <f t="shared" si="0"/>
        <v>99.252564222851774</v>
      </c>
      <c r="I11" s="69">
        <f>SUM(I12:I31)</f>
        <v>27851637</v>
      </c>
      <c r="J11" s="52">
        <f>SUM(J12:J31)</f>
        <v>4238206</v>
      </c>
      <c r="K11" s="52">
        <f>SUM(K12:K31)</f>
        <v>4884917</v>
      </c>
      <c r="L11" s="52">
        <f>SUM(L12:L31)</f>
        <v>4657956.1499999994</v>
      </c>
      <c r="M11" s="18">
        <f t="shared" si="2"/>
        <v>95.353844292543755</v>
      </c>
      <c r="N11" s="69">
        <f>SUM(N12:N31)</f>
        <v>5687572</v>
      </c>
      <c r="O11" s="52">
        <f>SUM(O12:O31)</f>
        <v>23567190</v>
      </c>
      <c r="P11" s="52">
        <f>SUM(P12:P31)</f>
        <v>25480326</v>
      </c>
      <c r="Q11" s="52">
        <f>SUM(Q12:Q31)</f>
        <v>25480326</v>
      </c>
      <c r="R11" s="18">
        <f t="shared" si="3"/>
        <v>100</v>
      </c>
      <c r="S11" s="69">
        <f>SUM(S12:S31)</f>
        <v>22164066</v>
      </c>
      <c r="T11" s="52">
        <f>SUM(T12:T31)</f>
        <v>26480</v>
      </c>
      <c r="U11" s="52">
        <f>SUM(U12:U31)</f>
        <v>79016</v>
      </c>
      <c r="V11" s="52">
        <f>SUM(V12:V31)</f>
        <v>71070</v>
      </c>
      <c r="W11" s="18">
        <f t="shared" si="4"/>
        <v>89.943808848840746</v>
      </c>
      <c r="X11" s="52">
        <f>SUM(X12:X31)</f>
        <v>62588</v>
      </c>
    </row>
    <row r="12" spans="1:24" s="3" customFormat="1" ht="9.75" x14ac:dyDescent="0.2">
      <c r="A12" s="26" t="s">
        <v>8</v>
      </c>
      <c r="B12" s="1008" t="s">
        <v>28</v>
      </c>
      <c r="C12" s="1009"/>
      <c r="D12" s="51" t="s">
        <v>25</v>
      </c>
      <c r="E12" s="53">
        <f t="shared" ref="E12:I26" si="6">SUM(J12,O12)</f>
        <v>792000</v>
      </c>
      <c r="F12" s="54">
        <f t="shared" si="6"/>
        <v>775194</v>
      </c>
      <c r="G12" s="54">
        <f t="shared" si="6"/>
        <v>766295.74</v>
      </c>
      <c r="H12" s="6">
        <f t="shared" si="0"/>
        <v>98.852124758447559</v>
      </c>
      <c r="I12" s="60">
        <f t="shared" si="6"/>
        <v>1165901</v>
      </c>
      <c r="J12" s="70">
        <v>542000</v>
      </c>
      <c r="K12" s="71">
        <v>532699</v>
      </c>
      <c r="L12" s="71">
        <v>523800.74</v>
      </c>
      <c r="M12" s="6">
        <f t="shared" si="2"/>
        <v>98.329589505518129</v>
      </c>
      <c r="N12" s="78">
        <v>900142</v>
      </c>
      <c r="O12" s="79">
        <v>250000</v>
      </c>
      <c r="P12" s="71">
        <v>242495</v>
      </c>
      <c r="Q12" s="71">
        <v>242495</v>
      </c>
      <c r="R12" s="6">
        <f t="shared" si="3"/>
        <v>100</v>
      </c>
      <c r="S12" s="83">
        <v>265759</v>
      </c>
      <c r="T12" s="79">
        <v>300</v>
      </c>
      <c r="U12" s="71">
        <v>730</v>
      </c>
      <c r="V12" s="71">
        <v>712</v>
      </c>
      <c r="W12" s="6">
        <f t="shared" si="4"/>
        <v>97.534246575342465</v>
      </c>
      <c r="X12" s="94">
        <v>546</v>
      </c>
    </row>
    <row r="13" spans="1:24" s="3" customFormat="1" ht="9.75" x14ac:dyDescent="0.2">
      <c r="A13" s="27" t="s">
        <v>10</v>
      </c>
      <c r="B13" s="997" t="s">
        <v>29</v>
      </c>
      <c r="C13" s="998"/>
      <c r="D13" s="48" t="s">
        <v>25</v>
      </c>
      <c r="E13" s="55">
        <f t="shared" si="6"/>
        <v>1425000</v>
      </c>
      <c r="F13" s="56">
        <f t="shared" si="6"/>
        <v>1425000</v>
      </c>
      <c r="G13" s="56">
        <f t="shared" si="6"/>
        <v>1386944</v>
      </c>
      <c r="H13" s="7">
        <f t="shared" si="0"/>
        <v>97.329403508771932</v>
      </c>
      <c r="I13" s="63">
        <f t="shared" si="6"/>
        <v>1748479</v>
      </c>
      <c r="J13" s="72">
        <v>1425000</v>
      </c>
      <c r="K13" s="56">
        <v>1425000</v>
      </c>
      <c r="L13" s="56">
        <v>1386944</v>
      </c>
      <c r="M13" s="7">
        <f t="shared" si="2"/>
        <v>97.329403508771932</v>
      </c>
      <c r="N13" s="63">
        <v>1748479</v>
      </c>
      <c r="O13" s="55"/>
      <c r="P13" s="56"/>
      <c r="Q13" s="56"/>
      <c r="R13" s="7"/>
      <c r="S13" s="63"/>
      <c r="T13" s="55">
        <v>11000</v>
      </c>
      <c r="U13" s="56">
        <v>11200</v>
      </c>
      <c r="V13" s="56">
        <v>11008</v>
      </c>
      <c r="W13" s="7">
        <f t="shared" si="4"/>
        <v>98.285714285714292</v>
      </c>
      <c r="X13" s="92">
        <v>9644</v>
      </c>
    </row>
    <row r="14" spans="1:24" s="3" customFormat="1" ht="9.75" x14ac:dyDescent="0.2">
      <c r="A14" s="27" t="s">
        <v>11</v>
      </c>
      <c r="B14" s="418" t="s">
        <v>348</v>
      </c>
      <c r="C14" s="419"/>
      <c r="D14" s="48" t="s">
        <v>25</v>
      </c>
      <c r="E14" s="55">
        <f t="shared" si="6"/>
        <v>0</v>
      </c>
      <c r="F14" s="56">
        <f t="shared" si="6"/>
        <v>6950</v>
      </c>
      <c r="G14" s="56">
        <f t="shared" si="6"/>
        <v>6950</v>
      </c>
      <c r="H14" s="7">
        <f t="shared" si="0"/>
        <v>100</v>
      </c>
      <c r="I14" s="63">
        <f t="shared" si="6"/>
        <v>0</v>
      </c>
      <c r="J14" s="72"/>
      <c r="K14" s="56">
        <v>6950</v>
      </c>
      <c r="L14" s="56">
        <v>6950</v>
      </c>
      <c r="M14" s="7">
        <f t="shared" si="2"/>
        <v>100</v>
      </c>
      <c r="N14" s="63"/>
      <c r="O14" s="55"/>
      <c r="P14" s="56"/>
      <c r="Q14" s="56"/>
      <c r="R14" s="7"/>
      <c r="S14" s="63"/>
      <c r="T14" s="55"/>
      <c r="U14" s="56"/>
      <c r="V14" s="56"/>
      <c r="W14" s="7"/>
      <c r="X14" s="92"/>
    </row>
    <row r="15" spans="1:24" s="3" customFormat="1" ht="9.75" x14ac:dyDescent="0.2">
      <c r="A15" s="27" t="s">
        <v>12</v>
      </c>
      <c r="B15" s="997" t="s">
        <v>64</v>
      </c>
      <c r="C15" s="998"/>
      <c r="D15" s="48" t="s">
        <v>25</v>
      </c>
      <c r="E15" s="55">
        <f t="shared" si="6"/>
        <v>733000</v>
      </c>
      <c r="F15" s="56">
        <f t="shared" si="6"/>
        <v>1011770</v>
      </c>
      <c r="G15" s="56">
        <f t="shared" si="6"/>
        <v>918704.3</v>
      </c>
      <c r="H15" s="7">
        <f t="shared" si="0"/>
        <v>90.801694060903174</v>
      </c>
      <c r="I15" s="63">
        <f t="shared" si="6"/>
        <v>1308282</v>
      </c>
      <c r="J15" s="72">
        <v>733000</v>
      </c>
      <c r="K15" s="56">
        <v>1011770</v>
      </c>
      <c r="L15" s="56">
        <v>918704.3</v>
      </c>
      <c r="M15" s="7">
        <f t="shared" si="2"/>
        <v>90.801694060903174</v>
      </c>
      <c r="N15" s="63">
        <v>1308282</v>
      </c>
      <c r="O15" s="55"/>
      <c r="P15" s="56"/>
      <c r="Q15" s="56"/>
      <c r="R15" s="7"/>
      <c r="S15" s="63"/>
      <c r="T15" s="55">
        <v>5850</v>
      </c>
      <c r="U15" s="56">
        <v>4670</v>
      </c>
      <c r="V15" s="56">
        <v>746</v>
      </c>
      <c r="W15" s="7">
        <f t="shared" si="4"/>
        <v>15.974304068522486</v>
      </c>
      <c r="X15" s="92">
        <v>809</v>
      </c>
    </row>
    <row r="16" spans="1:24" s="3" customFormat="1" ht="9.75" x14ac:dyDescent="0.2">
      <c r="A16" s="27" t="s">
        <v>13</v>
      </c>
      <c r="B16" s="997" t="s">
        <v>30</v>
      </c>
      <c r="C16" s="998"/>
      <c r="D16" s="48" t="s">
        <v>25</v>
      </c>
      <c r="E16" s="55">
        <f t="shared" si="6"/>
        <v>28000</v>
      </c>
      <c r="F16" s="56">
        <f t="shared" si="6"/>
        <v>44098</v>
      </c>
      <c r="G16" s="56">
        <f t="shared" si="6"/>
        <v>43885</v>
      </c>
      <c r="H16" s="7">
        <f t="shared" si="0"/>
        <v>99.516984897274256</v>
      </c>
      <c r="I16" s="63">
        <f t="shared" si="6"/>
        <v>41808</v>
      </c>
      <c r="J16" s="72">
        <v>3000</v>
      </c>
      <c r="K16" s="56">
        <v>6200</v>
      </c>
      <c r="L16" s="56">
        <v>5987</v>
      </c>
      <c r="M16" s="7">
        <f t="shared" si="2"/>
        <v>96.564516129032256</v>
      </c>
      <c r="N16" s="63">
        <v>1372</v>
      </c>
      <c r="O16" s="55">
        <v>25000</v>
      </c>
      <c r="P16" s="56">
        <v>37898</v>
      </c>
      <c r="Q16" s="56">
        <v>37898</v>
      </c>
      <c r="R16" s="7">
        <f t="shared" si="3"/>
        <v>100</v>
      </c>
      <c r="S16" s="63">
        <v>40436</v>
      </c>
      <c r="T16" s="55"/>
      <c r="U16" s="56"/>
      <c r="V16" s="56"/>
      <c r="W16" s="7"/>
      <c r="X16" s="92"/>
    </row>
    <row r="17" spans="1:24" s="3" customFormat="1" ht="9.75" x14ac:dyDescent="0.2">
      <c r="A17" s="27" t="s">
        <v>14</v>
      </c>
      <c r="B17" s="418" t="s">
        <v>48</v>
      </c>
      <c r="C17" s="419"/>
      <c r="D17" s="48" t="s">
        <v>25</v>
      </c>
      <c r="E17" s="55">
        <f t="shared" si="6"/>
        <v>5000</v>
      </c>
      <c r="F17" s="56">
        <f t="shared" si="6"/>
        <v>3800</v>
      </c>
      <c r="G17" s="56">
        <f t="shared" si="6"/>
        <v>2965</v>
      </c>
      <c r="H17" s="7">
        <f t="shared" si="0"/>
        <v>78.026315789473685</v>
      </c>
      <c r="I17" s="63">
        <f t="shared" si="6"/>
        <v>4279</v>
      </c>
      <c r="J17" s="72">
        <v>5000</v>
      </c>
      <c r="K17" s="56">
        <v>3800</v>
      </c>
      <c r="L17" s="56">
        <v>2965</v>
      </c>
      <c r="M17" s="7">
        <f t="shared" si="2"/>
        <v>78.026315789473685</v>
      </c>
      <c r="N17" s="63">
        <v>4279</v>
      </c>
      <c r="O17" s="55"/>
      <c r="P17" s="56"/>
      <c r="Q17" s="56"/>
      <c r="R17" s="7"/>
      <c r="S17" s="63"/>
      <c r="T17" s="55"/>
      <c r="U17" s="56">
        <v>550</v>
      </c>
      <c r="V17" s="56">
        <v>545</v>
      </c>
      <c r="W17" s="7">
        <f t="shared" si="4"/>
        <v>99.090909090909093</v>
      </c>
      <c r="X17" s="92"/>
    </row>
    <row r="18" spans="1:24" s="3" customFormat="1" ht="9.75" x14ac:dyDescent="0.2">
      <c r="A18" s="27" t="s">
        <v>15</v>
      </c>
      <c r="B18" s="997" t="s">
        <v>31</v>
      </c>
      <c r="C18" s="998"/>
      <c r="D18" s="48" t="s">
        <v>25</v>
      </c>
      <c r="E18" s="55">
        <f t="shared" si="6"/>
        <v>508000</v>
      </c>
      <c r="F18" s="56">
        <f t="shared" si="6"/>
        <v>596233</v>
      </c>
      <c r="G18" s="56">
        <f t="shared" si="6"/>
        <v>590495.73</v>
      </c>
      <c r="H18" s="7">
        <f t="shared" si="0"/>
        <v>99.037746988174078</v>
      </c>
      <c r="I18" s="63">
        <v>543779</v>
      </c>
      <c r="J18" s="72">
        <v>478000</v>
      </c>
      <c r="K18" s="56">
        <v>549064</v>
      </c>
      <c r="L18" s="56">
        <v>543326.73</v>
      </c>
      <c r="M18" s="7">
        <f t="shared" si="2"/>
        <v>98.955081739105083</v>
      </c>
      <c r="N18" s="63">
        <v>492459</v>
      </c>
      <c r="O18" s="55">
        <v>30000</v>
      </c>
      <c r="P18" s="56">
        <v>47169</v>
      </c>
      <c r="Q18" s="56">
        <v>47169</v>
      </c>
      <c r="R18" s="7">
        <f t="shared" si="3"/>
        <v>100</v>
      </c>
      <c r="S18" s="63">
        <v>51320</v>
      </c>
      <c r="T18" s="55">
        <v>7700</v>
      </c>
      <c r="U18" s="56">
        <v>53700</v>
      </c>
      <c r="V18" s="56">
        <v>50279</v>
      </c>
      <c r="W18" s="7">
        <f t="shared" si="4"/>
        <v>93.6294227188082</v>
      </c>
      <c r="X18" s="92">
        <v>35377</v>
      </c>
    </row>
    <row r="19" spans="1:24" s="8" customFormat="1" ht="9.75" x14ac:dyDescent="0.2">
      <c r="A19" s="27" t="s">
        <v>16</v>
      </c>
      <c r="B19" s="997" t="s">
        <v>32</v>
      </c>
      <c r="C19" s="998"/>
      <c r="D19" s="48" t="s">
        <v>25</v>
      </c>
      <c r="E19" s="55">
        <f t="shared" si="6"/>
        <v>17343478</v>
      </c>
      <c r="F19" s="56">
        <f t="shared" si="6"/>
        <v>18752744</v>
      </c>
      <c r="G19" s="56">
        <f t="shared" si="6"/>
        <v>18729914</v>
      </c>
      <c r="H19" s="7">
        <f t="shared" si="0"/>
        <v>99.878257816562737</v>
      </c>
      <c r="I19" s="63">
        <f t="shared" si="6"/>
        <v>16375430</v>
      </c>
      <c r="J19" s="73">
        <v>392500</v>
      </c>
      <c r="K19" s="56">
        <v>396212</v>
      </c>
      <c r="L19" s="56">
        <v>373382</v>
      </c>
      <c r="M19" s="7">
        <f t="shared" si="2"/>
        <v>94.237933227665991</v>
      </c>
      <c r="N19" s="63">
        <v>350666</v>
      </c>
      <c r="O19" s="55">
        <v>16950978</v>
      </c>
      <c r="P19" s="56">
        <v>18356532</v>
      </c>
      <c r="Q19" s="56">
        <v>18356532</v>
      </c>
      <c r="R19" s="7">
        <f t="shared" si="3"/>
        <v>100</v>
      </c>
      <c r="S19" s="63">
        <v>16024764</v>
      </c>
      <c r="T19" s="84">
        <v>1200</v>
      </c>
      <c r="U19" s="85">
        <v>1200</v>
      </c>
      <c r="V19" s="85">
        <v>912</v>
      </c>
      <c r="W19" s="7">
        <f t="shared" si="4"/>
        <v>76</v>
      </c>
      <c r="X19" s="95">
        <v>11964</v>
      </c>
    </row>
    <row r="20" spans="1:24" s="3" customFormat="1" ht="9.75" x14ac:dyDescent="0.2">
      <c r="A20" s="27" t="s">
        <v>17</v>
      </c>
      <c r="B20" s="997" t="s">
        <v>49</v>
      </c>
      <c r="C20" s="998"/>
      <c r="D20" s="48" t="s">
        <v>25</v>
      </c>
      <c r="E20" s="55">
        <f t="shared" si="6"/>
        <v>5886302</v>
      </c>
      <c r="F20" s="56">
        <f t="shared" si="6"/>
        <v>6360043</v>
      </c>
      <c r="G20" s="56">
        <f t="shared" si="6"/>
        <v>6360001.1900000004</v>
      </c>
      <c r="H20" s="7">
        <f t="shared" si="0"/>
        <v>99.999342614507498</v>
      </c>
      <c r="I20" s="63">
        <v>5548191</v>
      </c>
      <c r="J20" s="72">
        <v>52300</v>
      </c>
      <c r="K20" s="56">
        <v>58377</v>
      </c>
      <c r="L20" s="56">
        <v>58335.19</v>
      </c>
      <c r="M20" s="7">
        <f t="shared" si="2"/>
        <v>99.928379327474872</v>
      </c>
      <c r="N20" s="63">
        <v>49654</v>
      </c>
      <c r="O20" s="55">
        <v>5834002</v>
      </c>
      <c r="P20" s="56">
        <v>6301666</v>
      </c>
      <c r="Q20" s="56">
        <v>6301666</v>
      </c>
      <c r="R20" s="7">
        <f t="shared" si="3"/>
        <v>100</v>
      </c>
      <c r="S20" s="63">
        <v>5498538</v>
      </c>
      <c r="T20" s="55">
        <v>408</v>
      </c>
      <c r="U20" s="56">
        <v>408</v>
      </c>
      <c r="V20" s="56">
        <v>314</v>
      </c>
      <c r="W20" s="7">
        <f t="shared" si="4"/>
        <v>76.960784313725497</v>
      </c>
      <c r="X20" s="92">
        <v>4068</v>
      </c>
    </row>
    <row r="21" spans="1:24" s="3" customFormat="1" ht="9.75" x14ac:dyDescent="0.2">
      <c r="A21" s="27" t="s">
        <v>18</v>
      </c>
      <c r="B21" s="997" t="s">
        <v>50</v>
      </c>
      <c r="C21" s="998"/>
      <c r="D21" s="48" t="s">
        <v>25</v>
      </c>
      <c r="E21" s="55">
        <f t="shared" si="6"/>
        <v>379110</v>
      </c>
      <c r="F21" s="56">
        <f t="shared" si="6"/>
        <v>395254</v>
      </c>
      <c r="G21" s="56">
        <f t="shared" si="6"/>
        <v>395200</v>
      </c>
      <c r="H21" s="7">
        <f t="shared" si="0"/>
        <v>99.986337899173691</v>
      </c>
      <c r="I21" s="63">
        <f t="shared" si="6"/>
        <v>249612</v>
      </c>
      <c r="J21" s="72">
        <v>1900</v>
      </c>
      <c r="K21" s="56">
        <v>3723</v>
      </c>
      <c r="L21" s="56">
        <v>3669</v>
      </c>
      <c r="M21" s="7">
        <f t="shared" si="2"/>
        <v>98.549556809024992</v>
      </c>
      <c r="N21" s="63">
        <v>1972</v>
      </c>
      <c r="O21" s="55">
        <v>377210</v>
      </c>
      <c r="P21" s="56">
        <v>391531</v>
      </c>
      <c r="Q21" s="56">
        <v>391531</v>
      </c>
      <c r="R21" s="7">
        <f t="shared" si="3"/>
        <v>100</v>
      </c>
      <c r="S21" s="63">
        <v>247640</v>
      </c>
      <c r="T21" s="55">
        <v>22</v>
      </c>
      <c r="U21" s="56">
        <v>22</v>
      </c>
      <c r="V21" s="56">
        <v>18</v>
      </c>
      <c r="W21" s="7">
        <f t="shared" si="4"/>
        <v>81.818181818181827</v>
      </c>
      <c r="X21" s="92">
        <v>180</v>
      </c>
    </row>
    <row r="22" spans="1:24" s="3" customFormat="1" ht="9.75" x14ac:dyDescent="0.2">
      <c r="A22" s="27" t="s">
        <v>19</v>
      </c>
      <c r="B22" s="997" t="s">
        <v>349</v>
      </c>
      <c r="C22" s="998"/>
      <c r="D22" s="48" t="s">
        <v>25</v>
      </c>
      <c r="E22" s="55">
        <f t="shared" si="6"/>
        <v>0</v>
      </c>
      <c r="F22" s="56">
        <f t="shared" si="6"/>
        <v>780</v>
      </c>
      <c r="G22" s="56">
        <f t="shared" si="6"/>
        <v>780</v>
      </c>
      <c r="H22" s="7">
        <f t="shared" si="0"/>
        <v>100</v>
      </c>
      <c r="I22" s="63">
        <f t="shared" si="6"/>
        <v>0</v>
      </c>
      <c r="J22" s="72"/>
      <c r="K22" s="56">
        <v>780</v>
      </c>
      <c r="L22" s="56">
        <v>780</v>
      </c>
      <c r="M22" s="7">
        <f t="shared" si="2"/>
        <v>100</v>
      </c>
      <c r="N22" s="63"/>
      <c r="O22" s="55"/>
      <c r="P22" s="56"/>
      <c r="Q22" s="56"/>
      <c r="R22" s="7"/>
      <c r="S22" s="63"/>
      <c r="T22" s="55"/>
      <c r="U22" s="56"/>
      <c r="V22" s="56"/>
      <c r="W22" s="7"/>
      <c r="X22" s="92"/>
    </row>
    <row r="23" spans="1:24" s="3" customFormat="1" ht="9.75" x14ac:dyDescent="0.2">
      <c r="A23" s="27" t="s">
        <v>20</v>
      </c>
      <c r="B23" s="418" t="s">
        <v>66</v>
      </c>
      <c r="C23" s="419"/>
      <c r="D23" s="48" t="s">
        <v>25</v>
      </c>
      <c r="E23" s="55"/>
      <c r="F23" s="56"/>
      <c r="G23" s="56"/>
      <c r="H23" s="7"/>
      <c r="I23" s="63"/>
      <c r="J23" s="72"/>
      <c r="K23" s="56"/>
      <c r="L23" s="56"/>
      <c r="M23" s="7"/>
      <c r="N23" s="63"/>
      <c r="O23" s="55"/>
      <c r="P23" s="56"/>
      <c r="Q23" s="56"/>
      <c r="R23" s="7"/>
      <c r="S23" s="63"/>
      <c r="T23" s="55"/>
      <c r="U23" s="56"/>
      <c r="V23" s="56"/>
      <c r="W23" s="7"/>
      <c r="X23" s="92"/>
    </row>
    <row r="24" spans="1:24" s="3" customFormat="1" ht="9.75" x14ac:dyDescent="0.2">
      <c r="A24" s="27" t="s">
        <v>21</v>
      </c>
      <c r="B24" s="418" t="s">
        <v>73</v>
      </c>
      <c r="C24" s="419"/>
      <c r="D24" s="48" t="s">
        <v>25</v>
      </c>
      <c r="E24" s="55"/>
      <c r="F24" s="56"/>
      <c r="G24" s="56"/>
      <c r="H24" s="7"/>
      <c r="I24" s="63"/>
      <c r="J24" s="72"/>
      <c r="K24" s="56"/>
      <c r="L24" s="56"/>
      <c r="M24" s="7"/>
      <c r="N24" s="63"/>
      <c r="O24" s="55"/>
      <c r="P24" s="56"/>
      <c r="Q24" s="56"/>
      <c r="R24" s="7"/>
      <c r="S24" s="63"/>
      <c r="T24" s="55"/>
      <c r="U24" s="56"/>
      <c r="V24" s="56"/>
      <c r="W24" s="7"/>
      <c r="X24" s="92"/>
    </row>
    <row r="25" spans="1:24" s="3" customFormat="1" ht="9.75" x14ac:dyDescent="0.2">
      <c r="A25" s="28" t="s">
        <v>22</v>
      </c>
      <c r="B25" s="29" t="s">
        <v>68</v>
      </c>
      <c r="C25" s="30"/>
      <c r="D25" s="48" t="s">
        <v>25</v>
      </c>
      <c r="E25" s="55"/>
      <c r="F25" s="56"/>
      <c r="G25" s="56"/>
      <c r="H25" s="7"/>
      <c r="I25" s="63"/>
      <c r="J25" s="72"/>
      <c r="K25" s="74"/>
      <c r="L25" s="74"/>
      <c r="M25" s="7"/>
      <c r="N25" s="80"/>
      <c r="O25" s="81"/>
      <c r="P25" s="74"/>
      <c r="Q25" s="74"/>
      <c r="R25" s="7"/>
      <c r="S25" s="86"/>
      <c r="T25" s="81"/>
      <c r="U25" s="74"/>
      <c r="V25" s="74"/>
      <c r="W25" s="7"/>
      <c r="X25" s="96"/>
    </row>
    <row r="26" spans="1:24" s="10" customFormat="1" ht="9.75" x14ac:dyDescent="0.2">
      <c r="A26" s="27" t="s">
        <v>23</v>
      </c>
      <c r="B26" s="997" t="s">
        <v>69</v>
      </c>
      <c r="C26" s="998"/>
      <c r="D26" s="48" t="s">
        <v>25</v>
      </c>
      <c r="E26" s="55">
        <f t="shared" si="6"/>
        <v>518256</v>
      </c>
      <c r="F26" s="56">
        <f t="shared" si="6"/>
        <v>543039</v>
      </c>
      <c r="G26" s="56">
        <f t="shared" si="6"/>
        <v>543038.35</v>
      </c>
      <c r="H26" s="11">
        <f t="shared" si="0"/>
        <v>99.99988030325629</v>
      </c>
      <c r="I26" s="63">
        <f t="shared" si="6"/>
        <v>524088</v>
      </c>
      <c r="J26" s="72">
        <v>518256</v>
      </c>
      <c r="K26" s="75">
        <v>543039</v>
      </c>
      <c r="L26" s="75">
        <v>543038.35</v>
      </c>
      <c r="M26" s="7">
        <f t="shared" si="2"/>
        <v>99.99988030325629</v>
      </c>
      <c r="N26" s="63">
        <v>524088</v>
      </c>
      <c r="O26" s="82"/>
      <c r="P26" s="75"/>
      <c r="Q26" s="75"/>
      <c r="R26" s="7"/>
      <c r="S26" s="80"/>
      <c r="T26" s="87"/>
      <c r="U26" s="88">
        <v>6536</v>
      </c>
      <c r="V26" s="88">
        <v>6536</v>
      </c>
      <c r="W26" s="7">
        <f t="shared" si="4"/>
        <v>100</v>
      </c>
      <c r="X26" s="97"/>
    </row>
    <row r="27" spans="1:24" s="12" customFormat="1" ht="9.75" x14ac:dyDescent="0.2">
      <c r="A27" s="27" t="s">
        <v>45</v>
      </c>
      <c r="B27" s="418" t="s">
        <v>70</v>
      </c>
      <c r="C27" s="419"/>
      <c r="D27" s="48" t="s">
        <v>25</v>
      </c>
      <c r="E27" s="55"/>
      <c r="F27" s="56"/>
      <c r="G27" s="56"/>
      <c r="H27" s="11"/>
      <c r="I27" s="63"/>
      <c r="J27" s="72"/>
      <c r="K27" s="75"/>
      <c r="L27" s="75"/>
      <c r="M27" s="7"/>
      <c r="N27" s="80"/>
      <c r="O27" s="82"/>
      <c r="P27" s="75"/>
      <c r="Q27" s="75"/>
      <c r="R27" s="7"/>
      <c r="S27" s="80"/>
      <c r="T27" s="87"/>
      <c r="U27" s="88"/>
      <c r="V27" s="88"/>
      <c r="W27" s="7"/>
      <c r="X27" s="97"/>
    </row>
    <row r="28" spans="1:24" s="12" customFormat="1" ht="9.75" x14ac:dyDescent="0.2">
      <c r="A28" s="27" t="s">
        <v>51</v>
      </c>
      <c r="B28" s="418" t="s">
        <v>74</v>
      </c>
      <c r="C28" s="419"/>
      <c r="D28" s="48" t="s">
        <v>25</v>
      </c>
      <c r="E28" s="55">
        <v>187000</v>
      </c>
      <c r="F28" s="56">
        <v>447568</v>
      </c>
      <c r="G28" s="56">
        <v>447325</v>
      </c>
      <c r="H28" s="11">
        <f t="shared" si="0"/>
        <v>99.945706574196549</v>
      </c>
      <c r="I28" s="63">
        <v>341566</v>
      </c>
      <c r="J28" s="72">
        <v>87000</v>
      </c>
      <c r="K28" s="75">
        <v>344533</v>
      </c>
      <c r="L28" s="75">
        <v>344289.84</v>
      </c>
      <c r="M28" s="7">
        <f t="shared" si="2"/>
        <v>99.929423306330605</v>
      </c>
      <c r="N28" s="80">
        <v>305957</v>
      </c>
      <c r="O28" s="82">
        <v>100000</v>
      </c>
      <c r="P28" s="75">
        <v>103035</v>
      </c>
      <c r="Q28" s="75">
        <v>103035</v>
      </c>
      <c r="R28" s="7">
        <f t="shared" si="3"/>
        <v>100</v>
      </c>
      <c r="S28" s="80">
        <v>35609</v>
      </c>
      <c r="T28" s="87"/>
      <c r="U28" s="88"/>
      <c r="V28" s="88"/>
      <c r="W28" s="7"/>
      <c r="X28" s="97"/>
    </row>
    <row r="29" spans="1:24" s="10" customFormat="1" ht="9.75" x14ac:dyDescent="0.2">
      <c r="A29" s="27" t="s">
        <v>52</v>
      </c>
      <c r="B29" s="997" t="s">
        <v>67</v>
      </c>
      <c r="C29" s="998"/>
      <c r="D29" s="48" t="s">
        <v>25</v>
      </c>
      <c r="E29" s="55">
        <f t="shared" ref="E29:G29" si="7">SUM(J29,O29)</f>
        <v>250</v>
      </c>
      <c r="F29" s="56">
        <f t="shared" si="7"/>
        <v>2770</v>
      </c>
      <c r="G29" s="56">
        <f t="shared" si="7"/>
        <v>-54216</v>
      </c>
      <c r="H29" s="11"/>
      <c r="I29" s="63">
        <f>SUM(N29,S29)</f>
        <v>222</v>
      </c>
      <c r="J29" s="72">
        <v>250</v>
      </c>
      <c r="K29" s="75">
        <v>2770</v>
      </c>
      <c r="L29" s="75">
        <v>-54216</v>
      </c>
      <c r="M29" s="7"/>
      <c r="N29" s="80">
        <v>222</v>
      </c>
      <c r="O29" s="82"/>
      <c r="P29" s="75"/>
      <c r="Q29" s="75"/>
      <c r="R29" s="7"/>
      <c r="S29" s="80"/>
      <c r="T29" s="87"/>
      <c r="U29" s="88"/>
      <c r="V29" s="88"/>
      <c r="W29" s="7"/>
      <c r="X29" s="97"/>
    </row>
    <row r="30" spans="1:24" s="3" customFormat="1" ht="9.75" x14ac:dyDescent="0.2">
      <c r="A30" s="27" t="s">
        <v>54</v>
      </c>
      <c r="B30" s="418" t="s">
        <v>53</v>
      </c>
      <c r="C30" s="419"/>
      <c r="D30" s="48" t="s">
        <v>25</v>
      </c>
      <c r="E30" s="55"/>
      <c r="F30" s="56"/>
      <c r="G30" s="56"/>
      <c r="H30" s="11"/>
      <c r="I30" s="63"/>
      <c r="J30" s="72"/>
      <c r="K30" s="75"/>
      <c r="L30" s="75"/>
      <c r="M30" s="7"/>
      <c r="N30" s="80"/>
      <c r="O30" s="82"/>
      <c r="P30" s="75"/>
      <c r="Q30" s="75"/>
      <c r="R30" s="7"/>
      <c r="S30" s="80"/>
      <c r="T30" s="87"/>
      <c r="U30" s="88"/>
      <c r="V30" s="88"/>
      <c r="W30" s="7"/>
      <c r="X30" s="97"/>
    </row>
    <row r="31" spans="1:24" s="31" customFormat="1" ht="9.75" x14ac:dyDescent="0.2">
      <c r="A31" s="27" t="s">
        <v>55</v>
      </c>
      <c r="B31" s="102" t="s">
        <v>71</v>
      </c>
      <c r="C31" s="103"/>
      <c r="D31" s="48" t="s">
        <v>25</v>
      </c>
      <c r="E31" s="55"/>
      <c r="F31" s="56"/>
      <c r="G31" s="56"/>
      <c r="H31" s="11"/>
      <c r="I31" s="63"/>
      <c r="J31" s="72"/>
      <c r="K31" s="104"/>
      <c r="L31" s="104"/>
      <c r="M31" s="7"/>
      <c r="N31" s="105"/>
      <c r="O31" s="106"/>
      <c r="P31" s="104"/>
      <c r="Q31" s="104"/>
      <c r="R31" s="7"/>
      <c r="S31" s="105"/>
      <c r="T31" s="107"/>
      <c r="U31" s="108"/>
      <c r="V31" s="108"/>
      <c r="W31" s="7"/>
      <c r="X31" s="109"/>
    </row>
    <row r="32" spans="1:24" s="31" customFormat="1" ht="9.75" x14ac:dyDescent="0.2">
      <c r="A32" s="110" t="s">
        <v>56</v>
      </c>
      <c r="B32" s="111" t="s">
        <v>72</v>
      </c>
      <c r="C32" s="112"/>
      <c r="D32" s="49" t="s">
        <v>25</v>
      </c>
      <c r="E32" s="57"/>
      <c r="F32" s="58"/>
      <c r="G32" s="58"/>
      <c r="H32" s="13"/>
      <c r="I32" s="65"/>
      <c r="J32" s="113"/>
      <c r="K32" s="90"/>
      <c r="L32" s="90"/>
      <c r="M32" s="24"/>
      <c r="N32" s="114"/>
      <c r="O32" s="89"/>
      <c r="P32" s="90"/>
      <c r="Q32" s="90"/>
      <c r="R32" s="24"/>
      <c r="S32" s="114"/>
      <c r="T32" s="89"/>
      <c r="U32" s="90"/>
      <c r="V32" s="90"/>
      <c r="W32" s="24"/>
      <c r="X32" s="98"/>
    </row>
    <row r="33" spans="1:24" s="31" customFormat="1" ht="9.75" x14ac:dyDescent="0.2">
      <c r="A33" s="16" t="s">
        <v>57</v>
      </c>
      <c r="B33" s="34" t="s">
        <v>58</v>
      </c>
      <c r="C33" s="35"/>
      <c r="D33" s="17" t="s">
        <v>25</v>
      </c>
      <c r="E33" s="52">
        <f>E6-E11</f>
        <v>0</v>
      </c>
      <c r="F33" s="52">
        <f t="shared" ref="F33:G33" si="8">F6-F11</f>
        <v>0</v>
      </c>
      <c r="G33" s="52">
        <f t="shared" si="8"/>
        <v>284367.27999999747</v>
      </c>
      <c r="H33" s="32"/>
      <c r="I33" s="52">
        <f t="shared" ref="I33:L33" si="9">I6-I11</f>
        <v>-317233</v>
      </c>
      <c r="J33" s="52">
        <f t="shared" si="9"/>
        <v>0</v>
      </c>
      <c r="K33" s="52">
        <f t="shared" si="9"/>
        <v>0</v>
      </c>
      <c r="L33" s="52">
        <f t="shared" si="9"/>
        <v>284366.85000000056</v>
      </c>
      <c r="M33" s="33"/>
      <c r="N33" s="52">
        <f t="shared" ref="N33:P33" si="10">N6-N11</f>
        <v>-317234</v>
      </c>
      <c r="O33" s="52">
        <f t="shared" si="10"/>
        <v>0</v>
      </c>
      <c r="P33" s="52">
        <f t="shared" si="10"/>
        <v>0</v>
      </c>
      <c r="Q33" s="52">
        <v>0</v>
      </c>
      <c r="R33" s="33"/>
      <c r="S33" s="52">
        <f t="shared" ref="S33:V33" si="11">S6-S11</f>
        <v>0</v>
      </c>
      <c r="T33" s="52">
        <f t="shared" si="11"/>
        <v>54520</v>
      </c>
      <c r="U33" s="52">
        <f t="shared" si="11"/>
        <v>54520</v>
      </c>
      <c r="V33" s="52">
        <f t="shared" si="11"/>
        <v>63368</v>
      </c>
      <c r="W33" s="178">
        <f t="shared" si="4"/>
        <v>116.22890682318415</v>
      </c>
      <c r="X33" s="52">
        <f>X6-X11</f>
        <v>45329</v>
      </c>
    </row>
    <row r="34" spans="1:24" s="37" customFormat="1" ht="9.75" x14ac:dyDescent="0.2">
      <c r="A34" s="36" t="s">
        <v>59</v>
      </c>
      <c r="B34" s="999" t="s">
        <v>24</v>
      </c>
      <c r="C34" s="1000"/>
      <c r="D34" s="99" t="s">
        <v>25</v>
      </c>
      <c r="E34" s="40">
        <v>24609</v>
      </c>
      <c r="F34" s="41">
        <v>27901</v>
      </c>
      <c r="G34" s="41">
        <v>27867</v>
      </c>
      <c r="H34" s="9">
        <f t="shared" si="0"/>
        <v>99.878140568438411</v>
      </c>
      <c r="I34" s="44">
        <v>262242</v>
      </c>
      <c r="J34" s="444">
        <v>13628</v>
      </c>
      <c r="K34" s="444">
        <v>18867</v>
      </c>
      <c r="L34" s="492">
        <v>17780</v>
      </c>
      <c r="M34" s="178">
        <v>94.24</v>
      </c>
      <c r="N34" s="444"/>
      <c r="O34" s="444">
        <v>25166</v>
      </c>
      <c r="P34" s="444">
        <v>28297</v>
      </c>
      <c r="Q34" s="444">
        <v>28297</v>
      </c>
      <c r="R34" s="178">
        <f t="shared" si="3"/>
        <v>100</v>
      </c>
      <c r="S34" s="444"/>
      <c r="T34" s="444"/>
      <c r="U34" s="444"/>
      <c r="V34" s="444"/>
      <c r="W34" s="178"/>
      <c r="X34" s="444"/>
    </row>
    <row r="35" spans="1:24" s="37" customFormat="1" ht="9.75" x14ac:dyDescent="0.2">
      <c r="A35" s="38" t="s">
        <v>60</v>
      </c>
      <c r="B35" s="1001" t="s">
        <v>33</v>
      </c>
      <c r="C35" s="1002"/>
      <c r="D35" s="100" t="s">
        <v>26</v>
      </c>
      <c r="E35" s="115">
        <v>58.73</v>
      </c>
      <c r="F35" s="116">
        <v>56.01</v>
      </c>
      <c r="G35" s="116">
        <v>56.014000000000003</v>
      </c>
      <c r="H35" s="11">
        <f t="shared" si="0"/>
        <v>100.0071415818604</v>
      </c>
      <c r="I35" s="45">
        <v>52</v>
      </c>
      <c r="J35" s="546">
        <v>2.4</v>
      </c>
      <c r="K35" s="546">
        <v>1.75</v>
      </c>
      <c r="L35" s="546">
        <v>1.75</v>
      </c>
      <c r="M35" s="178">
        <f t="shared" si="2"/>
        <v>100</v>
      </c>
      <c r="N35" s="444"/>
      <c r="O35" s="546">
        <v>56.13</v>
      </c>
      <c r="P35" s="546">
        <v>54.06</v>
      </c>
      <c r="Q35" s="546">
        <v>54.06</v>
      </c>
      <c r="R35" s="178">
        <f t="shared" si="3"/>
        <v>100</v>
      </c>
      <c r="S35" s="444"/>
      <c r="T35" s="546"/>
      <c r="U35" s="546"/>
      <c r="V35" s="546"/>
      <c r="W35" s="547"/>
      <c r="X35" s="546"/>
    </row>
    <row r="36" spans="1:24" s="37" customFormat="1" ht="9.75" x14ac:dyDescent="0.2">
      <c r="A36" s="39" t="s">
        <v>61</v>
      </c>
      <c r="B36" s="1003" t="s">
        <v>27</v>
      </c>
      <c r="C36" s="1004"/>
      <c r="D36" s="101" t="s">
        <v>26</v>
      </c>
      <c r="E36" s="42">
        <v>62</v>
      </c>
      <c r="F36" s="43">
        <v>61</v>
      </c>
      <c r="G36" s="125">
        <v>61</v>
      </c>
      <c r="H36" s="13">
        <f t="shared" si="0"/>
        <v>100</v>
      </c>
      <c r="I36" s="46">
        <v>57</v>
      </c>
      <c r="J36" s="546">
        <v>5</v>
      </c>
      <c r="K36" s="546">
        <v>1</v>
      </c>
      <c r="L36" s="546">
        <v>1</v>
      </c>
      <c r="M36" s="178">
        <f t="shared" si="2"/>
        <v>100</v>
      </c>
      <c r="N36" s="444"/>
      <c r="O36" s="546">
        <v>56</v>
      </c>
      <c r="P36" s="546">
        <v>60</v>
      </c>
      <c r="Q36" s="546">
        <v>60</v>
      </c>
      <c r="R36" s="178">
        <f t="shared" si="3"/>
        <v>100</v>
      </c>
      <c r="S36" s="444"/>
      <c r="T36" s="546"/>
      <c r="U36" s="546"/>
      <c r="V36" s="546"/>
      <c r="W36" s="547"/>
      <c r="X36" s="546"/>
    </row>
  </sheetData>
  <mergeCells count="39">
    <mergeCell ref="A1:X1"/>
    <mergeCell ref="A3:A5"/>
    <mergeCell ref="B3:C5"/>
    <mergeCell ref="D3:D5"/>
    <mergeCell ref="E3:I3"/>
    <mergeCell ref="J3:N3"/>
    <mergeCell ref="O3:S3"/>
    <mergeCell ref="T3:X3"/>
    <mergeCell ref="E4:E5"/>
    <mergeCell ref="F4:H4"/>
    <mergeCell ref="S4:S5"/>
    <mergeCell ref="T4:T5"/>
    <mergeCell ref="U4:W4"/>
    <mergeCell ref="X4:X5"/>
    <mergeCell ref="O4:O5"/>
    <mergeCell ref="P4:R4"/>
    <mergeCell ref="B7:C7"/>
    <mergeCell ref="I4:I5"/>
    <mergeCell ref="J4:J5"/>
    <mergeCell ref="K4:M4"/>
    <mergeCell ref="N4:N5"/>
    <mergeCell ref="B6:C6"/>
    <mergeCell ref="B22:C22"/>
    <mergeCell ref="B8:C8"/>
    <mergeCell ref="B10:C10"/>
    <mergeCell ref="B11:C11"/>
    <mergeCell ref="B12:C12"/>
    <mergeCell ref="B13:C13"/>
    <mergeCell ref="B15:C15"/>
    <mergeCell ref="B16:C16"/>
    <mergeCell ref="B18:C18"/>
    <mergeCell ref="B19:C19"/>
    <mergeCell ref="B20:C20"/>
    <mergeCell ref="B21:C21"/>
    <mergeCell ref="B26:C26"/>
    <mergeCell ref="B29:C29"/>
    <mergeCell ref="B34:C34"/>
    <mergeCell ref="B35:C35"/>
    <mergeCell ref="B36:C36"/>
  </mergeCells>
  <pageMargins left="0.70866141732283472" right="0.70866141732283472" top="0.78740157480314965" bottom="0.78740157480314965" header="0.31496062992125984" footer="0.31496062992125984"/>
  <pageSetup paperSize="9" scale="90" firstPageNumber="104" orientation="landscape" useFirstPageNumber="1" r:id="rId1"/>
  <headerFoot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6"/>
  <sheetViews>
    <sheetView topLeftCell="A91" workbookViewId="0">
      <selection activeCell="A107" sqref="A107:XFD107"/>
    </sheetView>
  </sheetViews>
  <sheetFormatPr defaultRowHeight="12.75" x14ac:dyDescent="0.2"/>
  <cols>
    <col min="1" max="1" width="135.5" style="240" customWidth="1"/>
    <col min="2" max="2" width="33.5" style="240" customWidth="1"/>
    <col min="3" max="5" width="25.75" style="240" customWidth="1"/>
    <col min="6" max="6" width="22.75" style="240" customWidth="1"/>
    <col min="7" max="16384" width="10" style="240"/>
  </cols>
  <sheetData>
    <row r="1" spans="1:9" s="425" customFormat="1" ht="18.75" x14ac:dyDescent="0.3">
      <c r="A1" s="425" t="s">
        <v>92</v>
      </c>
      <c r="B1" s="425" t="s">
        <v>91</v>
      </c>
    </row>
    <row r="3" spans="1:9" s="180" customFormat="1" ht="10.5" x14ac:dyDescent="0.15">
      <c r="A3" s="1039" t="s">
        <v>354</v>
      </c>
      <c r="B3" s="1039"/>
      <c r="C3" s="1039"/>
      <c r="D3" s="1039"/>
      <c r="E3" s="1039"/>
      <c r="F3" s="1039"/>
      <c r="G3" s="1039"/>
      <c r="H3" s="1039"/>
      <c r="I3" s="1039"/>
    </row>
    <row r="4" spans="1:9" s="181" customFormat="1" ht="11.25" x14ac:dyDescent="0.2"/>
    <row r="5" spans="1:9" s="182" customFormat="1" ht="9.75" x14ac:dyDescent="0.2">
      <c r="A5" s="1040" t="s">
        <v>93</v>
      </c>
      <c r="B5" s="1041"/>
      <c r="C5" s="420" t="s">
        <v>25</v>
      </c>
      <c r="D5" s="1042" t="s">
        <v>355</v>
      </c>
      <c r="E5" s="1042"/>
      <c r="F5" s="1042"/>
      <c r="G5" s="1042"/>
      <c r="H5" s="1042"/>
      <c r="I5" s="1042"/>
    </row>
    <row r="6" spans="1:9" s="181" customFormat="1" ht="15" customHeight="1" x14ac:dyDescent="0.2">
      <c r="A6" s="1043" t="s">
        <v>356</v>
      </c>
      <c r="B6" s="1043"/>
      <c r="C6" s="183">
        <f>SUM(C7:C9)</f>
        <v>347735.61</v>
      </c>
      <c r="D6" s="1044"/>
      <c r="E6" s="1045"/>
      <c r="F6" s="1045"/>
      <c r="G6" s="1045"/>
      <c r="H6" s="1045"/>
      <c r="I6" s="1045"/>
    </row>
    <row r="7" spans="1:9" s="181" customFormat="1" ht="37.5" customHeight="1" x14ac:dyDescent="0.2">
      <c r="A7" s="1046" t="s">
        <v>94</v>
      </c>
      <c r="B7" s="1047"/>
      <c r="C7" s="184">
        <v>284367.44</v>
      </c>
      <c r="D7" s="1048" t="s">
        <v>685</v>
      </c>
      <c r="E7" s="1048"/>
      <c r="F7" s="1048"/>
      <c r="G7" s="1048"/>
      <c r="H7" s="1048"/>
      <c r="I7" s="1048"/>
    </row>
    <row r="8" spans="1:9" s="180" customFormat="1" ht="39" customHeight="1" x14ac:dyDescent="0.15">
      <c r="A8" s="1049" t="s">
        <v>95</v>
      </c>
      <c r="B8" s="1050"/>
      <c r="C8" s="185">
        <v>63368.17</v>
      </c>
      <c r="D8" s="1048" t="s">
        <v>686</v>
      </c>
      <c r="E8" s="1048"/>
      <c r="F8" s="1048"/>
      <c r="G8" s="1048"/>
      <c r="H8" s="1048"/>
      <c r="I8" s="1048"/>
    </row>
    <row r="9" spans="1:9" s="180" customFormat="1" ht="15" customHeight="1" x14ac:dyDescent="0.15">
      <c r="A9" s="1049" t="s">
        <v>96</v>
      </c>
      <c r="B9" s="1050"/>
      <c r="C9" s="185"/>
      <c r="D9" s="1051"/>
      <c r="E9" s="1052"/>
      <c r="F9" s="1052"/>
      <c r="G9" s="1052"/>
      <c r="H9" s="1052"/>
      <c r="I9" s="1053"/>
    </row>
    <row r="10" spans="1:9" s="181" customFormat="1" ht="11.25" x14ac:dyDescent="0.2">
      <c r="C10" s="186"/>
    </row>
    <row r="11" spans="1:9" s="181" customFormat="1" ht="11.25" x14ac:dyDescent="0.2">
      <c r="A11" s="1039" t="s">
        <v>359</v>
      </c>
      <c r="B11" s="1039"/>
      <c r="C11" s="1039"/>
      <c r="D11" s="1039"/>
      <c r="E11" s="1039"/>
      <c r="F11" s="1039"/>
      <c r="G11" s="1039"/>
      <c r="H11" s="1039"/>
      <c r="I11" s="1039"/>
    </row>
    <row r="12" spans="1:9" s="181" customFormat="1" ht="11.25" x14ac:dyDescent="0.2">
      <c r="C12" s="186"/>
      <c r="D12" s="187"/>
      <c r="E12" s="187"/>
      <c r="F12" s="187"/>
      <c r="G12" s="187"/>
      <c r="H12" s="187"/>
      <c r="I12" s="187"/>
    </row>
    <row r="13" spans="1:9" s="190" customFormat="1" ht="9.75" x14ac:dyDescent="0.2">
      <c r="A13" s="420" t="s">
        <v>93</v>
      </c>
      <c r="B13" s="420" t="s">
        <v>97</v>
      </c>
      <c r="C13" s="420" t="s">
        <v>25</v>
      </c>
      <c r="D13" s="188"/>
      <c r="E13" s="189"/>
      <c r="F13" s="189"/>
      <c r="G13" s="189"/>
      <c r="H13" s="189"/>
      <c r="I13" s="189"/>
    </row>
    <row r="14" spans="1:9" s="181" customFormat="1" ht="15" customHeight="1" x14ac:dyDescent="0.2">
      <c r="A14" s="191" t="s">
        <v>98</v>
      </c>
      <c r="B14" s="192"/>
      <c r="C14" s="193">
        <v>22830.65</v>
      </c>
      <c r="D14" s="194"/>
      <c r="E14" s="195"/>
      <c r="F14" s="195"/>
      <c r="G14" s="195"/>
      <c r="H14" s="195"/>
      <c r="I14" s="195"/>
    </row>
    <row r="15" spans="1:9" s="181" customFormat="1" ht="15" customHeight="1" x14ac:dyDescent="0.2">
      <c r="A15" s="1037" t="s">
        <v>99</v>
      </c>
      <c r="B15" s="713" t="s">
        <v>687</v>
      </c>
      <c r="C15" s="714">
        <v>271903.57</v>
      </c>
      <c r="D15" s="194"/>
      <c r="E15" s="195"/>
      <c r="F15" s="195"/>
      <c r="G15" s="195"/>
      <c r="H15" s="195"/>
      <c r="I15" s="195"/>
    </row>
    <row r="16" spans="1:9" s="181" customFormat="1" ht="15" customHeight="1" x14ac:dyDescent="0.2">
      <c r="A16" s="1038"/>
      <c r="B16" s="196" t="s">
        <v>100</v>
      </c>
      <c r="C16" s="197">
        <v>33001.39</v>
      </c>
      <c r="D16" s="198"/>
      <c r="E16" s="199"/>
      <c r="F16" s="199"/>
      <c r="G16" s="199"/>
      <c r="H16" s="199"/>
      <c r="I16" s="199"/>
    </row>
    <row r="17" spans="1:9" s="181" customFormat="1" ht="15" customHeight="1" x14ac:dyDescent="0.2">
      <c r="A17" s="1345"/>
      <c r="B17" s="200" t="s">
        <v>101</v>
      </c>
      <c r="C17" s="202">
        <v>20000</v>
      </c>
      <c r="D17" s="203"/>
      <c r="E17" s="204"/>
      <c r="F17" s="204"/>
      <c r="G17" s="204"/>
      <c r="H17" s="204"/>
      <c r="I17" s="204"/>
    </row>
    <row r="18" spans="1:9" s="181" customFormat="1" ht="15" customHeight="1" x14ac:dyDescent="0.2">
      <c r="A18" s="421" t="s">
        <v>356</v>
      </c>
      <c r="B18" s="205"/>
      <c r="C18" s="206">
        <f>SUM(C14:C17)</f>
        <v>347735.61000000004</v>
      </c>
      <c r="D18" s="207"/>
      <c r="E18" s="207"/>
      <c r="F18" s="207"/>
      <c r="G18" s="207"/>
      <c r="H18" s="207"/>
      <c r="I18" s="207"/>
    </row>
    <row r="19" spans="1:9" s="209" customFormat="1" ht="11.25" x14ac:dyDescent="0.2">
      <c r="A19" s="208"/>
      <c r="C19" s="210"/>
      <c r="D19" s="211"/>
      <c r="E19" s="211"/>
      <c r="F19" s="211"/>
      <c r="G19" s="211"/>
      <c r="H19" s="211"/>
      <c r="I19" s="211"/>
    </row>
    <row r="20" spans="1:9" s="181" customFormat="1" ht="11.25" x14ac:dyDescent="0.2">
      <c r="A20" s="1039" t="s">
        <v>360</v>
      </c>
      <c r="B20" s="1039"/>
      <c r="C20" s="1039"/>
      <c r="D20" s="1039"/>
      <c r="E20" s="1039"/>
      <c r="F20" s="1039"/>
      <c r="G20" s="1039"/>
      <c r="H20" s="1039"/>
      <c r="I20" s="1039"/>
    </row>
    <row r="21" spans="1:9" s="181" customFormat="1" ht="11.25" x14ac:dyDescent="0.2">
      <c r="C21" s="186"/>
    </row>
    <row r="22" spans="1:9" s="212" customFormat="1" ht="9.75" x14ac:dyDescent="0.2">
      <c r="A22" s="420" t="s">
        <v>97</v>
      </c>
      <c r="B22" s="420" t="s">
        <v>361</v>
      </c>
      <c r="C22" s="423" t="s">
        <v>362</v>
      </c>
      <c r="D22" s="420" t="s">
        <v>363</v>
      </c>
      <c r="E22" s="420" t="s">
        <v>364</v>
      </c>
      <c r="F22" s="1042" t="s">
        <v>365</v>
      </c>
      <c r="G22" s="1042"/>
      <c r="H22" s="1042"/>
      <c r="I22" s="1042"/>
    </row>
    <row r="23" spans="1:9" s="181" customFormat="1" ht="13.5" customHeight="1" x14ac:dyDescent="0.2">
      <c r="A23" s="213" t="s">
        <v>102</v>
      </c>
      <c r="B23" s="214">
        <v>111030.8</v>
      </c>
      <c r="C23" s="214">
        <v>737674.98</v>
      </c>
      <c r="D23" s="214">
        <v>44033</v>
      </c>
      <c r="E23" s="214">
        <f>B23+C23-D23</f>
        <v>804672.78</v>
      </c>
      <c r="F23" s="1054" t="s">
        <v>688</v>
      </c>
      <c r="G23" s="1055"/>
      <c r="H23" s="1055"/>
      <c r="I23" s="1056"/>
    </row>
    <row r="24" spans="1:9" s="181" customFormat="1" ht="14.25" customHeight="1" x14ac:dyDescent="0.2">
      <c r="A24" s="196" t="s">
        <v>103</v>
      </c>
      <c r="B24" s="215">
        <v>184285.94</v>
      </c>
      <c r="C24" s="215">
        <v>549574.35</v>
      </c>
      <c r="D24" s="215">
        <v>600873</v>
      </c>
      <c r="E24" s="215">
        <f t="shared" ref="E24:E26" si="0">B24+C24-D24</f>
        <v>132987.29000000004</v>
      </c>
      <c r="F24" s="1057" t="s">
        <v>688</v>
      </c>
      <c r="G24" s="1058"/>
      <c r="H24" s="1058"/>
      <c r="I24" s="1059"/>
    </row>
    <row r="25" spans="1:9" s="181" customFormat="1" ht="13.5" customHeight="1" x14ac:dyDescent="0.2">
      <c r="A25" s="196" t="s">
        <v>101</v>
      </c>
      <c r="B25" s="215">
        <v>64447.15</v>
      </c>
      <c r="C25" s="215"/>
      <c r="D25" s="215">
        <v>2712</v>
      </c>
      <c r="E25" s="215">
        <f t="shared" si="0"/>
        <v>61735.15</v>
      </c>
      <c r="F25" s="1057" t="s">
        <v>688</v>
      </c>
      <c r="G25" s="1058"/>
      <c r="H25" s="1058"/>
      <c r="I25" s="1059"/>
    </row>
    <row r="26" spans="1:9" s="181" customFormat="1" ht="30.75" customHeight="1" x14ac:dyDescent="0.2">
      <c r="A26" s="200" t="s">
        <v>104</v>
      </c>
      <c r="B26" s="216">
        <v>319060.31</v>
      </c>
      <c r="C26" s="216">
        <v>368310</v>
      </c>
      <c r="D26" s="216">
        <v>178665</v>
      </c>
      <c r="E26" s="215">
        <f t="shared" si="0"/>
        <v>508705.31000000006</v>
      </c>
      <c r="F26" s="1060" t="s">
        <v>689</v>
      </c>
      <c r="G26" s="1061"/>
      <c r="H26" s="1061"/>
      <c r="I26" s="1062"/>
    </row>
    <row r="27" spans="1:9" s="180" customFormat="1" ht="10.5" x14ac:dyDescent="0.15">
      <c r="A27" s="217" t="s">
        <v>34</v>
      </c>
      <c r="B27" s="183">
        <f>SUM(B23:B26)</f>
        <v>678824.2</v>
      </c>
      <c r="C27" s="183">
        <f t="shared" ref="C27:E27" si="1">SUM(C23:C26)</f>
        <v>1655559.33</v>
      </c>
      <c r="D27" s="183">
        <f t="shared" si="1"/>
        <v>826283</v>
      </c>
      <c r="E27" s="183">
        <f t="shared" si="1"/>
        <v>1508100.5300000003</v>
      </c>
      <c r="F27" s="1063"/>
      <c r="G27" s="1063"/>
      <c r="H27" s="1063"/>
      <c r="I27" s="1064"/>
    </row>
    <row r="28" spans="1:9" s="181" customFormat="1" ht="11.25" x14ac:dyDescent="0.2">
      <c r="C28" s="186"/>
    </row>
    <row r="29" spans="1:9" s="181" customFormat="1" ht="11.25" x14ac:dyDescent="0.2">
      <c r="A29" s="1039" t="s">
        <v>370</v>
      </c>
      <c r="B29" s="1039"/>
      <c r="C29" s="1039"/>
      <c r="D29" s="1039"/>
      <c r="E29" s="1039"/>
      <c r="F29" s="1039"/>
      <c r="G29" s="1039"/>
      <c r="H29" s="1039"/>
      <c r="I29" s="1039"/>
    </row>
    <row r="30" spans="1:9" s="181" customFormat="1" ht="11.25" x14ac:dyDescent="0.2">
      <c r="C30" s="186"/>
    </row>
    <row r="31" spans="1:9" s="181" customFormat="1" ht="11.25" x14ac:dyDescent="0.2">
      <c r="A31" s="420" t="s">
        <v>105</v>
      </c>
      <c r="B31" s="420" t="s">
        <v>25</v>
      </c>
      <c r="C31" s="423" t="s">
        <v>106</v>
      </c>
      <c r="D31" s="1042" t="s">
        <v>107</v>
      </c>
      <c r="E31" s="1042"/>
      <c r="F31" s="1042"/>
      <c r="G31" s="1042"/>
      <c r="H31" s="1042"/>
      <c r="I31" s="1042"/>
    </row>
    <row r="32" spans="1:9" s="181" customFormat="1" ht="15" customHeight="1" x14ac:dyDescent="0.2">
      <c r="A32" s="218" t="s">
        <v>113</v>
      </c>
      <c r="B32" s="214"/>
      <c r="C32" s="219"/>
      <c r="D32" s="1065"/>
      <c r="E32" s="1066"/>
      <c r="F32" s="1066"/>
      <c r="G32" s="1066"/>
      <c r="H32" s="1066"/>
      <c r="I32" s="1067"/>
    </row>
    <row r="33" spans="1:9" s="180" customFormat="1" ht="11.25" x14ac:dyDescent="0.2">
      <c r="A33" s="217" t="s">
        <v>34</v>
      </c>
      <c r="B33" s="183">
        <f>SUM(B32:B32)</f>
        <v>0</v>
      </c>
      <c r="C33" s="1068"/>
      <c r="D33" s="1069"/>
      <c r="E33" s="1069"/>
      <c r="F33" s="1069"/>
      <c r="G33" s="1069"/>
      <c r="H33" s="1069"/>
      <c r="I33" s="1070"/>
    </row>
    <row r="34" spans="1:9" s="181" customFormat="1" ht="11.25" x14ac:dyDescent="0.2">
      <c r="C34" s="186"/>
    </row>
    <row r="35" spans="1:9" s="181" customFormat="1" ht="11.25" x14ac:dyDescent="0.2">
      <c r="A35" s="1039" t="s">
        <v>372</v>
      </c>
      <c r="B35" s="1039"/>
      <c r="C35" s="1039"/>
      <c r="D35" s="1039"/>
      <c r="E35" s="1039"/>
      <c r="F35" s="1039"/>
      <c r="G35" s="1039"/>
      <c r="H35" s="1039"/>
      <c r="I35" s="1039"/>
    </row>
    <row r="36" spans="1:9" s="181" customFormat="1" ht="11.25" x14ac:dyDescent="0.2">
      <c r="C36" s="186"/>
    </row>
    <row r="37" spans="1:9" s="181" customFormat="1" ht="11.25" x14ac:dyDescent="0.2">
      <c r="A37" s="420" t="s">
        <v>105</v>
      </c>
      <c r="B37" s="420" t="s">
        <v>25</v>
      </c>
      <c r="C37" s="423" t="s">
        <v>106</v>
      </c>
      <c r="D37" s="1071" t="s">
        <v>107</v>
      </c>
      <c r="E37" s="1071"/>
      <c r="F37" s="1071"/>
      <c r="G37" s="1071"/>
      <c r="H37" s="1071"/>
      <c r="I37" s="1072"/>
    </row>
    <row r="38" spans="1:9" s="181" customFormat="1" ht="15" customHeight="1" x14ac:dyDescent="0.2">
      <c r="A38" s="218" t="s">
        <v>690</v>
      </c>
      <c r="B38" s="214"/>
      <c r="C38" s="219"/>
      <c r="D38" s="1057"/>
      <c r="E38" s="1073"/>
      <c r="F38" s="1073"/>
      <c r="G38" s="1073"/>
      <c r="H38" s="1073"/>
      <c r="I38" s="1074"/>
    </row>
    <row r="39" spans="1:9" s="180" customFormat="1" ht="10.5" x14ac:dyDescent="0.15">
      <c r="A39" s="217" t="s">
        <v>34</v>
      </c>
      <c r="B39" s="183">
        <f>SUM(B38:B38)</f>
        <v>0</v>
      </c>
      <c r="C39" s="1075"/>
      <c r="D39" s="1076"/>
      <c r="E39" s="1076"/>
      <c r="F39" s="1076"/>
      <c r="G39" s="1076"/>
      <c r="H39" s="1076"/>
      <c r="I39" s="1076"/>
    </row>
    <row r="40" spans="1:9" s="181" customFormat="1" ht="11.25" x14ac:dyDescent="0.2">
      <c r="C40" s="186"/>
    </row>
    <row r="41" spans="1:9" s="181" customFormat="1" ht="11.25" x14ac:dyDescent="0.2">
      <c r="A41" s="1039" t="s">
        <v>374</v>
      </c>
      <c r="B41" s="1039"/>
      <c r="C41" s="1039"/>
      <c r="D41" s="1039"/>
      <c r="E41" s="1039"/>
      <c r="F41" s="1039"/>
      <c r="G41" s="1039"/>
      <c r="H41" s="1039"/>
      <c r="I41" s="1039"/>
    </row>
    <row r="42" spans="1:9" s="181" customFormat="1" ht="11.25" x14ac:dyDescent="0.2">
      <c r="C42" s="186"/>
    </row>
    <row r="43" spans="1:9" s="181" customFormat="1" ht="11.25" x14ac:dyDescent="0.2">
      <c r="A43" s="420" t="s">
        <v>25</v>
      </c>
      <c r="B43" s="423" t="s">
        <v>375</v>
      </c>
      <c r="C43" s="1077" t="s">
        <v>108</v>
      </c>
      <c r="D43" s="1077"/>
      <c r="E43" s="1077"/>
      <c r="F43" s="1077"/>
      <c r="G43" s="1077"/>
      <c r="H43" s="1077"/>
      <c r="I43" s="1078"/>
    </row>
    <row r="44" spans="1:9" s="181" customFormat="1" ht="11.25" x14ac:dyDescent="0.2">
      <c r="A44" s="715">
        <v>33117</v>
      </c>
      <c r="B44" s="715">
        <v>27564</v>
      </c>
      <c r="C44" s="1348" t="s">
        <v>691</v>
      </c>
      <c r="D44" s="1349"/>
      <c r="E44" s="1349"/>
      <c r="F44" s="1349"/>
      <c r="G44" s="1349"/>
      <c r="H44" s="1349"/>
      <c r="I44" s="1349"/>
    </row>
    <row r="45" spans="1:9" s="181" customFormat="1" ht="11.25" x14ac:dyDescent="0.2">
      <c r="A45" s="716">
        <v>8000</v>
      </c>
      <c r="B45" s="716">
        <v>8000</v>
      </c>
      <c r="C45" s="1346" t="s">
        <v>692</v>
      </c>
      <c r="D45" s="1347"/>
      <c r="E45" s="1347"/>
      <c r="F45" s="1347"/>
      <c r="G45" s="1347"/>
      <c r="H45" s="1347"/>
      <c r="I45" s="1347"/>
    </row>
    <row r="46" spans="1:9" s="181" customFormat="1" ht="11.25" x14ac:dyDescent="0.2">
      <c r="A46" s="230"/>
      <c r="B46" s="231">
        <v>2100</v>
      </c>
      <c r="C46" s="1127" t="s">
        <v>693</v>
      </c>
      <c r="D46" s="1127"/>
      <c r="E46" s="1127"/>
      <c r="F46" s="1127"/>
      <c r="G46" s="1127"/>
      <c r="H46" s="1127"/>
      <c r="I46" s="1128"/>
    </row>
    <row r="47" spans="1:9" s="180" customFormat="1" ht="10.5" x14ac:dyDescent="0.15">
      <c r="A47" s="183">
        <f>A44+A45+A46</f>
        <v>41117</v>
      </c>
      <c r="B47" s="183">
        <f>B44+B45+B46</f>
        <v>37664</v>
      </c>
      <c r="C47" s="1081" t="s">
        <v>34</v>
      </c>
      <c r="D47" s="1081"/>
      <c r="E47" s="1081"/>
      <c r="F47" s="1081"/>
      <c r="G47" s="1081"/>
      <c r="H47" s="1081"/>
      <c r="I47" s="1082"/>
    </row>
    <row r="48" spans="1:9" s="181" customFormat="1" ht="11.25" x14ac:dyDescent="0.2">
      <c r="C48" s="186"/>
    </row>
    <row r="49" spans="1:9" s="181" customFormat="1" ht="11.25" x14ac:dyDescent="0.2">
      <c r="A49" s="1039" t="s">
        <v>377</v>
      </c>
      <c r="B49" s="1039"/>
      <c r="C49" s="1039"/>
      <c r="D49" s="1039"/>
      <c r="E49" s="1039"/>
      <c r="F49" s="1039"/>
      <c r="G49" s="1039"/>
      <c r="H49" s="1039"/>
      <c r="I49" s="1039"/>
    </row>
    <row r="50" spans="1:9" s="181" customFormat="1" ht="11.25" x14ac:dyDescent="0.2">
      <c r="C50" s="186"/>
    </row>
    <row r="51" spans="1:9" s="232" customFormat="1" ht="11.25" x14ac:dyDescent="0.2">
      <c r="A51" s="1042" t="s">
        <v>109</v>
      </c>
      <c r="B51" s="1042"/>
      <c r="C51" s="423" t="s">
        <v>110</v>
      </c>
      <c r="D51" s="420" t="s">
        <v>111</v>
      </c>
      <c r="E51" s="420" t="s">
        <v>25</v>
      </c>
    </row>
    <row r="52" spans="1:9" s="181" customFormat="1" ht="11.25" x14ac:dyDescent="0.2">
      <c r="A52" s="717" t="s">
        <v>694</v>
      </c>
      <c r="B52" s="718" t="s">
        <v>199</v>
      </c>
      <c r="C52" s="719">
        <v>42779</v>
      </c>
      <c r="D52" s="719">
        <v>42803</v>
      </c>
      <c r="E52" s="720">
        <v>390000</v>
      </c>
    </row>
    <row r="53" spans="1:9" s="181" customFormat="1" ht="11.25" x14ac:dyDescent="0.2">
      <c r="A53" s="721" t="s">
        <v>695</v>
      </c>
      <c r="B53" s="722" t="s">
        <v>209</v>
      </c>
      <c r="C53" s="723">
        <v>42779</v>
      </c>
      <c r="D53" s="723">
        <v>42803</v>
      </c>
      <c r="E53" s="724">
        <v>390000</v>
      </c>
    </row>
    <row r="54" spans="1:9" s="181" customFormat="1" ht="11.25" x14ac:dyDescent="0.2">
      <c r="A54" s="717" t="s">
        <v>696</v>
      </c>
      <c r="B54" s="718" t="s">
        <v>264</v>
      </c>
      <c r="C54" s="719">
        <v>42789</v>
      </c>
      <c r="D54" s="719">
        <v>42886</v>
      </c>
      <c r="E54" s="720">
        <v>2520</v>
      </c>
    </row>
    <row r="55" spans="1:9" s="181" customFormat="1" ht="11.25" x14ac:dyDescent="0.2">
      <c r="A55" s="721" t="s">
        <v>697</v>
      </c>
      <c r="B55" s="722" t="s">
        <v>265</v>
      </c>
      <c r="C55" s="723">
        <v>42789</v>
      </c>
      <c r="D55" s="723">
        <v>42886</v>
      </c>
      <c r="E55" s="724">
        <v>-2520</v>
      </c>
    </row>
    <row r="56" spans="1:9" s="181" customFormat="1" ht="11.25" x14ac:dyDescent="0.2">
      <c r="A56" s="717" t="s">
        <v>698</v>
      </c>
      <c r="B56" s="718" t="s">
        <v>199</v>
      </c>
      <c r="C56" s="719">
        <v>42878</v>
      </c>
      <c r="D56" s="719">
        <v>42892</v>
      </c>
      <c r="E56" s="720">
        <v>37000</v>
      </c>
    </row>
    <row r="57" spans="1:9" s="181" customFormat="1" ht="11.25" x14ac:dyDescent="0.2">
      <c r="A57" s="721" t="s">
        <v>699</v>
      </c>
      <c r="B57" s="722" t="s">
        <v>700</v>
      </c>
      <c r="C57" s="723">
        <v>42878</v>
      </c>
      <c r="D57" s="723">
        <v>42892</v>
      </c>
      <c r="E57" s="724">
        <v>37000</v>
      </c>
    </row>
    <row r="58" spans="1:9" s="181" customFormat="1" ht="11.25" x14ac:dyDescent="0.2">
      <c r="A58" s="717" t="s">
        <v>701</v>
      </c>
      <c r="B58" s="718" t="s">
        <v>131</v>
      </c>
      <c r="C58" s="719">
        <v>42887</v>
      </c>
      <c r="D58" s="719">
        <v>42888</v>
      </c>
      <c r="E58" s="720">
        <v>2000</v>
      </c>
    </row>
    <row r="59" spans="1:9" s="181" customFormat="1" ht="11.25" x14ac:dyDescent="0.2">
      <c r="A59" s="721" t="s">
        <v>697</v>
      </c>
      <c r="B59" s="722" t="s">
        <v>211</v>
      </c>
      <c r="C59" s="723">
        <v>42887</v>
      </c>
      <c r="D59" s="723">
        <v>42888</v>
      </c>
      <c r="E59" s="724">
        <v>-2000</v>
      </c>
    </row>
    <row r="60" spans="1:9" s="181" customFormat="1" ht="11.25" x14ac:dyDescent="0.2">
      <c r="A60" s="717" t="s">
        <v>702</v>
      </c>
      <c r="B60" s="718" t="s">
        <v>205</v>
      </c>
      <c r="C60" s="719">
        <v>42915</v>
      </c>
      <c r="D60" s="719">
        <v>42916</v>
      </c>
      <c r="E60" s="720">
        <v>8000</v>
      </c>
    </row>
    <row r="61" spans="1:9" s="181" customFormat="1" ht="11.25" x14ac:dyDescent="0.2">
      <c r="A61" s="721" t="s">
        <v>703</v>
      </c>
      <c r="B61" s="722" t="s">
        <v>244</v>
      </c>
      <c r="C61" s="723">
        <v>42915</v>
      </c>
      <c r="D61" s="723">
        <v>42916</v>
      </c>
      <c r="E61" s="724">
        <v>8000</v>
      </c>
    </row>
    <row r="62" spans="1:9" s="181" customFormat="1" ht="11.25" x14ac:dyDescent="0.2">
      <c r="A62" s="717" t="s">
        <v>704</v>
      </c>
      <c r="B62" s="718" t="s">
        <v>705</v>
      </c>
      <c r="C62" s="719">
        <v>42913</v>
      </c>
      <c r="D62" s="719">
        <v>42916</v>
      </c>
      <c r="E62" s="720">
        <v>16000</v>
      </c>
    </row>
    <row r="63" spans="1:9" s="181" customFormat="1" ht="11.25" x14ac:dyDescent="0.2">
      <c r="A63" s="243" t="s">
        <v>706</v>
      </c>
      <c r="B63" s="351" t="s">
        <v>707</v>
      </c>
      <c r="C63" s="409">
        <v>42913</v>
      </c>
      <c r="D63" s="409">
        <v>42916</v>
      </c>
      <c r="E63" s="250">
        <v>4000</v>
      </c>
    </row>
    <row r="64" spans="1:9" s="181" customFormat="1" ht="11.25" x14ac:dyDescent="0.2">
      <c r="A64" s="243" t="s">
        <v>708</v>
      </c>
      <c r="B64" s="351" t="s">
        <v>709</v>
      </c>
      <c r="C64" s="409">
        <v>42913</v>
      </c>
      <c r="D64" s="409">
        <v>42916</v>
      </c>
      <c r="E64" s="250">
        <v>1440</v>
      </c>
    </row>
    <row r="65" spans="1:5" s="181" customFormat="1" ht="11.25" x14ac:dyDescent="0.2">
      <c r="A65" s="243" t="s">
        <v>710</v>
      </c>
      <c r="B65" s="351" t="s">
        <v>207</v>
      </c>
      <c r="C65" s="409">
        <v>42913</v>
      </c>
      <c r="D65" s="409">
        <v>42916</v>
      </c>
      <c r="E65" s="250">
        <v>2460</v>
      </c>
    </row>
    <row r="66" spans="1:5" s="181" customFormat="1" ht="11.25" x14ac:dyDescent="0.2">
      <c r="A66" s="721" t="s">
        <v>711</v>
      </c>
      <c r="B66" s="722" t="s">
        <v>265</v>
      </c>
      <c r="C66" s="723">
        <v>42913</v>
      </c>
      <c r="D66" s="723">
        <v>42916</v>
      </c>
      <c r="E66" s="724">
        <v>-23900</v>
      </c>
    </row>
    <row r="67" spans="1:5" s="181" customFormat="1" ht="11.25" x14ac:dyDescent="0.2">
      <c r="A67" s="717" t="s">
        <v>712</v>
      </c>
      <c r="B67" s="718" t="s">
        <v>209</v>
      </c>
      <c r="C67" s="719">
        <v>42774</v>
      </c>
      <c r="D67" s="719">
        <v>42947</v>
      </c>
      <c r="E67" s="720">
        <v>47000</v>
      </c>
    </row>
    <row r="68" spans="1:5" s="181" customFormat="1" ht="11.25" x14ac:dyDescent="0.2">
      <c r="A68" s="721" t="s">
        <v>713</v>
      </c>
      <c r="B68" s="722" t="s">
        <v>714</v>
      </c>
      <c r="C68" s="723">
        <v>42774</v>
      </c>
      <c r="D68" s="723">
        <v>42947</v>
      </c>
      <c r="E68" s="724">
        <v>47000</v>
      </c>
    </row>
    <row r="69" spans="1:5" s="181" customFormat="1" ht="11.25" x14ac:dyDescent="0.2">
      <c r="A69" s="717" t="s">
        <v>715</v>
      </c>
      <c r="B69" s="718" t="s">
        <v>212</v>
      </c>
      <c r="C69" s="719">
        <v>42969</v>
      </c>
      <c r="D69" s="719">
        <v>42983</v>
      </c>
      <c r="E69" s="720">
        <v>7155</v>
      </c>
    </row>
    <row r="70" spans="1:5" s="181" customFormat="1" ht="11.25" x14ac:dyDescent="0.2">
      <c r="A70" s="721" t="s">
        <v>711</v>
      </c>
      <c r="B70" s="722" t="s">
        <v>265</v>
      </c>
      <c r="C70" s="723">
        <v>42969</v>
      </c>
      <c r="D70" s="723">
        <v>42983</v>
      </c>
      <c r="E70" s="724">
        <v>-7155</v>
      </c>
    </row>
    <row r="71" spans="1:5" s="181" customFormat="1" ht="11.25" x14ac:dyDescent="0.2">
      <c r="A71" s="717" t="s">
        <v>716</v>
      </c>
      <c r="B71" s="718" t="s">
        <v>717</v>
      </c>
      <c r="C71" s="719">
        <v>42971</v>
      </c>
      <c r="D71" s="719">
        <v>43089</v>
      </c>
      <c r="E71" s="720">
        <v>27564</v>
      </c>
    </row>
    <row r="72" spans="1:5" s="181" customFormat="1" ht="11.25" x14ac:dyDescent="0.2">
      <c r="A72" s="721" t="s">
        <v>718</v>
      </c>
      <c r="B72" s="722" t="s">
        <v>205</v>
      </c>
      <c r="C72" s="723">
        <v>42971</v>
      </c>
      <c r="D72" s="723">
        <v>43089</v>
      </c>
      <c r="E72" s="724">
        <v>27564</v>
      </c>
    </row>
    <row r="73" spans="1:5" s="181" customFormat="1" ht="11.25" x14ac:dyDescent="0.2">
      <c r="A73" s="717" t="s">
        <v>719</v>
      </c>
      <c r="B73" s="718" t="s">
        <v>720</v>
      </c>
      <c r="C73" s="719">
        <v>43025</v>
      </c>
      <c r="D73" s="719">
        <v>43026</v>
      </c>
      <c r="E73" s="720">
        <v>-15000</v>
      </c>
    </row>
    <row r="74" spans="1:5" s="181" customFormat="1" ht="11.25" x14ac:dyDescent="0.2">
      <c r="A74" s="721" t="s">
        <v>721</v>
      </c>
      <c r="B74" s="722" t="s">
        <v>244</v>
      </c>
      <c r="C74" s="723">
        <v>43025</v>
      </c>
      <c r="D74" s="723">
        <v>43026</v>
      </c>
      <c r="E74" s="724">
        <v>15000</v>
      </c>
    </row>
    <row r="75" spans="1:5" s="181" customFormat="1" ht="11.25" x14ac:dyDescent="0.2">
      <c r="A75" s="717" t="s">
        <v>722</v>
      </c>
      <c r="B75" s="718" t="s">
        <v>262</v>
      </c>
      <c r="C75" s="719">
        <v>43025</v>
      </c>
      <c r="D75" s="719">
        <v>43026</v>
      </c>
      <c r="E75" s="720">
        <v>600</v>
      </c>
    </row>
    <row r="76" spans="1:5" s="181" customFormat="1" ht="11.25" x14ac:dyDescent="0.2">
      <c r="A76" s="243" t="s">
        <v>723</v>
      </c>
      <c r="B76" s="351" t="s">
        <v>263</v>
      </c>
      <c r="C76" s="409">
        <v>43025</v>
      </c>
      <c r="D76" s="409">
        <v>43026</v>
      </c>
      <c r="E76" s="250">
        <v>-500</v>
      </c>
    </row>
    <row r="77" spans="1:5" s="181" customFormat="1" ht="11.25" x14ac:dyDescent="0.2">
      <c r="A77" s="721" t="s">
        <v>724</v>
      </c>
      <c r="B77" s="722" t="s">
        <v>128</v>
      </c>
      <c r="C77" s="723">
        <v>43025</v>
      </c>
      <c r="D77" s="723">
        <v>43026</v>
      </c>
      <c r="E77" s="724">
        <v>-100</v>
      </c>
    </row>
    <row r="78" spans="1:5" s="181" customFormat="1" ht="11.25" x14ac:dyDescent="0.2">
      <c r="A78" s="717" t="s">
        <v>725</v>
      </c>
      <c r="B78" s="718" t="s">
        <v>212</v>
      </c>
      <c r="C78" s="719">
        <v>43045</v>
      </c>
      <c r="D78" s="719">
        <v>43046</v>
      </c>
      <c r="E78" s="720">
        <v>-526</v>
      </c>
    </row>
    <row r="79" spans="1:5" s="181" customFormat="1" ht="11.25" x14ac:dyDescent="0.2">
      <c r="A79" s="721" t="s">
        <v>726</v>
      </c>
      <c r="B79" s="722" t="s">
        <v>265</v>
      </c>
      <c r="C79" s="723">
        <v>43045</v>
      </c>
      <c r="D79" s="723">
        <v>43046</v>
      </c>
      <c r="E79" s="724">
        <v>526</v>
      </c>
    </row>
    <row r="80" spans="1:5" s="181" customFormat="1" ht="11.25" x14ac:dyDescent="0.2">
      <c r="A80" s="717" t="s">
        <v>727</v>
      </c>
      <c r="B80" s="718" t="s">
        <v>120</v>
      </c>
      <c r="C80" s="719">
        <v>43089</v>
      </c>
      <c r="D80" s="719">
        <v>43098</v>
      </c>
      <c r="E80" s="720">
        <v>17682</v>
      </c>
    </row>
    <row r="81" spans="1:5" s="181" customFormat="1" ht="11.25" x14ac:dyDescent="0.2">
      <c r="A81" s="243" t="s">
        <v>697</v>
      </c>
      <c r="B81" s="351" t="s">
        <v>211</v>
      </c>
      <c r="C81" s="409">
        <v>43089</v>
      </c>
      <c r="D81" s="409">
        <v>43098</v>
      </c>
      <c r="E81" s="250">
        <v>-10000</v>
      </c>
    </row>
    <row r="82" spans="1:5" s="181" customFormat="1" ht="11.25" x14ac:dyDescent="0.2">
      <c r="A82" s="721" t="s">
        <v>728</v>
      </c>
      <c r="B82" s="722" t="s">
        <v>729</v>
      </c>
      <c r="C82" s="723">
        <v>43089</v>
      </c>
      <c r="D82" s="723">
        <v>43098</v>
      </c>
      <c r="E82" s="724">
        <v>7682</v>
      </c>
    </row>
    <row r="83" spans="1:5" s="181" customFormat="1" ht="11.25" x14ac:dyDescent="0.2">
      <c r="A83" s="717" t="s">
        <v>730</v>
      </c>
      <c r="B83" s="718" t="s">
        <v>731</v>
      </c>
      <c r="C83" s="719">
        <v>43089</v>
      </c>
      <c r="D83" s="719">
        <v>43090</v>
      </c>
      <c r="E83" s="720">
        <v>6950</v>
      </c>
    </row>
    <row r="84" spans="1:5" s="181" customFormat="1" ht="11.25" x14ac:dyDescent="0.2">
      <c r="A84" s="721" t="s">
        <v>732</v>
      </c>
      <c r="B84" s="722" t="s">
        <v>733</v>
      </c>
      <c r="C84" s="723">
        <v>43089</v>
      </c>
      <c r="D84" s="723">
        <v>43090</v>
      </c>
      <c r="E84" s="724">
        <v>6950</v>
      </c>
    </row>
    <row r="85" spans="1:5" s="181" customFormat="1" ht="11.25" x14ac:dyDescent="0.2">
      <c r="A85" s="717" t="s">
        <v>734</v>
      </c>
      <c r="B85" s="718" t="s">
        <v>209</v>
      </c>
      <c r="C85" s="719">
        <v>43070</v>
      </c>
      <c r="D85" s="719">
        <v>43072</v>
      </c>
      <c r="E85" s="720">
        <v>-148230</v>
      </c>
    </row>
    <row r="86" spans="1:5" s="181" customFormat="1" ht="11.25" x14ac:dyDescent="0.2">
      <c r="A86" s="721" t="s">
        <v>735</v>
      </c>
      <c r="B86" s="722" t="s">
        <v>123</v>
      </c>
      <c r="C86" s="723">
        <v>43070</v>
      </c>
      <c r="D86" s="723">
        <v>43072</v>
      </c>
      <c r="E86" s="724">
        <v>148230</v>
      </c>
    </row>
    <row r="87" spans="1:5" s="181" customFormat="1" ht="11.25" x14ac:dyDescent="0.2">
      <c r="A87" s="717" t="s">
        <v>736</v>
      </c>
      <c r="B87" s="718" t="s">
        <v>130</v>
      </c>
      <c r="C87" s="719">
        <v>43070</v>
      </c>
      <c r="D87" s="719">
        <v>43072</v>
      </c>
      <c r="E87" s="720">
        <v>-10000</v>
      </c>
    </row>
    <row r="88" spans="1:5" s="181" customFormat="1" ht="11.25" x14ac:dyDescent="0.2">
      <c r="A88" s="721" t="s">
        <v>735</v>
      </c>
      <c r="B88" s="722" t="s">
        <v>123</v>
      </c>
      <c r="C88" s="723">
        <v>43070</v>
      </c>
      <c r="D88" s="723">
        <v>43072</v>
      </c>
      <c r="E88" s="724">
        <v>10000</v>
      </c>
    </row>
    <row r="89" spans="1:5" s="181" customFormat="1" ht="11.25" x14ac:dyDescent="0.2">
      <c r="A89" s="717" t="s">
        <v>701</v>
      </c>
      <c r="B89" s="718" t="s">
        <v>131</v>
      </c>
      <c r="C89" s="719">
        <v>43070</v>
      </c>
      <c r="D89" s="719">
        <v>43072</v>
      </c>
      <c r="E89" s="720">
        <v>1200</v>
      </c>
    </row>
    <row r="90" spans="1:5" s="181" customFormat="1" ht="11.25" x14ac:dyDescent="0.2">
      <c r="A90" s="721" t="s">
        <v>737</v>
      </c>
      <c r="B90" s="722" t="s">
        <v>738</v>
      </c>
      <c r="C90" s="723">
        <v>43070</v>
      </c>
      <c r="D90" s="723">
        <v>43072</v>
      </c>
      <c r="E90" s="724">
        <v>-1200</v>
      </c>
    </row>
    <row r="91" spans="1:5" s="181" customFormat="1" ht="11.25" x14ac:dyDescent="0.2">
      <c r="A91" s="717" t="s">
        <v>739</v>
      </c>
      <c r="B91" s="718" t="s">
        <v>493</v>
      </c>
      <c r="C91" s="719">
        <v>43087</v>
      </c>
      <c r="D91" s="719">
        <v>43090</v>
      </c>
      <c r="E91" s="720">
        <v>20500</v>
      </c>
    </row>
    <row r="92" spans="1:5" s="181" customFormat="1" ht="11.25" x14ac:dyDescent="0.2">
      <c r="A92" s="721" t="s">
        <v>740</v>
      </c>
      <c r="B92" s="722" t="s">
        <v>129</v>
      </c>
      <c r="C92" s="723">
        <v>43087</v>
      </c>
      <c r="D92" s="723">
        <v>43090</v>
      </c>
      <c r="E92" s="724">
        <v>20500</v>
      </c>
    </row>
    <row r="93" spans="1:5" s="181" customFormat="1" ht="11.25" x14ac:dyDescent="0.2">
      <c r="A93" s="717" t="s">
        <v>735</v>
      </c>
      <c r="B93" s="718" t="s">
        <v>123</v>
      </c>
      <c r="C93" s="719">
        <v>43087</v>
      </c>
      <c r="D93" s="719">
        <v>43090</v>
      </c>
      <c r="E93" s="720">
        <v>55039</v>
      </c>
    </row>
    <row r="94" spans="1:5" s="181" customFormat="1" ht="11.25" x14ac:dyDescent="0.2">
      <c r="A94" s="243" t="s">
        <v>741</v>
      </c>
      <c r="B94" s="351" t="s">
        <v>211</v>
      </c>
      <c r="C94" s="409">
        <v>43087</v>
      </c>
      <c r="D94" s="409">
        <v>43090</v>
      </c>
      <c r="E94" s="250">
        <v>1494</v>
      </c>
    </row>
    <row r="95" spans="1:5" s="181" customFormat="1" ht="11.25" x14ac:dyDescent="0.2">
      <c r="A95" s="243" t="s">
        <v>742</v>
      </c>
      <c r="B95" s="351" t="s">
        <v>743</v>
      </c>
      <c r="C95" s="409">
        <v>43087</v>
      </c>
      <c r="D95" s="409">
        <v>43090</v>
      </c>
      <c r="E95" s="250">
        <v>11985</v>
      </c>
    </row>
    <row r="96" spans="1:5" s="181" customFormat="1" ht="11.25" x14ac:dyDescent="0.2">
      <c r="A96" s="721" t="s">
        <v>744</v>
      </c>
      <c r="B96" s="722" t="s">
        <v>729</v>
      </c>
      <c r="C96" s="723">
        <v>43087</v>
      </c>
      <c r="D96" s="723">
        <v>43090</v>
      </c>
      <c r="E96" s="724">
        <v>44548</v>
      </c>
    </row>
    <row r="97" spans="1:5" s="181" customFormat="1" ht="11.25" x14ac:dyDescent="0.2">
      <c r="A97" s="717" t="s">
        <v>745</v>
      </c>
      <c r="B97" s="718" t="s">
        <v>123</v>
      </c>
      <c r="C97" s="719">
        <v>43087</v>
      </c>
      <c r="D97" s="719">
        <v>43090</v>
      </c>
      <c r="E97" s="720">
        <v>1494</v>
      </c>
    </row>
    <row r="98" spans="1:5" s="181" customFormat="1" ht="11.25" x14ac:dyDescent="0.2">
      <c r="A98" s="721" t="s">
        <v>746</v>
      </c>
      <c r="B98" s="722" t="s">
        <v>211</v>
      </c>
      <c r="C98" s="723">
        <v>43087</v>
      </c>
      <c r="D98" s="723">
        <v>43090</v>
      </c>
      <c r="E98" s="724">
        <v>-1494</v>
      </c>
    </row>
    <row r="99" spans="1:5" s="181" customFormat="1" ht="11.25" x14ac:dyDescent="0.2">
      <c r="A99" s="717" t="s">
        <v>735</v>
      </c>
      <c r="B99" s="718" t="s">
        <v>123</v>
      </c>
      <c r="C99" s="719">
        <v>43091</v>
      </c>
      <c r="D99" s="719">
        <v>43096</v>
      </c>
      <c r="E99" s="720">
        <v>42770</v>
      </c>
    </row>
    <row r="100" spans="1:5" s="181" customFormat="1" ht="11.25" x14ac:dyDescent="0.2">
      <c r="A100" s="721" t="s">
        <v>744</v>
      </c>
      <c r="B100" s="722" t="s">
        <v>729</v>
      </c>
      <c r="C100" s="723">
        <v>43091</v>
      </c>
      <c r="D100" s="723">
        <v>43096</v>
      </c>
      <c r="E100" s="724">
        <v>42770</v>
      </c>
    </row>
    <row r="101" spans="1:5" s="181" customFormat="1" ht="11.25" x14ac:dyDescent="0.2">
      <c r="A101" s="717" t="s">
        <v>747</v>
      </c>
      <c r="B101" s="718" t="s">
        <v>248</v>
      </c>
      <c r="C101" s="719">
        <v>43091</v>
      </c>
      <c r="D101" s="719">
        <v>43096</v>
      </c>
      <c r="E101" s="720">
        <v>780</v>
      </c>
    </row>
    <row r="102" spans="1:5" s="181" customFormat="1" ht="11.25" x14ac:dyDescent="0.2">
      <c r="A102" s="721" t="s">
        <v>697</v>
      </c>
      <c r="B102" s="722" t="s">
        <v>211</v>
      </c>
      <c r="C102" s="723">
        <v>43091</v>
      </c>
      <c r="D102" s="723">
        <v>43096</v>
      </c>
      <c r="E102" s="724">
        <v>-780</v>
      </c>
    </row>
    <row r="103" spans="1:5" s="181" customFormat="1" ht="11.25" x14ac:dyDescent="0.2">
      <c r="A103" s="717" t="s">
        <v>748</v>
      </c>
      <c r="B103" s="718" t="s">
        <v>120</v>
      </c>
      <c r="C103" s="719">
        <v>43097</v>
      </c>
      <c r="D103" s="719">
        <v>43098</v>
      </c>
      <c r="E103" s="720">
        <v>472</v>
      </c>
    </row>
    <row r="104" spans="1:5" s="181" customFormat="1" ht="11.25" x14ac:dyDescent="0.2">
      <c r="A104" s="721" t="s">
        <v>749</v>
      </c>
      <c r="B104" s="722" t="s">
        <v>265</v>
      </c>
      <c r="C104" s="723">
        <v>43097</v>
      </c>
      <c r="D104" s="723">
        <v>43098</v>
      </c>
      <c r="E104" s="724">
        <v>-472</v>
      </c>
    </row>
    <row r="105" spans="1:5" s="181" customFormat="1" ht="11.25" x14ac:dyDescent="0.2">
      <c r="A105" s="717" t="s">
        <v>750</v>
      </c>
      <c r="B105" s="718" t="s">
        <v>751</v>
      </c>
      <c r="C105" s="719">
        <v>43109</v>
      </c>
      <c r="D105" s="719">
        <v>43109</v>
      </c>
      <c r="E105" s="720">
        <v>2712</v>
      </c>
    </row>
    <row r="106" spans="1:5" s="181" customFormat="1" ht="11.25" x14ac:dyDescent="0.2">
      <c r="A106" s="721" t="s">
        <v>752</v>
      </c>
      <c r="B106" s="722" t="s">
        <v>201</v>
      </c>
      <c r="C106" s="723">
        <v>43109</v>
      </c>
      <c r="D106" s="723">
        <v>43109</v>
      </c>
      <c r="E106" s="724">
        <v>2712</v>
      </c>
    </row>
    <row r="107" spans="1:5" s="181" customFormat="1" ht="11.25" x14ac:dyDescent="0.2">
      <c r="A107" s="717" t="s">
        <v>753</v>
      </c>
      <c r="B107" s="718" t="s">
        <v>754</v>
      </c>
      <c r="C107" s="719">
        <v>43109</v>
      </c>
      <c r="D107" s="719">
        <v>43109</v>
      </c>
      <c r="E107" s="720">
        <v>393</v>
      </c>
    </row>
    <row r="108" spans="1:5" s="181" customFormat="1" ht="11.25" x14ac:dyDescent="0.2">
      <c r="A108" s="243" t="s">
        <v>755</v>
      </c>
      <c r="B108" s="351" t="s">
        <v>756</v>
      </c>
      <c r="C108" s="409">
        <v>43109</v>
      </c>
      <c r="D108" s="409">
        <v>43109</v>
      </c>
      <c r="E108" s="250">
        <v>244</v>
      </c>
    </row>
    <row r="109" spans="1:5" s="181" customFormat="1" ht="11.25" x14ac:dyDescent="0.2">
      <c r="A109" s="721" t="s">
        <v>757</v>
      </c>
      <c r="B109" s="722" t="s">
        <v>207</v>
      </c>
      <c r="C109" s="723">
        <v>43109</v>
      </c>
      <c r="D109" s="723">
        <v>43109</v>
      </c>
      <c r="E109" s="724">
        <v>-637</v>
      </c>
    </row>
    <row r="110" spans="1:5" s="181" customFormat="1" ht="11.25" x14ac:dyDescent="0.2">
      <c r="A110" s="717" t="s">
        <v>758</v>
      </c>
      <c r="B110" s="718" t="s">
        <v>759</v>
      </c>
      <c r="C110" s="719">
        <v>42870</v>
      </c>
      <c r="D110" s="719">
        <v>42873</v>
      </c>
      <c r="E110" s="720">
        <v>34000</v>
      </c>
    </row>
    <row r="111" spans="1:5" s="181" customFormat="1" ht="11.25" x14ac:dyDescent="0.2">
      <c r="A111" s="721" t="s">
        <v>760</v>
      </c>
      <c r="B111" s="722" t="s">
        <v>761</v>
      </c>
      <c r="C111" s="723">
        <v>42870</v>
      </c>
      <c r="D111" s="723">
        <v>42873</v>
      </c>
      <c r="E111" s="724">
        <v>34000</v>
      </c>
    </row>
    <row r="112" spans="1:5" s="181" customFormat="1" ht="11.25" x14ac:dyDescent="0.2">
      <c r="A112" s="717" t="s">
        <v>762</v>
      </c>
      <c r="B112" s="718" t="s">
        <v>292</v>
      </c>
      <c r="C112" s="719">
        <v>43080</v>
      </c>
      <c r="D112" s="719">
        <v>43081</v>
      </c>
      <c r="E112" s="720">
        <v>12000</v>
      </c>
    </row>
    <row r="113" spans="1:9" s="181" customFormat="1" ht="11.25" x14ac:dyDescent="0.2">
      <c r="A113" s="721" t="s">
        <v>760</v>
      </c>
      <c r="B113" s="722" t="s">
        <v>761</v>
      </c>
      <c r="C113" s="723">
        <v>43080</v>
      </c>
      <c r="D113" s="723">
        <v>43081</v>
      </c>
      <c r="E113" s="724">
        <v>12000</v>
      </c>
    </row>
    <row r="114" spans="1:9" s="181" customFormat="1" ht="11.25" x14ac:dyDescent="0.2">
      <c r="A114" s="717" t="s">
        <v>763</v>
      </c>
      <c r="B114" s="718" t="s">
        <v>214</v>
      </c>
      <c r="C114" s="719">
        <v>43097</v>
      </c>
      <c r="D114" s="719">
        <v>43098</v>
      </c>
      <c r="E114" s="720">
        <v>250</v>
      </c>
    </row>
    <row r="115" spans="1:9" s="181" customFormat="1" ht="11.25" x14ac:dyDescent="0.2">
      <c r="A115" s="243" t="s">
        <v>764</v>
      </c>
      <c r="B115" s="351" t="s">
        <v>295</v>
      </c>
      <c r="C115" s="409">
        <v>43097</v>
      </c>
      <c r="D115" s="409">
        <v>43098</v>
      </c>
      <c r="E115" s="250">
        <v>180</v>
      </c>
    </row>
    <row r="116" spans="1:9" s="181" customFormat="1" ht="11.25" x14ac:dyDescent="0.2">
      <c r="A116" s="243" t="s">
        <v>765</v>
      </c>
      <c r="B116" s="351" t="s">
        <v>766</v>
      </c>
      <c r="C116" s="409">
        <v>43097</v>
      </c>
      <c r="D116" s="409">
        <v>43098</v>
      </c>
      <c r="E116" s="250">
        <v>200</v>
      </c>
    </row>
    <row r="117" spans="1:9" s="181" customFormat="1" ht="11.25" x14ac:dyDescent="0.2">
      <c r="A117" s="243" t="s">
        <v>767</v>
      </c>
      <c r="B117" s="351" t="s">
        <v>768</v>
      </c>
      <c r="C117" s="409">
        <v>43097</v>
      </c>
      <c r="D117" s="409">
        <v>43098</v>
      </c>
      <c r="E117" s="250">
        <v>550</v>
      </c>
    </row>
    <row r="118" spans="1:9" s="181" customFormat="1" ht="11.25" x14ac:dyDescent="0.2">
      <c r="A118" s="721" t="s">
        <v>769</v>
      </c>
      <c r="B118" s="722" t="s">
        <v>770</v>
      </c>
      <c r="C118" s="723">
        <v>43097</v>
      </c>
      <c r="D118" s="723">
        <v>43098</v>
      </c>
      <c r="E118" s="724">
        <v>-1180</v>
      </c>
    </row>
    <row r="119" spans="1:9" s="181" customFormat="1" ht="11.25" x14ac:dyDescent="0.2">
      <c r="A119" s="717" t="s">
        <v>771</v>
      </c>
      <c r="B119" s="718" t="s">
        <v>772</v>
      </c>
      <c r="C119" s="719">
        <v>43097</v>
      </c>
      <c r="D119" s="719">
        <v>43098</v>
      </c>
      <c r="E119" s="720">
        <v>5</v>
      </c>
    </row>
    <row r="120" spans="1:9" s="181" customFormat="1" ht="11.25" x14ac:dyDescent="0.2">
      <c r="A120" s="721" t="s">
        <v>773</v>
      </c>
      <c r="B120" s="722" t="s">
        <v>774</v>
      </c>
      <c r="C120" s="723">
        <v>43097</v>
      </c>
      <c r="D120" s="723">
        <v>43098</v>
      </c>
      <c r="E120" s="724">
        <v>-5</v>
      </c>
    </row>
    <row r="121" spans="1:9" s="181" customFormat="1" ht="11.25" x14ac:dyDescent="0.2">
      <c r="A121" s="717" t="s">
        <v>775</v>
      </c>
      <c r="B121" s="718" t="s">
        <v>300</v>
      </c>
      <c r="C121" s="719">
        <v>42969</v>
      </c>
      <c r="D121" s="719">
        <v>43098</v>
      </c>
      <c r="E121" s="720">
        <v>6536</v>
      </c>
    </row>
    <row r="122" spans="1:9" s="181" customFormat="1" ht="11.25" x14ac:dyDescent="0.2">
      <c r="A122" s="721" t="s">
        <v>762</v>
      </c>
      <c r="B122" s="722" t="s">
        <v>292</v>
      </c>
      <c r="C122" s="723">
        <v>42969</v>
      </c>
      <c r="D122" s="723">
        <v>43098</v>
      </c>
      <c r="E122" s="724">
        <v>6536</v>
      </c>
    </row>
    <row r="123" spans="1:9" s="181" customFormat="1" ht="11.25" x14ac:dyDescent="0.2">
      <c r="A123" s="243"/>
      <c r="B123" s="242"/>
      <c r="C123" s="249"/>
      <c r="D123" s="249"/>
      <c r="E123" s="250"/>
    </row>
    <row r="124" spans="1:9" s="181" customFormat="1" ht="11.25" x14ac:dyDescent="0.2">
      <c r="A124" s="1083" t="s">
        <v>397</v>
      </c>
      <c r="B124" s="1083"/>
      <c r="C124" s="1083"/>
      <c r="D124" s="1083"/>
      <c r="E124" s="1083"/>
      <c r="F124" s="1083"/>
      <c r="G124" s="1083"/>
      <c r="H124" s="1083"/>
      <c r="I124" s="1083"/>
    </row>
    <row r="125" spans="1:9" s="181" customFormat="1" ht="11.25" x14ac:dyDescent="0.2">
      <c r="A125" s="181" t="s">
        <v>776</v>
      </c>
    </row>
    <row r="126" spans="1:9" s="181" customFormat="1" ht="11.25" x14ac:dyDescent="0.2">
      <c r="A126" s="1034" t="s">
        <v>777</v>
      </c>
      <c r="B126" s="1035"/>
      <c r="C126" s="1035"/>
      <c r="D126" s="1035"/>
      <c r="E126" s="1035"/>
      <c r="F126" s="1035"/>
      <c r="G126" s="1035"/>
      <c r="H126" s="1035"/>
      <c r="I126" s="1036"/>
    </row>
    <row r="127" spans="1:9" s="181" customFormat="1" ht="11.25" x14ac:dyDescent="0.2">
      <c r="A127" s="1034"/>
      <c r="B127" s="1035"/>
      <c r="C127" s="1035"/>
      <c r="D127" s="1035"/>
      <c r="E127" s="1035"/>
      <c r="F127" s="1035"/>
      <c r="G127" s="1035"/>
      <c r="H127" s="1035"/>
      <c r="I127" s="1036"/>
    </row>
    <row r="128" spans="1:9" s="181" customFormat="1" ht="0.75" customHeight="1" x14ac:dyDescent="0.2">
      <c r="A128" s="1034"/>
      <c r="B128" s="1035"/>
      <c r="C128" s="1035"/>
      <c r="D128" s="1035"/>
      <c r="E128" s="1035"/>
      <c r="F128" s="1035"/>
      <c r="G128" s="1035"/>
      <c r="H128" s="1035"/>
      <c r="I128" s="1036"/>
    </row>
    <row r="129" spans="1:9" s="181" customFormat="1" ht="11.25" hidden="1" x14ac:dyDescent="0.2"/>
    <row r="130" spans="1:9" s="180" customFormat="1" ht="10.5" x14ac:dyDescent="0.15">
      <c r="A130" s="1039" t="s">
        <v>399</v>
      </c>
      <c r="B130" s="1039"/>
      <c r="C130" s="1039"/>
      <c r="D130" s="1039"/>
      <c r="E130" s="1039"/>
      <c r="F130" s="1039"/>
      <c r="G130" s="1039"/>
      <c r="H130" s="1039"/>
      <c r="I130" s="1039"/>
    </row>
    <row r="131" spans="1:9" s="181" customFormat="1" ht="11.25" x14ac:dyDescent="0.2">
      <c r="A131" s="181" t="s">
        <v>112</v>
      </c>
    </row>
    <row r="132" spans="1:9" s="181" customFormat="1" ht="30.75" customHeight="1" x14ac:dyDescent="0.2">
      <c r="A132" s="1034" t="s">
        <v>778</v>
      </c>
      <c r="B132" s="1035"/>
      <c r="C132" s="1035"/>
      <c r="D132" s="1035"/>
      <c r="E132" s="1035"/>
      <c r="F132" s="1035"/>
      <c r="G132" s="1035"/>
      <c r="H132" s="1035"/>
      <c r="I132" s="1036"/>
    </row>
    <row r="135" spans="1:9" x14ac:dyDescent="0.2">
      <c r="A135" s="239"/>
    </row>
    <row r="136" spans="1:9" x14ac:dyDescent="0.2">
      <c r="A136" s="239"/>
    </row>
  </sheetData>
  <mergeCells count="42">
    <mergeCell ref="A49:I49"/>
    <mergeCell ref="A51:B51"/>
    <mergeCell ref="D32:I32"/>
    <mergeCell ref="C33:I33"/>
    <mergeCell ref="C45:I45"/>
    <mergeCell ref="C46:I46"/>
    <mergeCell ref="C47:I47"/>
    <mergeCell ref="C43:I43"/>
    <mergeCell ref="C44:I44"/>
    <mergeCell ref="A35:I35"/>
    <mergeCell ref="D37:I37"/>
    <mergeCell ref="D38:I38"/>
    <mergeCell ref="C39:I39"/>
    <mergeCell ref="A41:I41"/>
    <mergeCell ref="F25:I25"/>
    <mergeCell ref="F26:I26"/>
    <mergeCell ref="F27:I27"/>
    <mergeCell ref="A29:I29"/>
    <mergeCell ref="D31:I31"/>
    <mergeCell ref="F24:I24"/>
    <mergeCell ref="A7:B7"/>
    <mergeCell ref="D7:I7"/>
    <mergeCell ref="A8:B8"/>
    <mergeCell ref="D8:I8"/>
    <mergeCell ref="A9:B9"/>
    <mergeCell ref="D9:I9"/>
    <mergeCell ref="A11:I11"/>
    <mergeCell ref="A15:A17"/>
    <mergeCell ref="A20:I20"/>
    <mergeCell ref="F22:I22"/>
    <mergeCell ref="F23:I23"/>
    <mergeCell ref="A3:I3"/>
    <mergeCell ref="A5:B5"/>
    <mergeCell ref="D5:I5"/>
    <mergeCell ref="A6:B6"/>
    <mergeCell ref="D6:I6"/>
    <mergeCell ref="A132:I132"/>
    <mergeCell ref="A124:I124"/>
    <mergeCell ref="A126:I126"/>
    <mergeCell ref="A127:I127"/>
    <mergeCell ref="A128:I128"/>
    <mergeCell ref="A130:I130"/>
  </mergeCells>
  <pageMargins left="0.70866141732283472" right="0.70866141732283472" top="0.78740157480314965" bottom="0.78740157480314965" header="0.31496062992125984" footer="0.31496062992125984"/>
  <pageSetup paperSize="9" scale="54" firstPageNumber="105" fitToHeight="7" orientation="portrait" useFirstPageNumber="1" r:id="rId1"/>
  <headerFoot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zoomScale="150" zoomScaleNormal="150" workbookViewId="0">
      <selection activeCell="A107" sqref="A107:XFD107"/>
    </sheetView>
  </sheetViews>
  <sheetFormatPr defaultColWidth="6.5" defaultRowHeight="8.25" x14ac:dyDescent="0.15"/>
  <cols>
    <col min="1" max="1" width="5.5" style="1" customWidth="1"/>
    <col min="2" max="2" width="6.5" customWidth="1"/>
    <col min="3" max="3" width="36.75" customWidth="1"/>
    <col min="4" max="4" width="9.5" customWidth="1"/>
    <col min="5" max="7" width="11" customWidth="1"/>
    <col min="8" max="8" width="8.75" customWidth="1"/>
    <col min="9" max="10" width="11" customWidth="1"/>
    <col min="11" max="11" width="12" customWidth="1"/>
    <col min="12"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2" customFormat="1" ht="15.75" x14ac:dyDescent="0.25">
      <c r="A1" s="1019" t="s">
        <v>350</v>
      </c>
      <c r="B1" s="1019"/>
      <c r="C1" s="1019"/>
      <c r="D1" s="1019"/>
      <c r="E1" s="1019"/>
      <c r="F1" s="1019"/>
      <c r="G1" s="1019"/>
      <c r="H1" s="1019"/>
      <c r="I1" s="1019"/>
      <c r="J1" s="1019"/>
      <c r="K1" s="1019"/>
      <c r="L1" s="1019"/>
      <c r="M1" s="1019"/>
      <c r="N1" s="1019"/>
      <c r="O1" s="1019"/>
      <c r="P1" s="1019"/>
      <c r="Q1" s="1019"/>
      <c r="R1" s="1019"/>
      <c r="S1" s="1019"/>
      <c r="T1" s="1019"/>
      <c r="U1" s="1019"/>
      <c r="V1" s="1019"/>
      <c r="W1" s="1019"/>
      <c r="X1" s="1019"/>
    </row>
    <row r="3" spans="1:24" s="3" customFormat="1" ht="9.75" customHeight="1" x14ac:dyDescent="0.2">
      <c r="A3" s="1012" t="s">
        <v>40</v>
      </c>
      <c r="B3" s="1022" t="s">
        <v>41</v>
      </c>
      <c r="C3" s="1023"/>
      <c r="D3" s="1028" t="s">
        <v>42</v>
      </c>
      <c r="E3" s="1031" t="s">
        <v>34</v>
      </c>
      <c r="F3" s="1032"/>
      <c r="G3" s="1032"/>
      <c r="H3" s="1032"/>
      <c r="I3" s="1033"/>
      <c r="J3" s="1031" t="s">
        <v>39</v>
      </c>
      <c r="K3" s="1032"/>
      <c r="L3" s="1032"/>
      <c r="M3" s="1032"/>
      <c r="N3" s="1033"/>
      <c r="O3" s="1031" t="s">
        <v>43</v>
      </c>
      <c r="P3" s="1032"/>
      <c r="Q3" s="1032"/>
      <c r="R3" s="1032"/>
      <c r="S3" s="1033"/>
      <c r="T3" s="1031" t="s">
        <v>38</v>
      </c>
      <c r="U3" s="1032"/>
      <c r="V3" s="1032"/>
      <c r="W3" s="1032"/>
      <c r="X3" s="1033"/>
    </row>
    <row r="4" spans="1:24" s="4" customFormat="1" ht="9.75" customHeight="1" x14ac:dyDescent="0.2">
      <c r="A4" s="1020"/>
      <c r="B4" s="1024"/>
      <c r="C4" s="1025"/>
      <c r="D4" s="1029"/>
      <c r="E4" s="1014" t="s">
        <v>44</v>
      </c>
      <c r="F4" s="1016" t="s">
        <v>336</v>
      </c>
      <c r="G4" s="1017"/>
      <c r="H4" s="1018"/>
      <c r="I4" s="1012" t="s">
        <v>337</v>
      </c>
      <c r="J4" s="1014" t="s">
        <v>44</v>
      </c>
      <c r="K4" s="1016" t="s">
        <v>336</v>
      </c>
      <c r="L4" s="1017"/>
      <c r="M4" s="1018"/>
      <c r="N4" s="1012" t="s">
        <v>337</v>
      </c>
      <c r="O4" s="1014" t="s">
        <v>44</v>
      </c>
      <c r="P4" s="1016" t="s">
        <v>336</v>
      </c>
      <c r="Q4" s="1017"/>
      <c r="R4" s="1018"/>
      <c r="S4" s="1012" t="s">
        <v>337</v>
      </c>
      <c r="T4" s="1014" t="s">
        <v>44</v>
      </c>
      <c r="U4" s="1016" t="s">
        <v>336</v>
      </c>
      <c r="V4" s="1017"/>
      <c r="W4" s="1018"/>
      <c r="X4" s="1012" t="s">
        <v>337</v>
      </c>
    </row>
    <row r="5" spans="1:24" s="5" customFormat="1" ht="9.75" customHeight="1" x14ac:dyDescent="0.2">
      <c r="A5" s="1021"/>
      <c r="B5" s="1026"/>
      <c r="C5" s="1027"/>
      <c r="D5" s="1030"/>
      <c r="E5" s="1015"/>
      <c r="F5" s="14" t="s">
        <v>35</v>
      </c>
      <c r="G5" s="15" t="s">
        <v>36</v>
      </c>
      <c r="H5" s="14" t="s">
        <v>37</v>
      </c>
      <c r="I5" s="1013"/>
      <c r="J5" s="1015"/>
      <c r="K5" s="14" t="s">
        <v>35</v>
      </c>
      <c r="L5" s="15" t="s">
        <v>36</v>
      </c>
      <c r="M5" s="14" t="s">
        <v>37</v>
      </c>
      <c r="N5" s="1013"/>
      <c r="O5" s="1015"/>
      <c r="P5" s="14" t="s">
        <v>35</v>
      </c>
      <c r="Q5" s="15" t="s">
        <v>36</v>
      </c>
      <c r="R5" s="14" t="s">
        <v>37</v>
      </c>
      <c r="S5" s="1013"/>
      <c r="T5" s="1015"/>
      <c r="U5" s="14" t="s">
        <v>35</v>
      </c>
      <c r="V5" s="15" t="s">
        <v>36</v>
      </c>
      <c r="W5" s="14" t="s">
        <v>37</v>
      </c>
      <c r="X5" s="1013"/>
    </row>
    <row r="6" spans="1:24" s="3" customFormat="1" ht="9.75" customHeight="1" x14ac:dyDescent="0.2">
      <c r="A6" s="16" t="s">
        <v>0</v>
      </c>
      <c r="B6" s="1007" t="s">
        <v>1</v>
      </c>
      <c r="C6" s="1007"/>
      <c r="D6" s="17" t="s">
        <v>25</v>
      </c>
      <c r="E6" s="52">
        <f>SUM(E7:E9)</f>
        <v>51329410</v>
      </c>
      <c r="F6" s="52">
        <f>SUM(F7:F9)</f>
        <v>56603244</v>
      </c>
      <c r="G6" s="52">
        <f>SUM(G7:G9)</f>
        <v>56603153.509999998</v>
      </c>
      <c r="H6" s="18">
        <f t="shared" ref="H6:H36" si="0">G6/F6*100</f>
        <v>99.999840132837619</v>
      </c>
      <c r="I6" s="52">
        <f>SUM(I7:I9)</f>
        <v>51591933</v>
      </c>
      <c r="J6" s="52">
        <f>SUM(J7:J9)</f>
        <v>13882590</v>
      </c>
      <c r="K6" s="52">
        <f t="shared" ref="K6:X6" si="1">SUM(K7:K9)</f>
        <v>17169250</v>
      </c>
      <c r="L6" s="52">
        <f t="shared" si="1"/>
        <v>17169159.509999998</v>
      </c>
      <c r="M6" s="18">
        <f t="shared" ref="M6:M36" si="2">L6/K6*100</f>
        <v>99.999472953099271</v>
      </c>
      <c r="N6" s="69">
        <f t="shared" si="1"/>
        <v>15697181</v>
      </c>
      <c r="O6" s="52">
        <f t="shared" si="1"/>
        <v>37446820</v>
      </c>
      <c r="P6" s="52">
        <f t="shared" si="1"/>
        <v>39433994</v>
      </c>
      <c r="Q6" s="52">
        <f t="shared" si="1"/>
        <v>39433994</v>
      </c>
      <c r="R6" s="18">
        <f t="shared" ref="R6:R36" si="3">Q6/P6*100</f>
        <v>100</v>
      </c>
      <c r="S6" s="52">
        <f t="shared" si="1"/>
        <v>35894752</v>
      </c>
      <c r="T6" s="52">
        <f t="shared" si="1"/>
        <v>244000</v>
      </c>
      <c r="U6" s="52">
        <f t="shared" si="1"/>
        <v>244000</v>
      </c>
      <c r="V6" s="52">
        <f t="shared" si="1"/>
        <v>320117</v>
      </c>
      <c r="W6" s="18">
        <f t="shared" ref="W6:W36" si="4">V6/U6*100</f>
        <v>131.19549180327868</v>
      </c>
      <c r="X6" s="52">
        <f t="shared" si="1"/>
        <v>298558</v>
      </c>
    </row>
    <row r="7" spans="1:24" s="3" customFormat="1" ht="9.75" x14ac:dyDescent="0.2">
      <c r="A7" s="19" t="s">
        <v>2</v>
      </c>
      <c r="B7" s="1010" t="s">
        <v>46</v>
      </c>
      <c r="C7" s="1011"/>
      <c r="D7" s="47" t="s">
        <v>25</v>
      </c>
      <c r="E7" s="53">
        <f t="shared" ref="E7:G10" si="5">SUM(J7,O7)</f>
        <v>6050000</v>
      </c>
      <c r="F7" s="54">
        <f t="shared" si="5"/>
        <v>6774660</v>
      </c>
      <c r="G7" s="54">
        <f t="shared" si="5"/>
        <v>6775051.5899999999</v>
      </c>
      <c r="H7" s="6">
        <f t="shared" si="0"/>
        <v>100.00578021627653</v>
      </c>
      <c r="I7" s="60">
        <f>SUM(N7,S7)</f>
        <v>6908520</v>
      </c>
      <c r="J7" s="61">
        <v>6050000</v>
      </c>
      <c r="K7" s="62">
        <v>6774660</v>
      </c>
      <c r="L7" s="62">
        <v>6775051.5899999999</v>
      </c>
      <c r="M7" s="6">
        <f t="shared" si="2"/>
        <v>100.00578021627653</v>
      </c>
      <c r="N7" s="76">
        <v>6908520</v>
      </c>
      <c r="O7" s="77"/>
      <c r="P7" s="62"/>
      <c r="Q7" s="62"/>
      <c r="R7" s="6" t="e">
        <f t="shared" si="3"/>
        <v>#DIV/0!</v>
      </c>
      <c r="S7" s="76"/>
      <c r="T7" s="77">
        <v>244000</v>
      </c>
      <c r="U7" s="62">
        <v>244000</v>
      </c>
      <c r="V7" s="62">
        <v>320117</v>
      </c>
      <c r="W7" s="6">
        <f t="shared" si="4"/>
        <v>131.19549180327868</v>
      </c>
      <c r="X7" s="91">
        <v>298558</v>
      </c>
    </row>
    <row r="8" spans="1:24" s="3" customFormat="1" ht="9.75" x14ac:dyDescent="0.2">
      <c r="A8" s="20" t="s">
        <v>3</v>
      </c>
      <c r="B8" s="1005" t="s">
        <v>47</v>
      </c>
      <c r="C8" s="1006"/>
      <c r="D8" s="48" t="s">
        <v>25</v>
      </c>
      <c r="E8" s="55">
        <f t="shared" si="5"/>
        <v>2300</v>
      </c>
      <c r="F8" s="56">
        <f t="shared" si="5"/>
        <v>2300</v>
      </c>
      <c r="G8" s="56">
        <f t="shared" si="5"/>
        <v>1817.92</v>
      </c>
      <c r="H8" s="7">
        <f t="shared" si="0"/>
        <v>79.039999999999992</v>
      </c>
      <c r="I8" s="63">
        <f>SUM(N8,S8)</f>
        <v>2171</v>
      </c>
      <c r="J8" s="64">
        <v>2300</v>
      </c>
      <c r="K8" s="56">
        <v>2300</v>
      </c>
      <c r="L8" s="56">
        <v>1817.92</v>
      </c>
      <c r="M8" s="7">
        <f t="shared" si="2"/>
        <v>79.039999999999992</v>
      </c>
      <c r="N8" s="63">
        <v>2171</v>
      </c>
      <c r="O8" s="55"/>
      <c r="P8" s="56"/>
      <c r="Q8" s="56"/>
      <c r="R8" s="7" t="e">
        <f t="shared" si="3"/>
        <v>#DIV/0!</v>
      </c>
      <c r="S8" s="63"/>
      <c r="T8" s="55"/>
      <c r="U8" s="56"/>
      <c r="V8" s="56"/>
      <c r="W8" s="7" t="e">
        <f t="shared" si="4"/>
        <v>#DIV/0!</v>
      </c>
      <c r="X8" s="92"/>
    </row>
    <row r="9" spans="1:24" s="3" customFormat="1" ht="9.75" x14ac:dyDescent="0.2">
      <c r="A9" s="21" t="s">
        <v>4</v>
      </c>
      <c r="B9" s="22" t="s">
        <v>62</v>
      </c>
      <c r="C9" s="23"/>
      <c r="D9" s="50" t="s">
        <v>25</v>
      </c>
      <c r="E9" s="57">
        <f t="shared" si="5"/>
        <v>45277110</v>
      </c>
      <c r="F9" s="58">
        <f t="shared" si="5"/>
        <v>49826284</v>
      </c>
      <c r="G9" s="58">
        <f t="shared" si="5"/>
        <v>49826284</v>
      </c>
      <c r="H9" s="24">
        <f t="shared" si="0"/>
        <v>100</v>
      </c>
      <c r="I9" s="65">
        <f>SUM(N9,S9)</f>
        <v>44681242</v>
      </c>
      <c r="J9" s="66">
        <v>7830290</v>
      </c>
      <c r="K9" s="58">
        <v>10392290</v>
      </c>
      <c r="L9" s="58">
        <v>10392290</v>
      </c>
      <c r="M9" s="24">
        <f t="shared" si="2"/>
        <v>100</v>
      </c>
      <c r="N9" s="65">
        <v>8786490</v>
      </c>
      <c r="O9" s="57">
        <v>37446820</v>
      </c>
      <c r="P9" s="58">
        <v>39433994</v>
      </c>
      <c r="Q9" s="58">
        <v>39433994</v>
      </c>
      <c r="R9" s="24">
        <f t="shared" si="3"/>
        <v>100</v>
      </c>
      <c r="S9" s="65">
        <v>35894752</v>
      </c>
      <c r="T9" s="57"/>
      <c r="U9" s="58"/>
      <c r="V9" s="58"/>
      <c r="W9" s="24" t="e">
        <f t="shared" si="4"/>
        <v>#DIV/0!</v>
      </c>
      <c r="X9" s="93"/>
    </row>
    <row r="10" spans="1:24" s="3" customFormat="1" ht="9.75" x14ac:dyDescent="0.2">
      <c r="A10" s="16" t="s">
        <v>5</v>
      </c>
      <c r="B10" s="1007" t="s">
        <v>7</v>
      </c>
      <c r="C10" s="1007"/>
      <c r="D10" s="25" t="s">
        <v>25</v>
      </c>
      <c r="E10" s="59">
        <f t="shared" si="5"/>
        <v>0</v>
      </c>
      <c r="F10" s="59">
        <f t="shared" si="5"/>
        <v>1292000</v>
      </c>
      <c r="G10" s="59">
        <f t="shared" si="5"/>
        <v>1292000</v>
      </c>
      <c r="H10" s="18">
        <f t="shared" si="0"/>
        <v>100</v>
      </c>
      <c r="I10" s="67">
        <f>SUM(N10,S10)</f>
        <v>490000</v>
      </c>
      <c r="J10" s="68">
        <v>0</v>
      </c>
      <c r="K10" s="59">
        <v>1292000</v>
      </c>
      <c r="L10" s="59">
        <v>1292000</v>
      </c>
      <c r="M10" s="18">
        <f t="shared" si="2"/>
        <v>100</v>
      </c>
      <c r="N10" s="67">
        <v>490000</v>
      </c>
      <c r="O10" s="59"/>
      <c r="P10" s="59"/>
      <c r="Q10" s="59"/>
      <c r="R10" s="18" t="e">
        <f t="shared" si="3"/>
        <v>#DIV/0!</v>
      </c>
      <c r="S10" s="67"/>
      <c r="T10" s="59"/>
      <c r="U10" s="59"/>
      <c r="V10" s="59"/>
      <c r="W10" s="18" t="e">
        <f t="shared" si="4"/>
        <v>#DIV/0!</v>
      </c>
      <c r="X10" s="59"/>
    </row>
    <row r="11" spans="1:24" s="3" customFormat="1" ht="9.75" x14ac:dyDescent="0.2">
      <c r="A11" s="16" t="s">
        <v>6</v>
      </c>
      <c r="B11" s="1007" t="s">
        <v>9</v>
      </c>
      <c r="C11" s="1007"/>
      <c r="D11" s="25" t="s">
        <v>25</v>
      </c>
      <c r="E11" s="52">
        <f>SUM(E12:E31)</f>
        <v>51329410</v>
      </c>
      <c r="F11" s="52">
        <f>SUM(F12:F31)</f>
        <v>56607244</v>
      </c>
      <c r="G11" s="52">
        <f>SUM(G12:G31)</f>
        <v>56570221.650000006</v>
      </c>
      <c r="H11" s="18">
        <f t="shared" si="0"/>
        <v>99.934597858182258</v>
      </c>
      <c r="I11" s="69">
        <f>SUM(I12:I31)</f>
        <v>51565299</v>
      </c>
      <c r="J11" s="52">
        <f>SUM(J12:J31)</f>
        <v>13882590</v>
      </c>
      <c r="K11" s="52">
        <f>SUM(K12:K31)</f>
        <v>17173250</v>
      </c>
      <c r="L11" s="52">
        <f>SUM(L12:L31)</f>
        <v>17136227.649999999</v>
      </c>
      <c r="M11" s="18">
        <f t="shared" si="2"/>
        <v>99.784418499701559</v>
      </c>
      <c r="N11" s="69">
        <f>SUM(N12:N31)</f>
        <v>15670547</v>
      </c>
      <c r="O11" s="52">
        <f>SUM(O12:O31)</f>
        <v>37446820</v>
      </c>
      <c r="P11" s="52">
        <f>SUM(P12:P31)</f>
        <v>39433994</v>
      </c>
      <c r="Q11" s="52">
        <f>SUM(Q12:Q31)</f>
        <v>39433994</v>
      </c>
      <c r="R11" s="18">
        <f t="shared" si="3"/>
        <v>100</v>
      </c>
      <c r="S11" s="69">
        <f>SUM(S12:S31)</f>
        <v>35894752</v>
      </c>
      <c r="T11" s="52">
        <f>SUM(T12:T31)</f>
        <v>155300</v>
      </c>
      <c r="U11" s="52">
        <f>SUM(U12:U31)</f>
        <v>155300</v>
      </c>
      <c r="V11" s="52">
        <f>SUM(V12:V31)</f>
        <v>196624</v>
      </c>
      <c r="W11" s="18">
        <f t="shared" si="4"/>
        <v>126.60914359304572</v>
      </c>
      <c r="X11" s="52">
        <f>SUM(X12:X31)</f>
        <v>208581</v>
      </c>
    </row>
    <row r="12" spans="1:24" s="3" customFormat="1" ht="9.75" x14ac:dyDescent="0.2">
      <c r="A12" s="26" t="s">
        <v>8</v>
      </c>
      <c r="B12" s="1008" t="s">
        <v>28</v>
      </c>
      <c r="C12" s="1009"/>
      <c r="D12" s="51" t="s">
        <v>25</v>
      </c>
      <c r="E12" s="53">
        <f t="shared" ref="E12:I28" si="6">SUM(J12,O12)</f>
        <v>6707626</v>
      </c>
      <c r="F12" s="54">
        <f t="shared" si="6"/>
        <v>7549796</v>
      </c>
      <c r="G12" s="54">
        <f t="shared" si="6"/>
        <v>7502808.7300000004</v>
      </c>
      <c r="H12" s="6">
        <f t="shared" si="0"/>
        <v>99.377635236766665</v>
      </c>
      <c r="I12" s="60">
        <f t="shared" si="6"/>
        <v>7263791</v>
      </c>
      <c r="J12" s="70">
        <v>6424826</v>
      </c>
      <c r="K12" s="71">
        <v>7200199</v>
      </c>
      <c r="L12" s="71">
        <v>7197764.7300000004</v>
      </c>
      <c r="M12" s="6">
        <f t="shared" si="2"/>
        <v>99.966191628870263</v>
      </c>
      <c r="N12" s="78">
        <v>7072070</v>
      </c>
      <c r="O12" s="79">
        <v>282800</v>
      </c>
      <c r="P12" s="71">
        <v>349597</v>
      </c>
      <c r="Q12" s="71">
        <v>305044</v>
      </c>
      <c r="R12" s="6">
        <f t="shared" si="3"/>
        <v>87.255897504841286</v>
      </c>
      <c r="S12" s="83">
        <v>191721</v>
      </c>
      <c r="T12" s="79">
        <v>69400</v>
      </c>
      <c r="U12" s="71">
        <v>69400</v>
      </c>
      <c r="V12" s="71">
        <v>71244</v>
      </c>
      <c r="W12" s="6">
        <f t="shared" si="4"/>
        <v>102.65706051873198</v>
      </c>
      <c r="X12" s="94">
        <v>80043</v>
      </c>
    </row>
    <row r="13" spans="1:24" s="3" customFormat="1" ht="9.75" x14ac:dyDescent="0.2">
      <c r="A13" s="27" t="s">
        <v>10</v>
      </c>
      <c r="B13" s="997" t="s">
        <v>29</v>
      </c>
      <c r="C13" s="998"/>
      <c r="D13" s="48" t="s">
        <v>25</v>
      </c>
      <c r="E13" s="55">
        <f t="shared" si="6"/>
        <v>3065000</v>
      </c>
      <c r="F13" s="56">
        <f t="shared" si="6"/>
        <v>2790000</v>
      </c>
      <c r="G13" s="56">
        <f t="shared" si="6"/>
        <v>2784977</v>
      </c>
      <c r="H13" s="7">
        <f t="shared" si="0"/>
        <v>99.819964157706096</v>
      </c>
      <c r="I13" s="63">
        <f t="shared" si="6"/>
        <v>2808656</v>
      </c>
      <c r="J13" s="72">
        <v>3065000</v>
      </c>
      <c r="K13" s="56">
        <v>2790000</v>
      </c>
      <c r="L13" s="56">
        <v>2784977</v>
      </c>
      <c r="M13" s="7">
        <f t="shared" si="2"/>
        <v>99.819964157706096</v>
      </c>
      <c r="N13" s="63">
        <v>2808656</v>
      </c>
      <c r="O13" s="55"/>
      <c r="P13" s="56"/>
      <c r="Q13" s="56"/>
      <c r="R13" s="7" t="e">
        <f t="shared" si="3"/>
        <v>#DIV/0!</v>
      </c>
      <c r="S13" s="63"/>
      <c r="T13" s="55">
        <v>32500</v>
      </c>
      <c r="U13" s="56">
        <v>32500</v>
      </c>
      <c r="V13" s="56">
        <v>39229</v>
      </c>
      <c r="W13" s="7">
        <f t="shared" si="4"/>
        <v>120.70461538461539</v>
      </c>
      <c r="X13" s="92">
        <v>44296</v>
      </c>
    </row>
    <row r="14" spans="1:24" s="3" customFormat="1" ht="9.75" x14ac:dyDescent="0.2">
      <c r="A14" s="27" t="s">
        <v>11</v>
      </c>
      <c r="B14" s="418" t="s">
        <v>63</v>
      </c>
      <c r="C14" s="419"/>
      <c r="D14" s="48" t="s">
        <v>25</v>
      </c>
      <c r="E14" s="55">
        <f t="shared" si="6"/>
        <v>0</v>
      </c>
      <c r="F14" s="56">
        <f t="shared" si="6"/>
        <v>0</v>
      </c>
      <c r="G14" s="56">
        <f t="shared" si="6"/>
        <v>0</v>
      </c>
      <c r="H14" s="7" t="e">
        <f t="shared" si="0"/>
        <v>#DIV/0!</v>
      </c>
      <c r="I14" s="63">
        <f t="shared" si="6"/>
        <v>0</v>
      </c>
      <c r="J14" s="72"/>
      <c r="K14" s="56"/>
      <c r="L14" s="56"/>
      <c r="M14" s="7" t="e">
        <f t="shared" si="2"/>
        <v>#DIV/0!</v>
      </c>
      <c r="N14" s="63"/>
      <c r="O14" s="55"/>
      <c r="P14" s="56"/>
      <c r="Q14" s="56"/>
      <c r="R14" s="7" t="e">
        <f t="shared" si="3"/>
        <v>#DIV/0!</v>
      </c>
      <c r="S14" s="63"/>
      <c r="T14" s="55"/>
      <c r="U14" s="56"/>
      <c r="V14" s="56"/>
      <c r="W14" s="7" t="e">
        <f t="shared" si="4"/>
        <v>#DIV/0!</v>
      </c>
      <c r="X14" s="92"/>
    </row>
    <row r="15" spans="1:24" s="3" customFormat="1" ht="9.75" x14ac:dyDescent="0.2">
      <c r="A15" s="27" t="s">
        <v>12</v>
      </c>
      <c r="B15" s="997" t="s">
        <v>64</v>
      </c>
      <c r="C15" s="998"/>
      <c r="D15" s="48" t="s">
        <v>25</v>
      </c>
      <c r="E15" s="55">
        <f t="shared" si="6"/>
        <v>1095000</v>
      </c>
      <c r="F15" s="56">
        <f t="shared" si="6"/>
        <v>3567500</v>
      </c>
      <c r="G15" s="56">
        <f t="shared" si="6"/>
        <v>3567229</v>
      </c>
      <c r="H15" s="7">
        <f t="shared" si="0"/>
        <v>99.992403644008405</v>
      </c>
      <c r="I15" s="63">
        <f t="shared" si="6"/>
        <v>2090617</v>
      </c>
      <c r="J15" s="72">
        <v>1095000</v>
      </c>
      <c r="K15" s="56">
        <v>3567500</v>
      </c>
      <c r="L15" s="56">
        <v>3567229</v>
      </c>
      <c r="M15" s="7">
        <f t="shared" si="2"/>
        <v>99.992403644008405</v>
      </c>
      <c r="N15" s="63">
        <v>2090617</v>
      </c>
      <c r="O15" s="55"/>
      <c r="P15" s="56"/>
      <c r="Q15" s="56"/>
      <c r="R15" s="7" t="e">
        <f t="shared" si="3"/>
        <v>#DIV/0!</v>
      </c>
      <c r="S15" s="63"/>
      <c r="T15" s="55">
        <v>1600</v>
      </c>
      <c r="U15" s="56">
        <v>1600</v>
      </c>
      <c r="V15" s="56">
        <v>986</v>
      </c>
      <c r="W15" s="7">
        <f t="shared" si="4"/>
        <v>61.625</v>
      </c>
      <c r="X15" s="92">
        <v>855</v>
      </c>
    </row>
    <row r="16" spans="1:24" s="3" customFormat="1" ht="9.75" x14ac:dyDescent="0.2">
      <c r="A16" s="27" t="s">
        <v>13</v>
      </c>
      <c r="B16" s="997" t="s">
        <v>30</v>
      </c>
      <c r="C16" s="998"/>
      <c r="D16" s="48" t="s">
        <v>25</v>
      </c>
      <c r="E16" s="55">
        <f t="shared" si="6"/>
        <v>44500</v>
      </c>
      <c r="F16" s="56">
        <f t="shared" si="6"/>
        <v>7810</v>
      </c>
      <c r="G16" s="56">
        <f t="shared" si="6"/>
        <v>56378</v>
      </c>
      <c r="H16" s="7">
        <f t="shared" si="0"/>
        <v>721.86939820742634</v>
      </c>
      <c r="I16" s="63">
        <f t="shared" si="6"/>
        <v>46189</v>
      </c>
      <c r="J16" s="72">
        <v>6000</v>
      </c>
      <c r="K16" s="56">
        <v>7810</v>
      </c>
      <c r="L16" s="56">
        <v>7810</v>
      </c>
      <c r="M16" s="7">
        <f t="shared" si="2"/>
        <v>100</v>
      </c>
      <c r="N16" s="63">
        <v>16830</v>
      </c>
      <c r="O16" s="55">
        <v>38500</v>
      </c>
      <c r="P16" s="56"/>
      <c r="Q16" s="56">
        <v>48568</v>
      </c>
      <c r="R16" s="7" t="e">
        <f t="shared" si="3"/>
        <v>#DIV/0!</v>
      </c>
      <c r="S16" s="63">
        <v>29359</v>
      </c>
      <c r="T16" s="55"/>
      <c r="U16" s="56"/>
      <c r="V16" s="56"/>
      <c r="W16" s="7" t="e">
        <f t="shared" si="4"/>
        <v>#DIV/0!</v>
      </c>
      <c r="X16" s="92"/>
    </row>
    <row r="17" spans="1:24" s="3" customFormat="1" ht="9.75" x14ac:dyDescent="0.2">
      <c r="A17" s="27" t="s">
        <v>14</v>
      </c>
      <c r="B17" s="418" t="s">
        <v>48</v>
      </c>
      <c r="C17" s="419"/>
      <c r="D17" s="48" t="s">
        <v>25</v>
      </c>
      <c r="E17" s="55">
        <f t="shared" si="6"/>
        <v>5000</v>
      </c>
      <c r="F17" s="56">
        <f t="shared" si="6"/>
        <v>5936</v>
      </c>
      <c r="G17" s="56">
        <f t="shared" si="6"/>
        <v>5931</v>
      </c>
      <c r="H17" s="7">
        <f t="shared" si="0"/>
        <v>99.915768194070083</v>
      </c>
      <c r="I17" s="63">
        <f t="shared" si="6"/>
        <v>4920</v>
      </c>
      <c r="J17" s="72">
        <v>5000</v>
      </c>
      <c r="K17" s="56">
        <v>5936</v>
      </c>
      <c r="L17" s="56">
        <v>5931</v>
      </c>
      <c r="M17" s="7">
        <f t="shared" si="2"/>
        <v>99.915768194070083</v>
      </c>
      <c r="N17" s="63">
        <v>4920</v>
      </c>
      <c r="O17" s="55"/>
      <c r="P17" s="56"/>
      <c r="Q17" s="56"/>
      <c r="R17" s="7" t="e">
        <f t="shared" si="3"/>
        <v>#DIV/0!</v>
      </c>
      <c r="S17" s="63"/>
      <c r="T17" s="55"/>
      <c r="U17" s="56"/>
      <c r="V17" s="56"/>
      <c r="W17" s="7" t="e">
        <f t="shared" si="4"/>
        <v>#DIV/0!</v>
      </c>
      <c r="X17" s="92"/>
    </row>
    <row r="18" spans="1:24" s="3" customFormat="1" ht="9.75" x14ac:dyDescent="0.2">
      <c r="A18" s="27" t="s">
        <v>15</v>
      </c>
      <c r="B18" s="997" t="s">
        <v>31</v>
      </c>
      <c r="C18" s="998"/>
      <c r="D18" s="48" t="s">
        <v>25</v>
      </c>
      <c r="E18" s="55">
        <f t="shared" si="6"/>
        <v>744100</v>
      </c>
      <c r="F18" s="56">
        <f t="shared" si="6"/>
        <v>950000</v>
      </c>
      <c r="G18" s="56">
        <f t="shared" si="6"/>
        <v>948395</v>
      </c>
      <c r="H18" s="7">
        <f t="shared" si="0"/>
        <v>99.831052631578942</v>
      </c>
      <c r="I18" s="63">
        <f t="shared" si="6"/>
        <v>697303</v>
      </c>
      <c r="J18" s="72">
        <v>574100</v>
      </c>
      <c r="K18" s="56">
        <v>660000</v>
      </c>
      <c r="L18" s="56">
        <v>659906</v>
      </c>
      <c r="M18" s="7">
        <f t="shared" si="2"/>
        <v>99.985757575757575</v>
      </c>
      <c r="N18" s="63">
        <v>561093</v>
      </c>
      <c r="O18" s="55">
        <v>170000</v>
      </c>
      <c r="P18" s="56">
        <v>290000</v>
      </c>
      <c r="Q18" s="56">
        <v>288489</v>
      </c>
      <c r="R18" s="7">
        <f t="shared" si="3"/>
        <v>99.478965517241377</v>
      </c>
      <c r="S18" s="63">
        <v>136210</v>
      </c>
      <c r="T18" s="55">
        <v>5100</v>
      </c>
      <c r="U18" s="56">
        <v>5100</v>
      </c>
      <c r="V18" s="56">
        <v>15925</v>
      </c>
      <c r="W18" s="7">
        <f t="shared" si="4"/>
        <v>312.25490196078431</v>
      </c>
      <c r="X18" s="92">
        <v>14669</v>
      </c>
    </row>
    <row r="19" spans="1:24" s="8" customFormat="1" ht="9.75" x14ac:dyDescent="0.2">
      <c r="A19" s="27" t="s">
        <v>16</v>
      </c>
      <c r="B19" s="997" t="s">
        <v>32</v>
      </c>
      <c r="C19" s="998"/>
      <c r="D19" s="48" t="s">
        <v>25</v>
      </c>
      <c r="E19" s="55">
        <f t="shared" si="6"/>
        <v>27557700</v>
      </c>
      <c r="F19" s="56">
        <f t="shared" si="6"/>
        <v>28990057</v>
      </c>
      <c r="G19" s="56">
        <f t="shared" si="6"/>
        <v>28990057</v>
      </c>
      <c r="H19" s="7">
        <f t="shared" si="0"/>
        <v>100</v>
      </c>
      <c r="I19" s="63">
        <f t="shared" si="6"/>
        <v>26542786</v>
      </c>
      <c r="J19" s="73">
        <v>565800</v>
      </c>
      <c r="K19" s="56">
        <v>573000</v>
      </c>
      <c r="L19" s="56">
        <v>573000</v>
      </c>
      <c r="M19" s="7">
        <f t="shared" si="2"/>
        <v>100</v>
      </c>
      <c r="N19" s="63">
        <v>493130</v>
      </c>
      <c r="O19" s="55">
        <v>26991900</v>
      </c>
      <c r="P19" s="56">
        <v>28417057</v>
      </c>
      <c r="Q19" s="56">
        <v>28417057</v>
      </c>
      <c r="R19" s="7">
        <f t="shared" si="3"/>
        <v>100</v>
      </c>
      <c r="S19" s="63">
        <v>26049656</v>
      </c>
      <c r="T19" s="84">
        <v>32200</v>
      </c>
      <c r="U19" s="85">
        <v>32200</v>
      </c>
      <c r="V19" s="85">
        <v>36849</v>
      </c>
      <c r="W19" s="7">
        <f t="shared" si="4"/>
        <v>114.43788819875775</v>
      </c>
      <c r="X19" s="95">
        <v>37013</v>
      </c>
    </row>
    <row r="20" spans="1:24" s="3" customFormat="1" ht="9.75" x14ac:dyDescent="0.2">
      <c r="A20" s="27" t="s">
        <v>17</v>
      </c>
      <c r="B20" s="997" t="s">
        <v>49</v>
      </c>
      <c r="C20" s="998"/>
      <c r="D20" s="48" t="s">
        <v>25</v>
      </c>
      <c r="E20" s="55">
        <f t="shared" si="6"/>
        <v>9432520</v>
      </c>
      <c r="F20" s="56">
        <f t="shared" si="6"/>
        <v>9879400</v>
      </c>
      <c r="G20" s="56">
        <f t="shared" si="6"/>
        <v>9865963</v>
      </c>
      <c r="H20" s="7">
        <f t="shared" si="0"/>
        <v>99.863989715974654</v>
      </c>
      <c r="I20" s="63">
        <f t="shared" si="6"/>
        <v>9039076</v>
      </c>
      <c r="J20" s="72">
        <v>150400</v>
      </c>
      <c r="K20" s="56">
        <v>149400</v>
      </c>
      <c r="L20" s="56">
        <v>138138</v>
      </c>
      <c r="M20" s="7">
        <f t="shared" si="2"/>
        <v>92.461847389558244</v>
      </c>
      <c r="N20" s="63">
        <v>111621</v>
      </c>
      <c r="O20" s="55">
        <v>9282120</v>
      </c>
      <c r="P20" s="56">
        <v>9730000</v>
      </c>
      <c r="Q20" s="56">
        <v>9727825</v>
      </c>
      <c r="R20" s="7">
        <f t="shared" si="3"/>
        <v>99.977646454265155</v>
      </c>
      <c r="S20" s="63">
        <v>8927455</v>
      </c>
      <c r="T20" s="55">
        <v>11500</v>
      </c>
      <c r="U20" s="56">
        <v>11500</v>
      </c>
      <c r="V20" s="56">
        <v>12247</v>
      </c>
      <c r="W20" s="7">
        <f t="shared" si="4"/>
        <v>106.49565217391303</v>
      </c>
      <c r="X20" s="92">
        <v>12071</v>
      </c>
    </row>
    <row r="21" spans="1:24" s="3" customFormat="1" ht="9.75" x14ac:dyDescent="0.2">
      <c r="A21" s="27" t="s">
        <v>18</v>
      </c>
      <c r="B21" s="997" t="s">
        <v>50</v>
      </c>
      <c r="C21" s="998"/>
      <c r="D21" s="48" t="s">
        <v>25</v>
      </c>
      <c r="E21" s="55">
        <f t="shared" si="6"/>
        <v>569800</v>
      </c>
      <c r="F21" s="56">
        <f t="shared" si="6"/>
        <v>596140</v>
      </c>
      <c r="G21" s="56">
        <f t="shared" si="6"/>
        <v>595759</v>
      </c>
      <c r="H21" s="7">
        <f t="shared" si="0"/>
        <v>99.936088838192376</v>
      </c>
      <c r="I21" s="63">
        <f t="shared" si="6"/>
        <v>424825</v>
      </c>
      <c r="J21" s="72">
        <v>9800</v>
      </c>
      <c r="K21" s="56">
        <v>10800</v>
      </c>
      <c r="L21" s="56">
        <v>10420</v>
      </c>
      <c r="M21" s="7">
        <f t="shared" si="2"/>
        <v>96.481481481481481</v>
      </c>
      <c r="N21" s="63">
        <v>6984</v>
      </c>
      <c r="O21" s="55">
        <v>560000</v>
      </c>
      <c r="P21" s="56">
        <v>585340</v>
      </c>
      <c r="Q21" s="56">
        <v>585339</v>
      </c>
      <c r="R21" s="7">
        <f t="shared" si="3"/>
        <v>99.999829159121191</v>
      </c>
      <c r="S21" s="63">
        <v>417841</v>
      </c>
      <c r="T21" s="55">
        <v>500</v>
      </c>
      <c r="U21" s="56">
        <v>500</v>
      </c>
      <c r="V21" s="56">
        <v>861</v>
      </c>
      <c r="W21" s="7">
        <f t="shared" si="4"/>
        <v>172.2</v>
      </c>
      <c r="X21" s="92">
        <v>621</v>
      </c>
    </row>
    <row r="22" spans="1:24" s="3" customFormat="1" ht="9.75" x14ac:dyDescent="0.2">
      <c r="A22" s="27" t="s">
        <v>19</v>
      </c>
      <c r="B22" s="997" t="s">
        <v>65</v>
      </c>
      <c r="C22" s="998"/>
      <c r="D22" s="48" t="s">
        <v>25</v>
      </c>
      <c r="E22" s="55">
        <f t="shared" si="6"/>
        <v>0</v>
      </c>
      <c r="F22" s="56">
        <f t="shared" si="6"/>
        <v>0</v>
      </c>
      <c r="G22" s="56">
        <f t="shared" si="6"/>
        <v>0</v>
      </c>
      <c r="H22" s="7" t="e">
        <f t="shared" si="0"/>
        <v>#DIV/0!</v>
      </c>
      <c r="I22" s="63">
        <f t="shared" si="6"/>
        <v>0</v>
      </c>
      <c r="J22" s="72"/>
      <c r="K22" s="56"/>
      <c r="L22" s="56"/>
      <c r="M22" s="7" t="e">
        <f t="shared" si="2"/>
        <v>#DIV/0!</v>
      </c>
      <c r="N22" s="63"/>
      <c r="O22" s="55"/>
      <c r="P22" s="56"/>
      <c r="Q22" s="56"/>
      <c r="R22" s="7" t="e">
        <f t="shared" si="3"/>
        <v>#DIV/0!</v>
      </c>
      <c r="S22" s="63"/>
      <c r="T22" s="55"/>
      <c r="U22" s="56"/>
      <c r="V22" s="56"/>
      <c r="W22" s="7" t="e">
        <f t="shared" si="4"/>
        <v>#DIV/0!</v>
      </c>
      <c r="X22" s="92"/>
    </row>
    <row r="23" spans="1:24" s="3" customFormat="1" ht="9.75" x14ac:dyDescent="0.2">
      <c r="A23" s="27" t="s">
        <v>20</v>
      </c>
      <c r="B23" s="418" t="s">
        <v>66</v>
      </c>
      <c r="C23" s="419"/>
      <c r="D23" s="48" t="s">
        <v>25</v>
      </c>
      <c r="E23" s="55">
        <f t="shared" si="6"/>
        <v>0</v>
      </c>
      <c r="F23" s="56">
        <f t="shared" si="6"/>
        <v>0</v>
      </c>
      <c r="G23" s="56">
        <f t="shared" si="6"/>
        <v>0</v>
      </c>
      <c r="H23" s="7" t="e">
        <f t="shared" si="0"/>
        <v>#DIV/0!</v>
      </c>
      <c r="I23" s="63">
        <f t="shared" si="6"/>
        <v>0</v>
      </c>
      <c r="J23" s="72"/>
      <c r="K23" s="56"/>
      <c r="L23" s="56"/>
      <c r="M23" s="7" t="e">
        <f t="shared" si="2"/>
        <v>#DIV/0!</v>
      </c>
      <c r="N23" s="63"/>
      <c r="O23" s="55"/>
      <c r="P23" s="56"/>
      <c r="Q23" s="56"/>
      <c r="R23" s="7" t="e">
        <f t="shared" si="3"/>
        <v>#DIV/0!</v>
      </c>
      <c r="S23" s="63"/>
      <c r="T23" s="55"/>
      <c r="U23" s="56"/>
      <c r="V23" s="56"/>
      <c r="W23" s="7" t="e">
        <f t="shared" si="4"/>
        <v>#DIV/0!</v>
      </c>
      <c r="X23" s="92"/>
    </row>
    <row r="24" spans="1:24" s="3" customFormat="1" ht="9.75" x14ac:dyDescent="0.2">
      <c r="A24" s="27" t="s">
        <v>21</v>
      </c>
      <c r="B24" s="418" t="s">
        <v>73</v>
      </c>
      <c r="C24" s="419"/>
      <c r="D24" s="48" t="s">
        <v>25</v>
      </c>
      <c r="E24" s="55">
        <f t="shared" si="6"/>
        <v>0</v>
      </c>
      <c r="F24" s="56">
        <f t="shared" si="6"/>
        <v>0</v>
      </c>
      <c r="G24" s="56">
        <f t="shared" si="6"/>
        <v>0</v>
      </c>
      <c r="H24" s="7" t="e">
        <f t="shared" si="0"/>
        <v>#DIV/0!</v>
      </c>
      <c r="I24" s="63">
        <f t="shared" si="6"/>
        <v>0</v>
      </c>
      <c r="J24" s="72"/>
      <c r="K24" s="56"/>
      <c r="L24" s="56"/>
      <c r="M24" s="7" t="e">
        <f t="shared" si="2"/>
        <v>#DIV/0!</v>
      </c>
      <c r="N24" s="63"/>
      <c r="O24" s="55"/>
      <c r="P24" s="56"/>
      <c r="Q24" s="56"/>
      <c r="R24" s="7" t="e">
        <f t="shared" si="3"/>
        <v>#DIV/0!</v>
      </c>
      <c r="S24" s="63"/>
      <c r="T24" s="55"/>
      <c r="U24" s="56"/>
      <c r="V24" s="56"/>
      <c r="W24" s="7" t="e">
        <f t="shared" si="4"/>
        <v>#DIV/0!</v>
      </c>
      <c r="X24" s="92"/>
    </row>
    <row r="25" spans="1:24" s="3" customFormat="1" ht="9.75" x14ac:dyDescent="0.2">
      <c r="A25" s="28" t="s">
        <v>22</v>
      </c>
      <c r="B25" s="29" t="s">
        <v>68</v>
      </c>
      <c r="C25" s="30"/>
      <c r="D25" s="48" t="s">
        <v>25</v>
      </c>
      <c r="E25" s="55">
        <f t="shared" si="6"/>
        <v>0</v>
      </c>
      <c r="F25" s="56">
        <f t="shared" si="6"/>
        <v>0</v>
      </c>
      <c r="G25" s="56">
        <f t="shared" si="6"/>
        <v>0</v>
      </c>
      <c r="H25" s="7" t="e">
        <f t="shared" si="0"/>
        <v>#DIV/0!</v>
      </c>
      <c r="I25" s="63">
        <f t="shared" si="6"/>
        <v>0</v>
      </c>
      <c r="J25" s="72"/>
      <c r="K25" s="74"/>
      <c r="L25" s="74"/>
      <c r="M25" s="7" t="e">
        <f t="shared" si="2"/>
        <v>#DIV/0!</v>
      </c>
      <c r="N25" s="80"/>
      <c r="O25" s="81"/>
      <c r="P25" s="74"/>
      <c r="Q25" s="74"/>
      <c r="R25" s="7" t="e">
        <f t="shared" si="3"/>
        <v>#DIV/0!</v>
      </c>
      <c r="S25" s="86"/>
      <c r="T25" s="81"/>
      <c r="U25" s="74"/>
      <c r="V25" s="74"/>
      <c r="W25" s="7" t="e">
        <f t="shared" si="4"/>
        <v>#DIV/0!</v>
      </c>
      <c r="X25" s="96"/>
    </row>
    <row r="26" spans="1:24" s="10" customFormat="1" ht="9.75" x14ac:dyDescent="0.2">
      <c r="A26" s="27" t="s">
        <v>23</v>
      </c>
      <c r="B26" s="997" t="s">
        <v>69</v>
      </c>
      <c r="C26" s="998"/>
      <c r="D26" s="48" t="s">
        <v>25</v>
      </c>
      <c r="E26" s="55">
        <f t="shared" si="6"/>
        <v>1518664</v>
      </c>
      <c r="F26" s="56">
        <f t="shared" si="6"/>
        <v>1468664</v>
      </c>
      <c r="G26" s="56">
        <f t="shared" si="6"/>
        <v>1458914</v>
      </c>
      <c r="H26" s="11">
        <f t="shared" si="0"/>
        <v>99.336131341137246</v>
      </c>
      <c r="I26" s="63">
        <f t="shared" si="6"/>
        <v>1488487</v>
      </c>
      <c r="J26" s="72">
        <v>1518664</v>
      </c>
      <c r="K26" s="75">
        <v>1468664</v>
      </c>
      <c r="L26" s="75">
        <v>1458914</v>
      </c>
      <c r="M26" s="7">
        <f t="shared" si="2"/>
        <v>99.336131341137246</v>
      </c>
      <c r="N26" s="63">
        <v>1488487</v>
      </c>
      <c r="O26" s="82"/>
      <c r="P26" s="75"/>
      <c r="Q26" s="75"/>
      <c r="R26" s="7" t="e">
        <f t="shared" si="3"/>
        <v>#DIV/0!</v>
      </c>
      <c r="S26" s="80"/>
      <c r="T26" s="82">
        <v>2500</v>
      </c>
      <c r="U26" s="75">
        <v>2500</v>
      </c>
      <c r="V26" s="75">
        <v>18836</v>
      </c>
      <c r="W26" s="7">
        <f t="shared" si="4"/>
        <v>753.43999999999994</v>
      </c>
      <c r="X26" s="134">
        <v>17774</v>
      </c>
    </row>
    <row r="27" spans="1:24" s="12" customFormat="1" ht="9.75" x14ac:dyDescent="0.2">
      <c r="A27" s="27" t="s">
        <v>45</v>
      </c>
      <c r="B27" s="418" t="s">
        <v>70</v>
      </c>
      <c r="C27" s="419"/>
      <c r="D27" s="48" t="s">
        <v>25</v>
      </c>
      <c r="E27" s="55">
        <f t="shared" si="6"/>
        <v>0</v>
      </c>
      <c r="F27" s="56">
        <f t="shared" si="6"/>
        <v>4701</v>
      </c>
      <c r="G27" s="56">
        <f t="shared" si="6"/>
        <v>354.2</v>
      </c>
      <c r="H27" s="11">
        <f t="shared" si="0"/>
        <v>7.534567113380132</v>
      </c>
      <c r="I27" s="63">
        <f t="shared" si="6"/>
        <v>1526</v>
      </c>
      <c r="J27" s="72"/>
      <c r="K27" s="75">
        <v>4701</v>
      </c>
      <c r="L27" s="75">
        <v>354.2</v>
      </c>
      <c r="M27" s="7">
        <f t="shared" si="2"/>
        <v>7.534567113380132</v>
      </c>
      <c r="N27" s="80">
        <v>1526</v>
      </c>
      <c r="O27" s="82"/>
      <c r="P27" s="75"/>
      <c r="Q27" s="75"/>
      <c r="R27" s="7" t="e">
        <f t="shared" si="3"/>
        <v>#DIV/0!</v>
      </c>
      <c r="S27" s="80"/>
      <c r="T27" s="82"/>
      <c r="U27" s="75"/>
      <c r="V27" s="75"/>
      <c r="W27" s="7" t="e">
        <f t="shared" si="4"/>
        <v>#DIV/0!</v>
      </c>
      <c r="X27" s="97"/>
    </row>
    <row r="28" spans="1:24" s="12" customFormat="1" ht="9.75" x14ac:dyDescent="0.2">
      <c r="A28" s="27" t="s">
        <v>51</v>
      </c>
      <c r="B28" s="418" t="s">
        <v>74</v>
      </c>
      <c r="C28" s="419"/>
      <c r="D28" s="48" t="s">
        <v>25</v>
      </c>
      <c r="E28" s="56">
        <f t="shared" si="6"/>
        <v>573500</v>
      </c>
      <c r="F28" s="56">
        <f t="shared" si="6"/>
        <v>783840</v>
      </c>
      <c r="G28" s="56">
        <f t="shared" si="6"/>
        <v>780096.72</v>
      </c>
      <c r="H28" s="11">
        <f t="shared" si="0"/>
        <v>99.522443355786891</v>
      </c>
      <c r="I28" s="63">
        <f t="shared" si="6"/>
        <v>1141478</v>
      </c>
      <c r="J28" s="72">
        <v>452000</v>
      </c>
      <c r="K28" s="75">
        <v>721840</v>
      </c>
      <c r="L28" s="75">
        <v>718424.72</v>
      </c>
      <c r="M28" s="7">
        <f t="shared" si="2"/>
        <v>99.526864679153277</v>
      </c>
      <c r="N28" s="80">
        <v>998968</v>
      </c>
      <c r="O28" s="82">
        <v>121500</v>
      </c>
      <c r="P28" s="75">
        <v>62000</v>
      </c>
      <c r="Q28" s="75">
        <v>61672</v>
      </c>
      <c r="R28" s="7">
        <f t="shared" si="3"/>
        <v>99.470967741935482</v>
      </c>
      <c r="S28" s="80">
        <v>142510</v>
      </c>
      <c r="T28" s="82"/>
      <c r="U28" s="75"/>
      <c r="V28" s="75">
        <v>447</v>
      </c>
      <c r="W28" s="7" t="e">
        <f t="shared" si="4"/>
        <v>#DIV/0!</v>
      </c>
      <c r="X28" s="134">
        <v>1239</v>
      </c>
    </row>
    <row r="29" spans="1:24" s="10" customFormat="1" ht="9.75" x14ac:dyDescent="0.2">
      <c r="A29" s="27" t="s">
        <v>52</v>
      </c>
      <c r="B29" s="997" t="s">
        <v>67</v>
      </c>
      <c r="C29" s="998"/>
      <c r="D29" s="48" t="s">
        <v>25</v>
      </c>
      <c r="E29" s="55">
        <f t="shared" ref="E29:G31" si="7">SUM(J29,O29)</f>
        <v>16000</v>
      </c>
      <c r="F29" s="56">
        <f t="shared" si="7"/>
        <v>13400</v>
      </c>
      <c r="G29" s="56">
        <f t="shared" si="7"/>
        <v>13359</v>
      </c>
      <c r="H29" s="11">
        <f t="shared" si="0"/>
        <v>99.694029850746261</v>
      </c>
      <c r="I29" s="63">
        <f>SUM(N29,S29)</f>
        <v>15645</v>
      </c>
      <c r="J29" s="72">
        <v>16000</v>
      </c>
      <c r="K29" s="75">
        <v>13400</v>
      </c>
      <c r="L29" s="75">
        <v>13359</v>
      </c>
      <c r="M29" s="7">
        <f t="shared" si="2"/>
        <v>99.694029850746261</v>
      </c>
      <c r="N29" s="80">
        <v>15645</v>
      </c>
      <c r="O29" s="82"/>
      <c r="P29" s="75"/>
      <c r="Q29" s="75"/>
      <c r="R29" s="7" t="e">
        <f t="shared" si="3"/>
        <v>#DIV/0!</v>
      </c>
      <c r="S29" s="80"/>
      <c r="T29" s="82"/>
      <c r="U29" s="75"/>
      <c r="V29" s="75"/>
      <c r="W29" s="7" t="e">
        <f t="shared" si="4"/>
        <v>#DIV/0!</v>
      </c>
      <c r="X29" s="97"/>
    </row>
    <row r="30" spans="1:24" s="3" customFormat="1" ht="9.75" x14ac:dyDescent="0.2">
      <c r="A30" s="27" t="s">
        <v>54</v>
      </c>
      <c r="B30" s="418" t="s">
        <v>53</v>
      </c>
      <c r="C30" s="419"/>
      <c r="D30" s="48" t="s">
        <v>25</v>
      </c>
      <c r="E30" s="55">
        <f t="shared" si="7"/>
        <v>0</v>
      </c>
      <c r="F30" s="56">
        <f t="shared" si="7"/>
        <v>0</v>
      </c>
      <c r="G30" s="56">
        <f t="shared" si="7"/>
        <v>0</v>
      </c>
      <c r="H30" s="11" t="e">
        <f t="shared" si="0"/>
        <v>#DIV/0!</v>
      </c>
      <c r="I30" s="63">
        <f>SUM(N30,S30)</f>
        <v>0</v>
      </c>
      <c r="J30" s="72"/>
      <c r="K30" s="75"/>
      <c r="L30" s="75"/>
      <c r="M30" s="7" t="e">
        <f t="shared" si="2"/>
        <v>#DIV/0!</v>
      </c>
      <c r="N30" s="80"/>
      <c r="O30" s="82"/>
      <c r="P30" s="75"/>
      <c r="Q30" s="75"/>
      <c r="R30" s="7" t="e">
        <f t="shared" si="3"/>
        <v>#DIV/0!</v>
      </c>
      <c r="S30" s="80"/>
      <c r="T30" s="82"/>
      <c r="U30" s="75"/>
      <c r="V30" s="75"/>
      <c r="W30" s="7" t="e">
        <f t="shared" si="4"/>
        <v>#DIV/0!</v>
      </c>
      <c r="X30" s="97"/>
    </row>
    <row r="31" spans="1:24" s="31" customFormat="1" ht="9.75" x14ac:dyDescent="0.2">
      <c r="A31" s="27" t="s">
        <v>55</v>
      </c>
      <c r="B31" s="102" t="s">
        <v>71</v>
      </c>
      <c r="C31" s="103"/>
      <c r="D31" s="48" t="s">
        <v>25</v>
      </c>
      <c r="E31" s="55">
        <f t="shared" si="7"/>
        <v>0</v>
      </c>
      <c r="F31" s="56">
        <f t="shared" si="7"/>
        <v>0</v>
      </c>
      <c r="G31" s="56">
        <f t="shared" si="7"/>
        <v>0</v>
      </c>
      <c r="H31" s="11" t="e">
        <f t="shared" si="0"/>
        <v>#DIV/0!</v>
      </c>
      <c r="I31" s="63">
        <f>SUM(N31,S31)</f>
        <v>0</v>
      </c>
      <c r="J31" s="72"/>
      <c r="K31" s="104"/>
      <c r="L31" s="104"/>
      <c r="M31" s="7" t="e">
        <f t="shared" si="2"/>
        <v>#DIV/0!</v>
      </c>
      <c r="N31" s="105"/>
      <c r="O31" s="106"/>
      <c r="P31" s="104"/>
      <c r="Q31" s="104"/>
      <c r="R31" s="7" t="e">
        <f t="shared" si="3"/>
        <v>#DIV/0!</v>
      </c>
      <c r="S31" s="105"/>
      <c r="T31" s="106"/>
      <c r="U31" s="104"/>
      <c r="V31" s="104"/>
      <c r="W31" s="7" t="e">
        <f t="shared" si="4"/>
        <v>#DIV/0!</v>
      </c>
      <c r="X31" s="109"/>
    </row>
    <row r="32" spans="1:24" s="31" customFormat="1" ht="9.75" x14ac:dyDescent="0.2">
      <c r="A32" s="110" t="s">
        <v>56</v>
      </c>
      <c r="B32" s="111" t="s">
        <v>72</v>
      </c>
      <c r="C32" s="112"/>
      <c r="D32" s="49" t="s">
        <v>25</v>
      </c>
      <c r="E32" s="57">
        <f>SUM(J32,O32)</f>
        <v>0</v>
      </c>
      <c r="F32" s="58">
        <f>SUM(K32,P32)</f>
        <v>0</v>
      </c>
      <c r="G32" s="58">
        <f>SUM(L32,Q32)</f>
        <v>0</v>
      </c>
      <c r="H32" s="13" t="e">
        <f t="shared" si="0"/>
        <v>#DIV/0!</v>
      </c>
      <c r="I32" s="65">
        <f>SUM(N32,S32)</f>
        <v>0</v>
      </c>
      <c r="J32" s="113"/>
      <c r="K32" s="90"/>
      <c r="L32" s="90"/>
      <c r="M32" s="24" t="e">
        <f t="shared" si="2"/>
        <v>#DIV/0!</v>
      </c>
      <c r="N32" s="114"/>
      <c r="O32" s="89"/>
      <c r="P32" s="90"/>
      <c r="Q32" s="90"/>
      <c r="R32" s="24" t="e">
        <f t="shared" si="3"/>
        <v>#DIV/0!</v>
      </c>
      <c r="S32" s="114"/>
      <c r="T32" s="89"/>
      <c r="U32" s="90"/>
      <c r="V32" s="90"/>
      <c r="W32" s="24" t="e">
        <f t="shared" si="4"/>
        <v>#DIV/0!</v>
      </c>
      <c r="X32" s="98"/>
    </row>
    <row r="33" spans="1:24" s="31" customFormat="1" ht="9.75" x14ac:dyDescent="0.2">
      <c r="A33" s="16" t="s">
        <v>57</v>
      </c>
      <c r="B33" s="34" t="s">
        <v>58</v>
      </c>
      <c r="C33" s="35"/>
      <c r="D33" s="17" t="s">
        <v>25</v>
      </c>
      <c r="E33" s="52">
        <f>E6-E11</f>
        <v>0</v>
      </c>
      <c r="F33" s="52">
        <f t="shared" ref="F33:G33" si="8">F6-F11</f>
        <v>-4000</v>
      </c>
      <c r="G33" s="52">
        <f t="shared" si="8"/>
        <v>32931.859999991953</v>
      </c>
      <c r="H33" s="32">
        <f t="shared" si="0"/>
        <v>-823.2964999997987</v>
      </c>
      <c r="I33" s="52">
        <f t="shared" ref="I33:L33" si="9">I6-I11</f>
        <v>26634</v>
      </c>
      <c r="J33" s="52">
        <f t="shared" si="9"/>
        <v>0</v>
      </c>
      <c r="K33" s="52">
        <f t="shared" si="9"/>
        <v>-4000</v>
      </c>
      <c r="L33" s="52">
        <f t="shared" si="9"/>
        <v>32931.859999999404</v>
      </c>
      <c r="M33" s="33">
        <f t="shared" si="2"/>
        <v>-823.29649999998514</v>
      </c>
      <c r="N33" s="52">
        <f t="shared" ref="N33:Q33" si="10">N6-N11</f>
        <v>26634</v>
      </c>
      <c r="O33" s="52">
        <f t="shared" si="10"/>
        <v>0</v>
      </c>
      <c r="P33" s="52">
        <f t="shared" si="10"/>
        <v>0</v>
      </c>
      <c r="Q33" s="52">
        <f t="shared" si="10"/>
        <v>0</v>
      </c>
      <c r="R33" s="33" t="e">
        <f t="shared" si="3"/>
        <v>#DIV/0!</v>
      </c>
      <c r="S33" s="52">
        <f t="shared" ref="S33:V33" si="11">S6-S11</f>
        <v>0</v>
      </c>
      <c r="T33" s="52">
        <f t="shared" si="11"/>
        <v>88700</v>
      </c>
      <c r="U33" s="52">
        <f t="shared" si="11"/>
        <v>88700</v>
      </c>
      <c r="V33" s="52">
        <f t="shared" si="11"/>
        <v>123493</v>
      </c>
      <c r="W33" s="178">
        <f t="shared" si="4"/>
        <v>139.22547914317926</v>
      </c>
      <c r="X33" s="52">
        <f>X6-X11</f>
        <v>89977</v>
      </c>
    </row>
    <row r="34" spans="1:24" s="37" customFormat="1" ht="9.75" x14ac:dyDescent="0.2">
      <c r="A34" s="36" t="s">
        <v>59</v>
      </c>
      <c r="B34" s="999" t="s">
        <v>24</v>
      </c>
      <c r="C34" s="1000"/>
      <c r="D34" s="99" t="s">
        <v>25</v>
      </c>
      <c r="E34" s="40">
        <v>24800</v>
      </c>
      <c r="F34" s="41">
        <v>24850</v>
      </c>
      <c r="G34" s="41">
        <v>26115</v>
      </c>
      <c r="H34" s="9">
        <f t="shared" si="0"/>
        <v>105.09054325955734</v>
      </c>
      <c r="I34" s="44">
        <v>23599</v>
      </c>
      <c r="J34" s="444">
        <v>15900</v>
      </c>
      <c r="K34" s="444">
        <v>15900</v>
      </c>
      <c r="L34" s="444">
        <v>16890</v>
      </c>
      <c r="M34" s="178">
        <f t="shared" si="2"/>
        <v>106.22641509433963</v>
      </c>
      <c r="N34" s="444">
        <v>15900</v>
      </c>
      <c r="O34" s="444">
        <v>24800</v>
      </c>
      <c r="P34" s="444">
        <v>24850</v>
      </c>
      <c r="Q34" s="444">
        <v>26115</v>
      </c>
      <c r="R34" s="178">
        <f t="shared" si="3"/>
        <v>105.09054325955734</v>
      </c>
      <c r="S34" s="444"/>
      <c r="T34" s="444"/>
      <c r="U34" s="444"/>
      <c r="V34" s="444"/>
      <c r="W34" s="178" t="e">
        <f t="shared" si="4"/>
        <v>#DIV/0!</v>
      </c>
      <c r="X34" s="444"/>
    </row>
    <row r="35" spans="1:24" s="37" customFormat="1" ht="9.75" x14ac:dyDescent="0.2">
      <c r="A35" s="38" t="s">
        <v>60</v>
      </c>
      <c r="B35" s="1001" t="s">
        <v>33</v>
      </c>
      <c r="C35" s="1002"/>
      <c r="D35" s="100" t="s">
        <v>26</v>
      </c>
      <c r="E35" s="118">
        <v>94</v>
      </c>
      <c r="F35" s="119">
        <v>94</v>
      </c>
      <c r="G35" s="119">
        <v>94</v>
      </c>
      <c r="H35" s="11">
        <f t="shared" si="0"/>
        <v>100</v>
      </c>
      <c r="I35" s="45">
        <v>94</v>
      </c>
      <c r="J35" s="444">
        <v>2</v>
      </c>
      <c r="K35" s="444">
        <v>2</v>
      </c>
      <c r="L35" s="444">
        <v>2</v>
      </c>
      <c r="M35" s="178">
        <f t="shared" si="2"/>
        <v>100</v>
      </c>
      <c r="N35" s="444">
        <v>2</v>
      </c>
      <c r="O35" s="444">
        <v>92</v>
      </c>
      <c r="P35" s="444">
        <v>92</v>
      </c>
      <c r="Q35" s="444">
        <v>92</v>
      </c>
      <c r="R35" s="178">
        <f t="shared" si="3"/>
        <v>100</v>
      </c>
      <c r="S35" s="444"/>
      <c r="T35" s="444"/>
      <c r="U35" s="444"/>
      <c r="V35" s="444"/>
      <c r="W35" s="178" t="e">
        <f t="shared" si="4"/>
        <v>#DIV/0!</v>
      </c>
      <c r="X35" s="444"/>
    </row>
    <row r="36" spans="1:24" s="37" customFormat="1" ht="9.75" x14ac:dyDescent="0.2">
      <c r="A36" s="39" t="s">
        <v>61</v>
      </c>
      <c r="B36" s="1003" t="s">
        <v>27</v>
      </c>
      <c r="C36" s="1004"/>
      <c r="D36" s="101" t="s">
        <v>26</v>
      </c>
      <c r="E36" s="42">
        <v>107</v>
      </c>
      <c r="F36" s="43">
        <v>107</v>
      </c>
      <c r="G36" s="43">
        <v>107</v>
      </c>
      <c r="H36" s="13">
        <f t="shared" si="0"/>
        <v>100</v>
      </c>
      <c r="I36" s="46">
        <v>107</v>
      </c>
      <c r="J36" s="444">
        <v>4</v>
      </c>
      <c r="K36" s="444">
        <v>4</v>
      </c>
      <c r="L36" s="444">
        <v>4</v>
      </c>
      <c r="M36" s="178">
        <f t="shared" si="2"/>
        <v>100</v>
      </c>
      <c r="N36" s="444">
        <v>4</v>
      </c>
      <c r="O36" s="444">
        <v>103</v>
      </c>
      <c r="P36" s="444">
        <v>103</v>
      </c>
      <c r="Q36" s="444">
        <v>103</v>
      </c>
      <c r="R36" s="178">
        <f t="shared" si="3"/>
        <v>100</v>
      </c>
      <c r="S36" s="444"/>
      <c r="T36" s="444"/>
      <c r="U36" s="444"/>
      <c r="V36" s="444"/>
      <c r="W36" s="178" t="e">
        <f t="shared" si="4"/>
        <v>#DIV/0!</v>
      </c>
      <c r="X36" s="444"/>
    </row>
    <row r="37" spans="1:24" ht="9" x14ac:dyDescent="0.2">
      <c r="Q37" s="526"/>
    </row>
  </sheetData>
  <mergeCells count="39">
    <mergeCell ref="A1:X1"/>
    <mergeCell ref="A3:A5"/>
    <mergeCell ref="B3:C5"/>
    <mergeCell ref="D3:D5"/>
    <mergeCell ref="E3:I3"/>
    <mergeCell ref="J3:N3"/>
    <mergeCell ref="O3:S3"/>
    <mergeCell ref="T3:X3"/>
    <mergeCell ref="E4:E5"/>
    <mergeCell ref="F4:H4"/>
    <mergeCell ref="S4:S5"/>
    <mergeCell ref="T4:T5"/>
    <mergeCell ref="U4:W4"/>
    <mergeCell ref="X4:X5"/>
    <mergeCell ref="O4:O5"/>
    <mergeCell ref="P4:R4"/>
    <mergeCell ref="B7:C7"/>
    <mergeCell ref="I4:I5"/>
    <mergeCell ref="J4:J5"/>
    <mergeCell ref="K4:M4"/>
    <mergeCell ref="N4:N5"/>
    <mergeCell ref="B6:C6"/>
    <mergeCell ref="B22:C22"/>
    <mergeCell ref="B8:C8"/>
    <mergeCell ref="B10:C10"/>
    <mergeCell ref="B11:C11"/>
    <mergeCell ref="B12:C12"/>
    <mergeCell ref="B13:C13"/>
    <mergeCell ref="B15:C15"/>
    <mergeCell ref="B16:C16"/>
    <mergeCell ref="B18:C18"/>
    <mergeCell ref="B19:C19"/>
    <mergeCell ref="B20:C20"/>
    <mergeCell ref="B21:C21"/>
    <mergeCell ref="B26:C26"/>
    <mergeCell ref="B29:C29"/>
    <mergeCell ref="B34:C34"/>
    <mergeCell ref="B35:C35"/>
    <mergeCell ref="B36:C36"/>
  </mergeCells>
  <pageMargins left="0.70866141732283472" right="0.70866141732283472" top="0.78740157480314965" bottom="0.78740157480314965" header="0.31496062992125984" footer="0.31496062992125984"/>
  <pageSetup paperSize="9" scale="91" firstPageNumber="107" orientation="landscape" useFirstPageNumber="1"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1"/>
  <sheetViews>
    <sheetView workbookViewId="0">
      <selection activeCell="A107" sqref="A107:XFD107"/>
    </sheetView>
  </sheetViews>
  <sheetFormatPr defaultRowHeight="15" customHeight="1" x14ac:dyDescent="0.2"/>
  <cols>
    <col min="1" max="1" width="58" style="240" customWidth="1"/>
    <col min="2" max="2" width="33.5" style="240" customWidth="1"/>
    <col min="3" max="5" width="25.75" style="240" customWidth="1"/>
    <col min="6" max="6" width="22.75" style="240" customWidth="1"/>
    <col min="7" max="16384" width="10" style="240"/>
  </cols>
  <sheetData>
    <row r="1" spans="1:9" s="425" customFormat="1" ht="15" customHeight="1" x14ac:dyDescent="0.3">
      <c r="A1" s="425" t="s">
        <v>92</v>
      </c>
      <c r="B1" s="425" t="s">
        <v>75</v>
      </c>
    </row>
    <row r="3" spans="1:9" s="180" customFormat="1" ht="15" customHeight="1" x14ac:dyDescent="0.15">
      <c r="A3" s="1039" t="s">
        <v>354</v>
      </c>
      <c r="B3" s="1039"/>
      <c r="C3" s="1039"/>
      <c r="D3" s="1039"/>
      <c r="E3" s="1039"/>
      <c r="F3" s="1039"/>
      <c r="G3" s="1039"/>
      <c r="H3" s="1039"/>
      <c r="I3" s="1039"/>
    </row>
    <row r="4" spans="1:9" s="181" customFormat="1" ht="15" customHeight="1" x14ac:dyDescent="0.2"/>
    <row r="5" spans="1:9" s="182" customFormat="1" ht="15" customHeight="1" x14ac:dyDescent="0.2">
      <c r="A5" s="1040" t="s">
        <v>93</v>
      </c>
      <c r="B5" s="1041"/>
      <c r="C5" s="420" t="s">
        <v>25</v>
      </c>
      <c r="D5" s="1042" t="s">
        <v>355</v>
      </c>
      <c r="E5" s="1042"/>
      <c r="F5" s="1042"/>
      <c r="G5" s="1042"/>
      <c r="H5" s="1042"/>
      <c r="I5" s="1042"/>
    </row>
    <row r="6" spans="1:9" s="181" customFormat="1" ht="15" customHeight="1" x14ac:dyDescent="0.2">
      <c r="A6" s="1043" t="s">
        <v>356</v>
      </c>
      <c r="B6" s="1043"/>
      <c r="C6" s="183">
        <f>SUM(C7:C9)</f>
        <v>188402.09</v>
      </c>
      <c r="D6" s="1044"/>
      <c r="E6" s="1045"/>
      <c r="F6" s="1045"/>
      <c r="G6" s="1045"/>
      <c r="H6" s="1045"/>
      <c r="I6" s="1045"/>
    </row>
    <row r="7" spans="1:9" s="181" customFormat="1" ht="15" customHeight="1" x14ac:dyDescent="0.2">
      <c r="A7" s="1046" t="s">
        <v>94</v>
      </c>
      <c r="B7" s="1047"/>
      <c r="C7" s="184">
        <v>150604.09</v>
      </c>
      <c r="D7" s="1048" t="s">
        <v>1257</v>
      </c>
      <c r="E7" s="1048"/>
      <c r="F7" s="1048"/>
      <c r="G7" s="1048"/>
      <c r="H7" s="1048"/>
      <c r="I7" s="1048"/>
    </row>
    <row r="8" spans="1:9" s="180" customFormat="1" ht="15" customHeight="1" x14ac:dyDescent="0.15">
      <c r="A8" s="1049" t="s">
        <v>95</v>
      </c>
      <c r="B8" s="1050"/>
      <c r="C8" s="185">
        <v>37798</v>
      </c>
      <c r="D8" s="1048" t="s">
        <v>1258</v>
      </c>
      <c r="E8" s="1048"/>
      <c r="F8" s="1048"/>
      <c r="G8" s="1048"/>
      <c r="H8" s="1048"/>
      <c r="I8" s="1048"/>
    </row>
    <row r="9" spans="1:9" s="180" customFormat="1" ht="15" customHeight="1" x14ac:dyDescent="0.15">
      <c r="A9" s="1049" t="s">
        <v>96</v>
      </c>
      <c r="B9" s="1050"/>
      <c r="C9" s="185">
        <v>0</v>
      </c>
      <c r="D9" s="1051"/>
      <c r="E9" s="1052"/>
      <c r="F9" s="1052"/>
      <c r="G9" s="1052"/>
      <c r="H9" s="1052"/>
      <c r="I9" s="1053"/>
    </row>
    <row r="10" spans="1:9" s="181" customFormat="1" ht="15" customHeight="1" x14ac:dyDescent="0.2">
      <c r="C10" s="186"/>
    </row>
    <row r="11" spans="1:9" s="181" customFormat="1" ht="15" customHeight="1" x14ac:dyDescent="0.2">
      <c r="A11" s="1039" t="s">
        <v>359</v>
      </c>
      <c r="B11" s="1039"/>
      <c r="C11" s="1039"/>
      <c r="D11" s="1039"/>
      <c r="E11" s="1039"/>
      <c r="F11" s="1039"/>
      <c r="G11" s="1039"/>
      <c r="H11" s="1039"/>
      <c r="I11" s="1039"/>
    </row>
    <row r="12" spans="1:9" s="181" customFormat="1" ht="15" customHeight="1" x14ac:dyDescent="0.2">
      <c r="C12" s="186"/>
      <c r="D12" s="187"/>
      <c r="E12" s="187"/>
      <c r="F12" s="187"/>
      <c r="G12" s="187"/>
      <c r="H12" s="187"/>
      <c r="I12" s="187"/>
    </row>
    <row r="13" spans="1:9" s="190" customFormat="1" ht="15" customHeight="1" x14ac:dyDescent="0.2">
      <c r="A13" s="420" t="s">
        <v>93</v>
      </c>
      <c r="B13" s="420" t="s">
        <v>97</v>
      </c>
      <c r="C13" s="420" t="s">
        <v>25</v>
      </c>
      <c r="D13" s="188"/>
      <c r="E13" s="189"/>
      <c r="F13" s="189"/>
      <c r="G13" s="189"/>
      <c r="H13" s="189"/>
      <c r="I13" s="189"/>
    </row>
    <row r="14" spans="1:9" s="181" customFormat="1" ht="15" customHeight="1" x14ac:dyDescent="0.2">
      <c r="A14" s="191" t="s">
        <v>98</v>
      </c>
      <c r="B14" s="192"/>
      <c r="C14" s="193">
        <v>0</v>
      </c>
      <c r="D14" s="194"/>
      <c r="E14" s="195"/>
      <c r="F14" s="195"/>
      <c r="G14" s="195"/>
      <c r="H14" s="195"/>
      <c r="I14" s="195"/>
    </row>
    <row r="15" spans="1:9" s="181" customFormat="1" ht="15" customHeight="1" x14ac:dyDescent="0.2">
      <c r="A15" s="1037" t="s">
        <v>99</v>
      </c>
      <c r="B15" s="196" t="s">
        <v>100</v>
      </c>
      <c r="C15" s="197">
        <v>181402.09</v>
      </c>
      <c r="D15" s="198"/>
      <c r="E15" s="199"/>
      <c r="F15" s="199"/>
      <c r="G15" s="199"/>
      <c r="H15" s="199"/>
      <c r="I15" s="199"/>
    </row>
    <row r="16" spans="1:9" s="181" customFormat="1" ht="15" customHeight="1" x14ac:dyDescent="0.2">
      <c r="A16" s="1038"/>
      <c r="B16" s="200" t="s">
        <v>100</v>
      </c>
      <c r="C16" s="201">
        <v>0</v>
      </c>
      <c r="D16" s="198"/>
      <c r="E16" s="199"/>
      <c r="F16" s="199"/>
      <c r="G16" s="199"/>
      <c r="H16" s="199"/>
      <c r="I16" s="199"/>
    </row>
    <row r="17" spans="1:9" s="181" customFormat="1" ht="15" customHeight="1" x14ac:dyDescent="0.2">
      <c r="A17" s="1038"/>
      <c r="B17" s="200" t="s">
        <v>101</v>
      </c>
      <c r="C17" s="202">
        <v>7000</v>
      </c>
      <c r="D17" s="203"/>
      <c r="E17" s="204"/>
      <c r="F17" s="204"/>
      <c r="G17" s="204"/>
      <c r="H17" s="204"/>
      <c r="I17" s="204"/>
    </row>
    <row r="18" spans="1:9" s="181" customFormat="1" ht="15" customHeight="1" x14ac:dyDescent="0.2">
      <c r="A18" s="421" t="s">
        <v>356</v>
      </c>
      <c r="B18" s="205"/>
      <c r="C18" s="206">
        <f>SUM(C14:C17)</f>
        <v>188402.09</v>
      </c>
      <c r="D18" s="207"/>
      <c r="E18" s="207"/>
      <c r="F18" s="207"/>
      <c r="G18" s="207"/>
      <c r="H18" s="207"/>
      <c r="I18" s="207"/>
    </row>
    <row r="19" spans="1:9" s="209" customFormat="1" ht="15" customHeight="1" x14ac:dyDescent="0.2">
      <c r="A19" s="208"/>
      <c r="C19" s="210"/>
      <c r="D19" s="211"/>
      <c r="E19" s="211"/>
      <c r="F19" s="211"/>
      <c r="G19" s="211"/>
      <c r="H19" s="211"/>
      <c r="I19" s="211"/>
    </row>
    <row r="20" spans="1:9" s="181" customFormat="1" ht="15" customHeight="1" x14ac:dyDescent="0.2">
      <c r="A20" s="1039" t="s">
        <v>360</v>
      </c>
      <c r="B20" s="1039"/>
      <c r="C20" s="1039"/>
      <c r="D20" s="1039"/>
      <c r="E20" s="1039"/>
      <c r="F20" s="1039"/>
      <c r="G20" s="1039"/>
      <c r="H20" s="1039"/>
      <c r="I20" s="1039"/>
    </row>
    <row r="21" spans="1:9" s="181" customFormat="1" ht="15" customHeight="1" x14ac:dyDescent="0.2">
      <c r="C21" s="186"/>
    </row>
    <row r="22" spans="1:9" s="212" customFormat="1" ht="15" customHeight="1" x14ac:dyDescent="0.2">
      <c r="A22" s="420" t="s">
        <v>97</v>
      </c>
      <c r="B22" s="420" t="s">
        <v>361</v>
      </c>
      <c r="C22" s="423" t="s">
        <v>362</v>
      </c>
      <c r="D22" s="420" t="s">
        <v>363</v>
      </c>
      <c r="E22" s="420" t="s">
        <v>364</v>
      </c>
      <c r="F22" s="1042" t="s">
        <v>365</v>
      </c>
      <c r="G22" s="1042"/>
      <c r="H22" s="1042"/>
      <c r="I22" s="1042"/>
    </row>
    <row r="23" spans="1:9" s="181" customFormat="1" ht="56.25" customHeight="1" x14ac:dyDescent="0.2">
      <c r="A23" s="213" t="s">
        <v>102</v>
      </c>
      <c r="B23" s="214">
        <v>96601.39</v>
      </c>
      <c r="C23" s="214">
        <v>446225.11</v>
      </c>
      <c r="D23" s="214">
        <v>318929</v>
      </c>
      <c r="E23" s="214">
        <f>B23+C23-D23</f>
        <v>223897.5</v>
      </c>
      <c r="F23" s="1054" t="s">
        <v>1259</v>
      </c>
      <c r="G23" s="1055"/>
      <c r="H23" s="1055"/>
      <c r="I23" s="1056"/>
    </row>
    <row r="24" spans="1:9" s="181" customFormat="1" ht="30.75" customHeight="1" x14ac:dyDescent="0.2">
      <c r="A24" s="196" t="s">
        <v>103</v>
      </c>
      <c r="B24" s="215">
        <v>89124.28</v>
      </c>
      <c r="C24" s="215">
        <v>1065680.05</v>
      </c>
      <c r="D24" s="215">
        <v>748708</v>
      </c>
      <c r="E24" s="215">
        <f t="shared" ref="E24:E26" si="0">B24+C24-D24</f>
        <v>406096.33000000007</v>
      </c>
      <c r="F24" s="1057" t="s">
        <v>1260</v>
      </c>
      <c r="G24" s="1058"/>
      <c r="H24" s="1058"/>
      <c r="I24" s="1059"/>
    </row>
    <row r="25" spans="1:9" s="181" customFormat="1" ht="25.5" customHeight="1" x14ac:dyDescent="0.2">
      <c r="A25" s="196" t="s">
        <v>101</v>
      </c>
      <c r="B25" s="215">
        <v>59097</v>
      </c>
      <c r="C25" s="215">
        <v>0</v>
      </c>
      <c r="D25" s="215">
        <v>7900</v>
      </c>
      <c r="E25" s="215">
        <f t="shared" si="0"/>
        <v>51197</v>
      </c>
      <c r="F25" s="1057" t="s">
        <v>1261</v>
      </c>
      <c r="G25" s="1058"/>
      <c r="H25" s="1058"/>
      <c r="I25" s="1059"/>
    </row>
    <row r="26" spans="1:9" s="181" customFormat="1" ht="69.75" customHeight="1" x14ac:dyDescent="0.2">
      <c r="A26" s="200" t="s">
        <v>104</v>
      </c>
      <c r="B26" s="216">
        <v>30015.74</v>
      </c>
      <c r="C26" s="216">
        <v>117221.16</v>
      </c>
      <c r="D26" s="216">
        <v>78844</v>
      </c>
      <c r="E26" s="215">
        <f t="shared" si="0"/>
        <v>68392.899999999994</v>
      </c>
      <c r="F26" s="1060" t="s">
        <v>1262</v>
      </c>
      <c r="G26" s="1061"/>
      <c r="H26" s="1061"/>
      <c r="I26" s="1062"/>
    </row>
    <row r="27" spans="1:9" s="180" customFormat="1" ht="15" customHeight="1" x14ac:dyDescent="0.15">
      <c r="A27" s="217" t="s">
        <v>34</v>
      </c>
      <c r="B27" s="183">
        <f>SUM(B23:B26)</f>
        <v>274838.40999999997</v>
      </c>
      <c r="C27" s="183">
        <f t="shared" ref="C27:E27" si="1">SUM(C23:C26)</f>
        <v>1629126.32</v>
      </c>
      <c r="D27" s="183">
        <f t="shared" si="1"/>
        <v>1154381</v>
      </c>
      <c r="E27" s="183">
        <f t="shared" si="1"/>
        <v>749583.7300000001</v>
      </c>
      <c r="F27" s="1063"/>
      <c r="G27" s="1063"/>
      <c r="H27" s="1063"/>
      <c r="I27" s="1064"/>
    </row>
    <row r="28" spans="1:9" s="181" customFormat="1" ht="15" customHeight="1" x14ac:dyDescent="0.2">
      <c r="C28" s="186"/>
    </row>
    <row r="29" spans="1:9" s="181" customFormat="1" ht="15" customHeight="1" x14ac:dyDescent="0.2">
      <c r="A29" s="1039" t="s">
        <v>370</v>
      </c>
      <c r="B29" s="1039"/>
      <c r="C29" s="1039"/>
      <c r="D29" s="1039"/>
      <c r="E29" s="1039"/>
      <c r="F29" s="1039"/>
      <c r="G29" s="1039"/>
      <c r="H29" s="1039"/>
      <c r="I29" s="1039"/>
    </row>
    <row r="30" spans="1:9" s="181" customFormat="1" ht="15" customHeight="1" x14ac:dyDescent="0.2">
      <c r="C30" s="186"/>
      <c r="D30" s="240" t="s">
        <v>1263</v>
      </c>
    </row>
    <row r="31" spans="1:9" s="181" customFormat="1" ht="15" customHeight="1" x14ac:dyDescent="0.2">
      <c r="A31" s="420" t="s">
        <v>105</v>
      </c>
      <c r="B31" s="420" t="s">
        <v>25</v>
      </c>
      <c r="C31" s="423" t="s">
        <v>106</v>
      </c>
      <c r="D31" s="1042" t="s">
        <v>107</v>
      </c>
      <c r="E31" s="1042"/>
      <c r="F31" s="1042"/>
      <c r="G31" s="1042"/>
      <c r="H31" s="1042"/>
      <c r="I31" s="1042"/>
    </row>
    <row r="32" spans="1:9" s="181" customFormat="1" ht="15" customHeight="1" x14ac:dyDescent="0.2">
      <c r="A32" s="218"/>
      <c r="B32" s="214"/>
      <c r="C32" s="219"/>
      <c r="D32" s="1065"/>
      <c r="E32" s="1066"/>
      <c r="F32" s="1066"/>
      <c r="G32" s="1066"/>
      <c r="H32" s="1066"/>
      <c r="I32" s="1067"/>
    </row>
    <row r="33" spans="1:9" s="180" customFormat="1" ht="15" customHeight="1" x14ac:dyDescent="0.2">
      <c r="A33" s="217" t="s">
        <v>34</v>
      </c>
      <c r="B33" s="183">
        <f>SUM(B32:B32)</f>
        <v>0</v>
      </c>
      <c r="C33" s="1068"/>
      <c r="D33" s="1069"/>
      <c r="E33" s="1069"/>
      <c r="F33" s="1069"/>
      <c r="G33" s="1069"/>
      <c r="H33" s="1069"/>
      <c r="I33" s="1070"/>
    </row>
    <row r="34" spans="1:9" s="181" customFormat="1" ht="15" customHeight="1" x14ac:dyDescent="0.2">
      <c r="C34" s="186"/>
    </row>
    <row r="35" spans="1:9" s="181" customFormat="1" ht="15" customHeight="1" x14ac:dyDescent="0.2">
      <c r="A35" s="1039" t="s">
        <v>372</v>
      </c>
      <c r="B35" s="1039"/>
      <c r="C35" s="1039"/>
      <c r="D35" s="1039"/>
      <c r="E35" s="1039"/>
      <c r="F35" s="1039"/>
      <c r="G35" s="1039"/>
      <c r="H35" s="1039"/>
      <c r="I35" s="1039"/>
    </row>
    <row r="36" spans="1:9" s="181" customFormat="1" ht="15" customHeight="1" x14ac:dyDescent="0.2">
      <c r="C36" s="186"/>
      <c r="D36" s="240" t="s">
        <v>518</v>
      </c>
    </row>
    <row r="37" spans="1:9" s="181" customFormat="1" ht="15" customHeight="1" x14ac:dyDescent="0.2">
      <c r="A37" s="420" t="s">
        <v>105</v>
      </c>
      <c r="B37" s="420" t="s">
        <v>25</v>
      </c>
      <c r="C37" s="423" t="s">
        <v>106</v>
      </c>
      <c r="D37" s="1071" t="s">
        <v>107</v>
      </c>
      <c r="E37" s="1071"/>
      <c r="F37" s="1071"/>
      <c r="G37" s="1071"/>
      <c r="H37" s="1071"/>
      <c r="I37" s="1072"/>
    </row>
    <row r="38" spans="1:9" s="181" customFormat="1" ht="15" customHeight="1" x14ac:dyDescent="0.2">
      <c r="A38" s="218"/>
      <c r="B38" s="214"/>
      <c r="C38" s="219"/>
      <c r="D38" s="1057"/>
      <c r="E38" s="1073"/>
      <c r="F38" s="1073"/>
      <c r="G38" s="1073"/>
      <c r="H38" s="1073"/>
      <c r="I38" s="1074"/>
    </row>
    <row r="39" spans="1:9" s="180" customFormat="1" ht="15" customHeight="1" x14ac:dyDescent="0.15">
      <c r="A39" s="217" t="s">
        <v>34</v>
      </c>
      <c r="B39" s="183">
        <f>SUM(B38:B38)</f>
        <v>0</v>
      </c>
      <c r="C39" s="1075"/>
      <c r="D39" s="1076"/>
      <c r="E39" s="1076"/>
      <c r="F39" s="1076"/>
      <c r="G39" s="1076"/>
      <c r="H39" s="1076"/>
      <c r="I39" s="1076"/>
    </row>
    <row r="40" spans="1:9" s="181" customFormat="1" ht="15" customHeight="1" x14ac:dyDescent="0.2">
      <c r="C40" s="186"/>
    </row>
    <row r="41" spans="1:9" s="181" customFormat="1" ht="15" customHeight="1" x14ac:dyDescent="0.2">
      <c r="A41" s="1039" t="s">
        <v>374</v>
      </c>
      <c r="B41" s="1039"/>
      <c r="C41" s="1039"/>
      <c r="D41" s="1039"/>
      <c r="E41" s="1039"/>
      <c r="F41" s="1039"/>
      <c r="G41" s="1039"/>
      <c r="H41" s="1039"/>
      <c r="I41" s="1039"/>
    </row>
    <row r="42" spans="1:9" s="181" customFormat="1" ht="15" customHeight="1" x14ac:dyDescent="0.2">
      <c r="C42" s="186"/>
    </row>
    <row r="43" spans="1:9" s="181" customFormat="1" ht="15" customHeight="1" x14ac:dyDescent="0.2">
      <c r="A43" s="420" t="s">
        <v>25</v>
      </c>
      <c r="B43" s="423" t="s">
        <v>375</v>
      </c>
      <c r="C43" s="1077" t="s">
        <v>108</v>
      </c>
      <c r="D43" s="1077"/>
      <c r="E43" s="1077"/>
      <c r="F43" s="1077"/>
      <c r="G43" s="1077"/>
      <c r="H43" s="1077"/>
      <c r="I43" s="1078"/>
    </row>
    <row r="44" spans="1:9" s="181" customFormat="1" ht="15" customHeight="1" x14ac:dyDescent="0.2">
      <c r="A44" s="228">
        <v>12000</v>
      </c>
      <c r="B44" s="228">
        <v>0</v>
      </c>
      <c r="C44" s="1079" t="s">
        <v>1264</v>
      </c>
      <c r="D44" s="1079"/>
      <c r="E44" s="1079"/>
      <c r="F44" s="1079"/>
      <c r="G44" s="1079"/>
      <c r="H44" s="1079"/>
      <c r="I44" s="1080"/>
    </row>
    <row r="45" spans="1:9" s="180" customFormat="1" ht="15" customHeight="1" x14ac:dyDescent="0.15">
      <c r="A45" s="183" t="e">
        <f>A44+#REF!+#REF!</f>
        <v>#REF!</v>
      </c>
      <c r="B45" s="183" t="e">
        <f>B44+#REF!+#REF!</f>
        <v>#REF!</v>
      </c>
      <c r="C45" s="1081" t="s">
        <v>34</v>
      </c>
      <c r="D45" s="1081"/>
      <c r="E45" s="1081"/>
      <c r="F45" s="1081"/>
      <c r="G45" s="1081"/>
      <c r="H45" s="1081"/>
      <c r="I45" s="1082"/>
    </row>
    <row r="46" spans="1:9" s="181" customFormat="1" ht="15" customHeight="1" x14ac:dyDescent="0.2">
      <c r="C46" s="186"/>
    </row>
    <row r="47" spans="1:9" s="181" customFormat="1" ht="15" customHeight="1" x14ac:dyDescent="0.2">
      <c r="A47" s="1039" t="s">
        <v>377</v>
      </c>
      <c r="B47" s="1039"/>
      <c r="C47" s="1039"/>
      <c r="D47" s="1039"/>
      <c r="E47" s="1039"/>
      <c r="F47" s="1039"/>
      <c r="G47" s="1039"/>
      <c r="H47" s="1039"/>
      <c r="I47" s="1039"/>
    </row>
    <row r="48" spans="1:9" s="181" customFormat="1" ht="15" customHeight="1" x14ac:dyDescent="0.2">
      <c r="C48" s="186"/>
    </row>
    <row r="49" spans="1:5" s="232" customFormat="1" ht="15" customHeight="1" x14ac:dyDescent="0.2">
      <c r="A49" s="1042" t="s">
        <v>109</v>
      </c>
      <c r="B49" s="1042"/>
      <c r="C49" s="423" t="s">
        <v>110</v>
      </c>
      <c r="D49" s="420" t="s">
        <v>111</v>
      </c>
      <c r="E49" s="420" t="s">
        <v>25</v>
      </c>
    </row>
    <row r="50" spans="1:5" s="181" customFormat="1" ht="15" customHeight="1" x14ac:dyDescent="0.2">
      <c r="A50" s="246" t="s">
        <v>1265</v>
      </c>
      <c r="B50" s="295"/>
      <c r="C50" s="969">
        <v>42902</v>
      </c>
      <c r="D50" s="969">
        <v>42902</v>
      </c>
      <c r="E50" s="248">
        <v>-150000</v>
      </c>
    </row>
    <row r="51" spans="1:5" s="181" customFormat="1" ht="15" customHeight="1" x14ac:dyDescent="0.2">
      <c r="A51" s="233" t="s">
        <v>1266</v>
      </c>
      <c r="B51" s="234"/>
      <c r="C51" s="969">
        <v>42902</v>
      </c>
      <c r="D51" s="969">
        <v>42902</v>
      </c>
      <c r="E51" s="252">
        <v>150000</v>
      </c>
    </row>
    <row r="52" spans="1:5" s="181" customFormat="1" ht="15" customHeight="1" x14ac:dyDescent="0.2">
      <c r="A52" s="233" t="s">
        <v>1267</v>
      </c>
      <c r="B52" s="234"/>
      <c r="C52" s="969">
        <v>42916</v>
      </c>
      <c r="D52" s="969">
        <v>42916</v>
      </c>
      <c r="E52" s="252">
        <v>5000</v>
      </c>
    </row>
    <row r="53" spans="1:5" s="181" customFormat="1" ht="15" customHeight="1" x14ac:dyDescent="0.2">
      <c r="A53" s="233" t="s">
        <v>1268</v>
      </c>
      <c r="B53" s="234"/>
      <c r="C53" s="969">
        <v>42916</v>
      </c>
      <c r="D53" s="969">
        <v>42916</v>
      </c>
      <c r="E53" s="252">
        <v>5000</v>
      </c>
    </row>
    <row r="54" spans="1:5" s="181" customFormat="1" ht="15" customHeight="1" x14ac:dyDescent="0.2">
      <c r="A54" s="233" t="s">
        <v>1269</v>
      </c>
      <c r="B54" s="234"/>
      <c r="C54" s="969">
        <v>42916</v>
      </c>
      <c r="D54" s="969">
        <v>42916</v>
      </c>
      <c r="E54" s="252">
        <v>1250</v>
      </c>
    </row>
    <row r="55" spans="1:5" s="181" customFormat="1" ht="15" customHeight="1" x14ac:dyDescent="0.2">
      <c r="A55" s="233" t="s">
        <v>1270</v>
      </c>
      <c r="B55" s="234"/>
      <c r="C55" s="969">
        <v>42916</v>
      </c>
      <c r="D55" s="969">
        <v>42916</v>
      </c>
      <c r="E55" s="252">
        <v>450</v>
      </c>
    </row>
    <row r="56" spans="1:5" s="181" customFormat="1" ht="15" customHeight="1" x14ac:dyDescent="0.2">
      <c r="A56" s="233" t="s">
        <v>1271</v>
      </c>
      <c r="B56" s="234"/>
      <c r="C56" s="970">
        <v>42916</v>
      </c>
      <c r="D56" s="970">
        <v>42916</v>
      </c>
      <c r="E56" s="252">
        <v>1700</v>
      </c>
    </row>
    <row r="57" spans="1:5" s="181" customFormat="1" ht="15" customHeight="1" x14ac:dyDescent="0.2">
      <c r="A57" s="233" t="s">
        <v>1272</v>
      </c>
      <c r="B57" s="234"/>
      <c r="C57" s="970">
        <v>42941</v>
      </c>
      <c r="D57" s="970">
        <v>42947</v>
      </c>
      <c r="E57" s="252">
        <v>80796</v>
      </c>
    </row>
    <row r="58" spans="1:5" s="181" customFormat="1" ht="15" customHeight="1" x14ac:dyDescent="0.2">
      <c r="A58" s="233" t="s">
        <v>1273</v>
      </c>
      <c r="B58" s="234"/>
      <c r="C58" s="970">
        <v>42943</v>
      </c>
      <c r="D58" s="970">
        <v>42947</v>
      </c>
      <c r="E58" s="252">
        <v>80796</v>
      </c>
    </row>
    <row r="59" spans="1:5" s="181" customFormat="1" ht="15" customHeight="1" x14ac:dyDescent="0.2">
      <c r="A59" s="233" t="s">
        <v>1274</v>
      </c>
      <c r="B59" s="234"/>
      <c r="C59" s="971">
        <v>42947</v>
      </c>
      <c r="D59" s="971">
        <v>42947</v>
      </c>
      <c r="E59" s="252">
        <v>2900</v>
      </c>
    </row>
    <row r="60" spans="1:5" s="181" customFormat="1" ht="15" customHeight="1" x14ac:dyDescent="0.2">
      <c r="A60" s="233" t="s">
        <v>1275</v>
      </c>
      <c r="B60" s="234"/>
      <c r="C60" s="971">
        <v>42947</v>
      </c>
      <c r="D60" s="971">
        <v>42947</v>
      </c>
      <c r="E60" s="252">
        <v>2900</v>
      </c>
    </row>
    <row r="61" spans="1:5" s="181" customFormat="1" ht="15" customHeight="1" x14ac:dyDescent="0.2">
      <c r="A61" s="233" t="s">
        <v>1276</v>
      </c>
      <c r="B61" s="234"/>
      <c r="C61" s="971">
        <v>42947</v>
      </c>
      <c r="D61" s="971">
        <v>42947</v>
      </c>
      <c r="E61" s="252">
        <v>725</v>
      </c>
    </row>
    <row r="62" spans="1:5" s="181" customFormat="1" ht="15" customHeight="1" x14ac:dyDescent="0.2">
      <c r="A62" s="233" t="s">
        <v>1277</v>
      </c>
      <c r="B62" s="234"/>
      <c r="C62" s="971">
        <v>42947</v>
      </c>
      <c r="D62" s="971">
        <v>42947</v>
      </c>
      <c r="E62" s="252">
        <v>261</v>
      </c>
    </row>
    <row r="63" spans="1:5" s="181" customFormat="1" ht="15" customHeight="1" x14ac:dyDescent="0.2">
      <c r="A63" s="233" t="s">
        <v>1278</v>
      </c>
      <c r="B63" s="234"/>
      <c r="C63" s="971">
        <v>42947</v>
      </c>
      <c r="D63" s="971">
        <v>42947</v>
      </c>
      <c r="E63" s="252">
        <v>986</v>
      </c>
    </row>
    <row r="64" spans="1:5" s="181" customFormat="1" ht="15" customHeight="1" x14ac:dyDescent="0.2">
      <c r="A64" s="233" t="s">
        <v>1279</v>
      </c>
      <c r="B64" s="234"/>
      <c r="C64" s="971">
        <v>42947</v>
      </c>
      <c r="D64" s="971">
        <v>42947</v>
      </c>
      <c r="E64" s="252">
        <v>292912</v>
      </c>
    </row>
    <row r="65" spans="1:5" s="181" customFormat="1" ht="15" customHeight="1" x14ac:dyDescent="0.2">
      <c r="A65" s="233" t="s">
        <v>1280</v>
      </c>
      <c r="B65" s="234"/>
      <c r="C65" s="971">
        <v>42947</v>
      </c>
      <c r="D65" s="971">
        <v>42947</v>
      </c>
      <c r="E65" s="252">
        <v>292212</v>
      </c>
    </row>
    <row r="66" spans="1:5" s="181" customFormat="1" ht="15" customHeight="1" x14ac:dyDescent="0.2">
      <c r="A66" s="233" t="s">
        <v>1281</v>
      </c>
      <c r="B66" s="234"/>
      <c r="C66" s="971">
        <v>43053</v>
      </c>
      <c r="D66" s="971">
        <v>43057</v>
      </c>
      <c r="E66" s="252">
        <v>3000</v>
      </c>
    </row>
    <row r="67" spans="1:5" s="181" customFormat="1" ht="15" customHeight="1" x14ac:dyDescent="0.2">
      <c r="A67" s="233" t="s">
        <v>1282</v>
      </c>
      <c r="B67" s="234"/>
      <c r="C67" s="971">
        <v>43053</v>
      </c>
      <c r="D67" s="971">
        <v>43057</v>
      </c>
      <c r="E67" s="252">
        <v>1080</v>
      </c>
    </row>
    <row r="68" spans="1:5" s="181" customFormat="1" ht="15" customHeight="1" x14ac:dyDescent="0.2">
      <c r="A68" s="233" t="s">
        <v>1283</v>
      </c>
      <c r="B68" s="234"/>
      <c r="C68" s="971">
        <v>43053</v>
      </c>
      <c r="D68" s="971">
        <v>43057</v>
      </c>
      <c r="E68" s="252">
        <v>4080</v>
      </c>
    </row>
    <row r="69" spans="1:5" s="181" customFormat="1" ht="15" customHeight="1" x14ac:dyDescent="0.2">
      <c r="A69" s="233" t="s">
        <v>1284</v>
      </c>
      <c r="B69" s="234"/>
      <c r="C69" s="971">
        <v>43069</v>
      </c>
      <c r="D69" s="971">
        <v>43069</v>
      </c>
      <c r="E69" s="252">
        <v>2194</v>
      </c>
    </row>
    <row r="70" spans="1:5" s="181" customFormat="1" ht="15" customHeight="1" x14ac:dyDescent="0.2">
      <c r="A70" s="233" t="s">
        <v>1285</v>
      </c>
      <c r="B70" s="234"/>
      <c r="C70" s="971">
        <v>43069</v>
      </c>
      <c r="D70" s="971">
        <v>43069</v>
      </c>
      <c r="E70" s="252">
        <v>21171</v>
      </c>
    </row>
    <row r="71" spans="1:5" s="181" customFormat="1" ht="15" customHeight="1" x14ac:dyDescent="0.2">
      <c r="A71" s="233" t="s">
        <v>1286</v>
      </c>
      <c r="B71" s="234"/>
      <c r="C71" s="971">
        <v>43069</v>
      </c>
      <c r="D71" s="971">
        <v>43069</v>
      </c>
      <c r="E71" s="252">
        <v>59374</v>
      </c>
    </row>
    <row r="72" spans="1:5" s="181" customFormat="1" ht="15" customHeight="1" x14ac:dyDescent="0.2">
      <c r="A72" s="233" t="s">
        <v>1287</v>
      </c>
      <c r="B72" s="234"/>
      <c r="C72" s="971">
        <v>43069</v>
      </c>
      <c r="D72" s="971">
        <v>43069</v>
      </c>
      <c r="E72" s="252">
        <v>82739</v>
      </c>
    </row>
    <row r="73" spans="1:5" s="181" customFormat="1" ht="15" customHeight="1" x14ac:dyDescent="0.2">
      <c r="A73" s="233" t="s">
        <v>1288</v>
      </c>
      <c r="B73" s="234"/>
      <c r="C73" s="971">
        <v>43091</v>
      </c>
      <c r="D73" s="971">
        <v>43091</v>
      </c>
      <c r="E73" s="252">
        <v>14000</v>
      </c>
    </row>
    <row r="74" spans="1:5" s="181" customFormat="1" ht="15" customHeight="1" x14ac:dyDescent="0.2">
      <c r="A74" s="233" t="s">
        <v>1289</v>
      </c>
      <c r="B74" s="234"/>
      <c r="C74" s="971">
        <v>43091</v>
      </c>
      <c r="D74" s="971">
        <v>43091</v>
      </c>
      <c r="E74" s="252">
        <v>3500</v>
      </c>
    </row>
    <row r="75" spans="1:5" s="181" customFormat="1" ht="15" customHeight="1" x14ac:dyDescent="0.2">
      <c r="A75" s="233" t="s">
        <v>1290</v>
      </c>
      <c r="B75" s="234"/>
      <c r="C75" s="971">
        <v>43091</v>
      </c>
      <c r="D75" s="971">
        <v>43091</v>
      </c>
      <c r="E75" s="252">
        <v>1260</v>
      </c>
    </row>
    <row r="76" spans="1:5" s="181" customFormat="1" ht="15" customHeight="1" x14ac:dyDescent="0.2">
      <c r="A76" s="233" t="s">
        <v>1291</v>
      </c>
      <c r="B76" s="234"/>
      <c r="C76" s="971">
        <v>43091</v>
      </c>
      <c r="D76" s="971">
        <v>43091</v>
      </c>
      <c r="E76" s="252">
        <v>280</v>
      </c>
    </row>
    <row r="77" spans="1:5" s="181" customFormat="1" ht="15" customHeight="1" x14ac:dyDescent="0.2">
      <c r="A77" s="233" t="s">
        <v>1292</v>
      </c>
      <c r="B77" s="234"/>
      <c r="C77" s="971">
        <v>43091</v>
      </c>
      <c r="D77" s="971">
        <v>43091</v>
      </c>
      <c r="E77" s="252">
        <v>19040</v>
      </c>
    </row>
    <row r="78" spans="1:5" s="181" customFormat="1" ht="15" customHeight="1" x14ac:dyDescent="0.2">
      <c r="A78" s="233" t="s">
        <v>1293</v>
      </c>
      <c r="B78" s="234"/>
      <c r="C78" s="971">
        <v>43100</v>
      </c>
      <c r="D78" s="971">
        <v>43100</v>
      </c>
      <c r="E78" s="252">
        <v>-92</v>
      </c>
    </row>
    <row r="79" spans="1:5" s="181" customFormat="1" ht="15" customHeight="1" x14ac:dyDescent="0.2">
      <c r="A79" s="233" t="s">
        <v>1293</v>
      </c>
      <c r="B79" s="234"/>
      <c r="C79" s="971">
        <v>43100</v>
      </c>
      <c r="D79" s="971">
        <v>43100</v>
      </c>
      <c r="E79" s="252">
        <v>92</v>
      </c>
    </row>
    <row r="80" spans="1:5" s="181" customFormat="1" ht="15" customHeight="1" x14ac:dyDescent="0.2">
      <c r="A80" s="233" t="s">
        <v>1294</v>
      </c>
      <c r="B80" s="234"/>
      <c r="C80" s="972">
        <v>43100</v>
      </c>
      <c r="D80" s="971">
        <v>43100</v>
      </c>
      <c r="E80" s="252">
        <v>-150000</v>
      </c>
    </row>
    <row r="81" spans="1:9" s="181" customFormat="1" ht="15" customHeight="1" x14ac:dyDescent="0.2">
      <c r="A81" s="233" t="s">
        <v>1295</v>
      </c>
      <c r="B81" s="234"/>
      <c r="C81" s="972">
        <v>43100</v>
      </c>
      <c r="D81" s="971">
        <v>43100</v>
      </c>
      <c r="E81" s="252">
        <v>-2602</v>
      </c>
    </row>
    <row r="82" spans="1:9" s="181" customFormat="1" ht="15" customHeight="1" x14ac:dyDescent="0.2">
      <c r="A82" s="233" t="s">
        <v>1296</v>
      </c>
      <c r="B82" s="234"/>
      <c r="C82" s="972">
        <v>43100</v>
      </c>
      <c r="D82" s="971">
        <v>43100</v>
      </c>
      <c r="E82" s="252">
        <v>127658</v>
      </c>
    </row>
    <row r="83" spans="1:9" s="181" customFormat="1" ht="15" customHeight="1" x14ac:dyDescent="0.2">
      <c r="A83" s="233" t="s">
        <v>1297</v>
      </c>
      <c r="B83" s="234"/>
      <c r="C83" s="972">
        <v>43100</v>
      </c>
      <c r="D83" s="971">
        <v>43100</v>
      </c>
      <c r="E83" s="252">
        <v>24944</v>
      </c>
    </row>
    <row r="84" spans="1:9" s="181" customFormat="1" ht="15" customHeight="1" x14ac:dyDescent="0.2">
      <c r="A84" s="234" t="s">
        <v>1298</v>
      </c>
      <c r="B84" s="234"/>
      <c r="C84" s="972">
        <v>43100</v>
      </c>
      <c r="D84" s="971">
        <v>43100</v>
      </c>
      <c r="E84" s="236">
        <v>23243</v>
      </c>
    </row>
    <row r="85" spans="1:9" s="181" customFormat="1" ht="15" customHeight="1" x14ac:dyDescent="0.2">
      <c r="A85" s="233" t="s">
        <v>1299</v>
      </c>
      <c r="B85" s="234"/>
      <c r="C85" s="972">
        <v>43100</v>
      </c>
      <c r="D85" s="971">
        <v>43100</v>
      </c>
      <c r="E85" s="252">
        <v>23243</v>
      </c>
    </row>
    <row r="86" spans="1:9" s="181" customFormat="1" ht="15" customHeight="1" x14ac:dyDescent="0.2">
      <c r="A86" s="233" t="s">
        <v>1300</v>
      </c>
      <c r="B86" s="234"/>
      <c r="C86" s="972">
        <v>43100</v>
      </c>
      <c r="D86" s="971">
        <v>43100</v>
      </c>
      <c r="E86" s="252">
        <v>740</v>
      </c>
    </row>
    <row r="87" spans="1:9" s="181" customFormat="1" ht="15" customHeight="1" x14ac:dyDescent="0.2">
      <c r="A87" s="234" t="s">
        <v>1301</v>
      </c>
      <c r="B87" s="234"/>
      <c r="C87" s="972">
        <v>43100</v>
      </c>
      <c r="D87" s="971">
        <v>43100</v>
      </c>
      <c r="E87" s="236">
        <v>-3</v>
      </c>
    </row>
    <row r="88" spans="1:9" s="181" customFormat="1" ht="15" customHeight="1" x14ac:dyDescent="0.2">
      <c r="A88" s="243" t="s">
        <v>1302</v>
      </c>
      <c r="B88" s="242"/>
      <c r="C88" s="972">
        <v>43100</v>
      </c>
      <c r="D88" s="971">
        <v>43100</v>
      </c>
      <c r="E88" s="250">
        <v>737</v>
      </c>
    </row>
    <row r="89" spans="1:9" s="181" customFormat="1" ht="15" customHeight="1" x14ac:dyDescent="0.2">
      <c r="A89" s="234"/>
      <c r="B89" s="234"/>
      <c r="C89" s="973"/>
      <c r="D89" s="974"/>
      <c r="E89" s="236"/>
    </row>
    <row r="90" spans="1:9" s="181" customFormat="1" ht="15" customHeight="1" x14ac:dyDescent="0.2">
      <c r="A90" s="426"/>
      <c r="B90" s="426"/>
      <c r="C90" s="237"/>
      <c r="D90" s="237"/>
      <c r="E90" s="238"/>
    </row>
    <row r="91" spans="1:9" s="181" customFormat="1" ht="15" customHeight="1" x14ac:dyDescent="0.2">
      <c r="A91" s="1083" t="s">
        <v>397</v>
      </c>
      <c r="B91" s="1083"/>
      <c r="C91" s="1083"/>
      <c r="D91" s="1083"/>
      <c r="E91" s="1083"/>
      <c r="F91" s="1083"/>
      <c r="G91" s="1083"/>
      <c r="H91" s="1083"/>
      <c r="I91" s="1083"/>
    </row>
    <row r="92" spans="1:9" s="181" customFormat="1" ht="15" customHeight="1" x14ac:dyDescent="0.2">
      <c r="A92" s="181" t="s">
        <v>1303</v>
      </c>
    </row>
    <row r="93" spans="1:9" s="181" customFormat="1" ht="11.25" x14ac:dyDescent="0.2"/>
    <row r="94" spans="1:9" s="180" customFormat="1" ht="16.5" customHeight="1" x14ac:dyDescent="0.15">
      <c r="A94" s="1039" t="s">
        <v>399</v>
      </c>
      <c r="B94" s="1039"/>
      <c r="C94" s="1039"/>
      <c r="D94" s="1039"/>
      <c r="E94" s="1039"/>
      <c r="F94" s="1039"/>
      <c r="G94" s="1039"/>
      <c r="H94" s="1039"/>
      <c r="I94" s="1039"/>
    </row>
    <row r="95" spans="1:9" s="181" customFormat="1" ht="11.25" customHeight="1" x14ac:dyDescent="0.2">
      <c r="A95" s="181" t="s">
        <v>112</v>
      </c>
    </row>
    <row r="96" spans="1:9" s="181" customFormat="1" ht="30.75" customHeight="1" x14ac:dyDescent="0.2">
      <c r="A96" s="1034" t="s">
        <v>1304</v>
      </c>
      <c r="B96" s="1035"/>
      <c r="C96" s="1035"/>
      <c r="D96" s="1035"/>
      <c r="E96" s="1035"/>
      <c r="F96" s="1035"/>
      <c r="G96" s="1035"/>
      <c r="H96" s="1035"/>
      <c r="I96" s="1036"/>
    </row>
    <row r="97" spans="1:9" s="181" customFormat="1" ht="11.25" x14ac:dyDescent="0.2">
      <c r="A97" s="1034"/>
      <c r="B97" s="1035"/>
      <c r="C97" s="1035"/>
      <c r="D97" s="1035"/>
      <c r="E97" s="1035"/>
      <c r="F97" s="1035"/>
      <c r="G97" s="1035"/>
      <c r="H97" s="1035"/>
      <c r="I97" s="1036"/>
    </row>
    <row r="98" spans="1:9" ht="15" customHeight="1" x14ac:dyDescent="0.2">
      <c r="A98" s="240" t="s">
        <v>1305</v>
      </c>
    </row>
    <row r="100" spans="1:9" ht="15" customHeight="1" x14ac:dyDescent="0.2">
      <c r="A100" s="239"/>
    </row>
    <row r="101" spans="1:9" ht="15" customHeight="1" x14ac:dyDescent="0.2">
      <c r="A101" s="239"/>
    </row>
  </sheetData>
  <mergeCells count="38">
    <mergeCell ref="C44:I44"/>
    <mergeCell ref="A96:I96"/>
    <mergeCell ref="C45:I45"/>
    <mergeCell ref="A47:I47"/>
    <mergeCell ref="A49:B49"/>
    <mergeCell ref="A91:I91"/>
    <mergeCell ref="A94:I94"/>
    <mergeCell ref="D37:I37"/>
    <mergeCell ref="D38:I38"/>
    <mergeCell ref="C39:I39"/>
    <mergeCell ref="A41:I41"/>
    <mergeCell ref="C43:I43"/>
    <mergeCell ref="F27:I27"/>
    <mergeCell ref="A29:I29"/>
    <mergeCell ref="D31:I31"/>
    <mergeCell ref="D32:I32"/>
    <mergeCell ref="C33:I33"/>
    <mergeCell ref="F22:I22"/>
    <mergeCell ref="F23:I23"/>
    <mergeCell ref="F24:I24"/>
    <mergeCell ref="F25:I25"/>
    <mergeCell ref="F26:I26"/>
    <mergeCell ref="A97:I97"/>
    <mergeCell ref="A15:A17"/>
    <mergeCell ref="A3:I3"/>
    <mergeCell ref="A5:B5"/>
    <mergeCell ref="D5:I5"/>
    <mergeCell ref="A6:B6"/>
    <mergeCell ref="D6:I6"/>
    <mergeCell ref="A7:B7"/>
    <mergeCell ref="D7:I7"/>
    <mergeCell ref="A8:B8"/>
    <mergeCell ref="D8:I8"/>
    <mergeCell ref="A9:B9"/>
    <mergeCell ref="D9:I9"/>
    <mergeCell ref="A11:I11"/>
    <mergeCell ref="A35:I35"/>
    <mergeCell ref="A20:I20"/>
  </mergeCells>
  <pageMargins left="0.70866141732283472" right="0.70866141732283472" top="0.78740157480314965" bottom="0.78740157480314965" header="0.31496062992125984" footer="0.31496062992125984"/>
  <pageSetup paperSize="9" scale="73" firstPageNumber="82" fitToHeight="6" orientation="portrait" useFirstPageNumber="1" r:id="rId1"/>
  <headerFoot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5"/>
  <sheetViews>
    <sheetView workbookViewId="0">
      <selection activeCell="A107" sqref="A107:XFD107"/>
    </sheetView>
  </sheetViews>
  <sheetFormatPr defaultRowHeight="12.75" x14ac:dyDescent="0.2"/>
  <cols>
    <col min="1" max="1" width="58" style="240" customWidth="1"/>
    <col min="2" max="2" width="33.5" style="240" customWidth="1"/>
    <col min="3" max="5" width="25.75" style="240" customWidth="1"/>
    <col min="6" max="6" width="22.75" style="240" customWidth="1"/>
    <col min="7" max="7" width="14.75" style="240" customWidth="1"/>
    <col min="8" max="16384" width="10" style="240"/>
  </cols>
  <sheetData>
    <row r="1" spans="1:9" s="425" customFormat="1" ht="18.75" x14ac:dyDescent="0.3">
      <c r="A1" s="425" t="s">
        <v>92</v>
      </c>
      <c r="B1" s="425" t="s">
        <v>189</v>
      </c>
    </row>
    <row r="3" spans="1:9" s="180" customFormat="1" ht="10.5" x14ac:dyDescent="0.15">
      <c r="A3" s="1039" t="s">
        <v>354</v>
      </c>
      <c r="B3" s="1039"/>
      <c r="C3" s="1039"/>
      <c r="D3" s="1039"/>
      <c r="E3" s="1039"/>
      <c r="F3" s="1039"/>
      <c r="G3" s="1039"/>
      <c r="H3" s="1039"/>
      <c r="I3" s="1039"/>
    </row>
    <row r="4" spans="1:9" s="181" customFormat="1" ht="11.25" x14ac:dyDescent="0.2"/>
    <row r="5" spans="1:9" s="182" customFormat="1" ht="9.75" x14ac:dyDescent="0.2">
      <c r="A5" s="1040" t="s">
        <v>93</v>
      </c>
      <c r="B5" s="1041"/>
      <c r="C5" s="420" t="s">
        <v>25</v>
      </c>
      <c r="D5" s="1042" t="s">
        <v>355</v>
      </c>
      <c r="E5" s="1042"/>
      <c r="F5" s="1042"/>
      <c r="G5" s="1042"/>
      <c r="H5" s="1042"/>
      <c r="I5" s="1042"/>
    </row>
    <row r="6" spans="1:9" s="181" customFormat="1" ht="15" customHeight="1" x14ac:dyDescent="0.2">
      <c r="A6" s="1043" t="s">
        <v>356</v>
      </c>
      <c r="B6" s="1043"/>
      <c r="C6" s="183">
        <f>SUM(C7:C9)</f>
        <v>156425.01</v>
      </c>
      <c r="D6" s="1044"/>
      <c r="E6" s="1045"/>
      <c r="F6" s="1045"/>
      <c r="G6" s="1045"/>
      <c r="H6" s="1045"/>
      <c r="I6" s="1045"/>
    </row>
    <row r="7" spans="1:9" s="181" customFormat="1" ht="18.75" customHeight="1" x14ac:dyDescent="0.2">
      <c r="A7" s="1046" t="s">
        <v>94</v>
      </c>
      <c r="B7" s="1047"/>
      <c r="C7" s="184">
        <v>32931.71</v>
      </c>
      <c r="D7" s="1048" t="s">
        <v>779</v>
      </c>
      <c r="E7" s="1048"/>
      <c r="F7" s="1048"/>
      <c r="G7" s="1048"/>
      <c r="H7" s="1048"/>
      <c r="I7" s="1048"/>
    </row>
    <row r="8" spans="1:9" s="180" customFormat="1" ht="21.75" customHeight="1" x14ac:dyDescent="0.15">
      <c r="A8" s="1049" t="s">
        <v>95</v>
      </c>
      <c r="B8" s="1050"/>
      <c r="C8" s="185">
        <v>123493.3</v>
      </c>
      <c r="D8" s="1048" t="s">
        <v>190</v>
      </c>
      <c r="E8" s="1048"/>
      <c r="F8" s="1048"/>
      <c r="G8" s="1048"/>
      <c r="H8" s="1048"/>
      <c r="I8" s="1048"/>
    </row>
    <row r="9" spans="1:9" s="180" customFormat="1" ht="15" customHeight="1" x14ac:dyDescent="0.15">
      <c r="A9" s="1049" t="s">
        <v>96</v>
      </c>
      <c r="B9" s="1050"/>
      <c r="C9" s="185">
        <v>0</v>
      </c>
      <c r="D9" s="1051"/>
      <c r="E9" s="1052"/>
      <c r="F9" s="1052"/>
      <c r="G9" s="1052"/>
      <c r="H9" s="1052"/>
      <c r="I9" s="1053"/>
    </row>
    <row r="10" spans="1:9" s="181" customFormat="1" ht="11.25" x14ac:dyDescent="0.2">
      <c r="C10" s="186"/>
    </row>
    <row r="11" spans="1:9" s="181" customFormat="1" ht="11.25" x14ac:dyDescent="0.2">
      <c r="A11" s="1039" t="s">
        <v>359</v>
      </c>
      <c r="B11" s="1039"/>
      <c r="C11" s="1039"/>
      <c r="D11" s="1039"/>
      <c r="E11" s="1039"/>
      <c r="F11" s="1039"/>
      <c r="G11" s="1039"/>
      <c r="H11" s="1039"/>
      <c r="I11" s="1039"/>
    </row>
    <row r="12" spans="1:9" s="181" customFormat="1" ht="11.25" x14ac:dyDescent="0.2">
      <c r="C12" s="186"/>
      <c r="D12" s="187"/>
      <c r="E12" s="187"/>
      <c r="F12" s="187"/>
      <c r="G12" s="187"/>
      <c r="H12" s="187"/>
      <c r="I12" s="187"/>
    </row>
    <row r="13" spans="1:9" s="190" customFormat="1" ht="9.75" x14ac:dyDescent="0.2">
      <c r="A13" s="420" t="s">
        <v>93</v>
      </c>
      <c r="B13" s="420" t="s">
        <v>97</v>
      </c>
      <c r="C13" s="420" t="s">
        <v>25</v>
      </c>
      <c r="D13" s="188"/>
      <c r="E13" s="189"/>
      <c r="F13" s="189"/>
      <c r="G13" s="189"/>
      <c r="H13" s="189"/>
      <c r="I13" s="189"/>
    </row>
    <row r="14" spans="1:9" s="181" customFormat="1" ht="15" customHeight="1" x14ac:dyDescent="0.2">
      <c r="A14" s="191" t="s">
        <v>98</v>
      </c>
      <c r="B14" s="192"/>
      <c r="C14" s="193"/>
      <c r="D14" s="194"/>
      <c r="E14" s="195"/>
      <c r="F14" s="195"/>
      <c r="G14" s="195"/>
      <c r="H14" s="195"/>
      <c r="I14" s="195"/>
    </row>
    <row r="15" spans="1:9" s="181" customFormat="1" ht="15" customHeight="1" x14ac:dyDescent="0.2">
      <c r="A15" s="1037" t="s">
        <v>99</v>
      </c>
      <c r="B15" s="196" t="s">
        <v>100</v>
      </c>
      <c r="C15" s="197"/>
      <c r="D15" s="198"/>
      <c r="E15" s="199"/>
      <c r="F15" s="199"/>
      <c r="G15" s="199"/>
      <c r="H15" s="199"/>
      <c r="I15" s="199"/>
    </row>
    <row r="16" spans="1:9" s="181" customFormat="1" ht="15" customHeight="1" x14ac:dyDescent="0.2">
      <c r="A16" s="1038"/>
      <c r="B16" s="200" t="s">
        <v>780</v>
      </c>
      <c r="C16" s="201">
        <v>146425.01</v>
      </c>
      <c r="D16" s="198" t="s">
        <v>781</v>
      </c>
      <c r="E16" s="199"/>
      <c r="F16" s="199"/>
      <c r="G16" s="199"/>
      <c r="H16" s="199"/>
      <c r="I16" s="199"/>
    </row>
    <row r="17" spans="1:9" s="181" customFormat="1" ht="15" customHeight="1" x14ac:dyDescent="0.2">
      <c r="A17" s="1038"/>
      <c r="B17" s="200" t="s">
        <v>101</v>
      </c>
      <c r="C17" s="202">
        <v>10000</v>
      </c>
      <c r="D17" s="203"/>
      <c r="E17" s="204"/>
      <c r="F17" s="204"/>
      <c r="G17" s="204"/>
      <c r="H17" s="204"/>
      <c r="I17" s="204"/>
    </row>
    <row r="18" spans="1:9" s="181" customFormat="1" ht="15" customHeight="1" x14ac:dyDescent="0.2">
      <c r="A18" s="421" t="s">
        <v>356</v>
      </c>
      <c r="B18" s="205"/>
      <c r="C18" s="206">
        <f>SUM(C14:C17)</f>
        <v>156425.01</v>
      </c>
      <c r="D18" s="207"/>
      <c r="E18" s="207"/>
      <c r="F18" s="207"/>
      <c r="G18" s="207"/>
      <c r="H18" s="207"/>
      <c r="I18" s="207"/>
    </row>
    <row r="19" spans="1:9" s="209" customFormat="1" ht="11.25" x14ac:dyDescent="0.2">
      <c r="A19" s="208"/>
      <c r="C19" s="210"/>
      <c r="D19" s="211"/>
      <c r="E19" s="211"/>
      <c r="F19" s="211"/>
      <c r="G19" s="211"/>
      <c r="H19" s="211"/>
      <c r="I19" s="211"/>
    </row>
    <row r="20" spans="1:9" s="181" customFormat="1" ht="11.25" x14ac:dyDescent="0.2">
      <c r="A20" s="1039" t="s">
        <v>360</v>
      </c>
      <c r="B20" s="1039"/>
      <c r="C20" s="1039"/>
      <c r="D20" s="1039"/>
      <c r="E20" s="1039"/>
      <c r="F20" s="1039"/>
      <c r="G20" s="1039"/>
      <c r="H20" s="1039"/>
      <c r="I20" s="1039"/>
    </row>
    <row r="21" spans="1:9" s="181" customFormat="1" ht="11.25" x14ac:dyDescent="0.2">
      <c r="C21" s="186"/>
    </row>
    <row r="22" spans="1:9" s="212" customFormat="1" ht="9.75" x14ac:dyDescent="0.2">
      <c r="A22" s="420" t="s">
        <v>97</v>
      </c>
      <c r="B22" s="420" t="s">
        <v>361</v>
      </c>
      <c r="C22" s="423" t="s">
        <v>362</v>
      </c>
      <c r="D22" s="420" t="s">
        <v>363</v>
      </c>
      <c r="E22" s="420" t="s">
        <v>364</v>
      </c>
      <c r="F22" s="1042" t="s">
        <v>365</v>
      </c>
      <c r="G22" s="1042"/>
      <c r="H22" s="1042"/>
      <c r="I22" s="1042"/>
    </row>
    <row r="23" spans="1:9" s="181" customFormat="1" ht="15" customHeight="1" x14ac:dyDescent="0.2">
      <c r="A23" s="213" t="s">
        <v>780</v>
      </c>
      <c r="B23" s="214">
        <v>52771.97</v>
      </c>
      <c r="C23" s="214">
        <v>106610.15</v>
      </c>
      <c r="D23" s="214">
        <v>32850</v>
      </c>
      <c r="E23" s="214">
        <v>126532.12</v>
      </c>
      <c r="F23" s="1054" t="s">
        <v>782</v>
      </c>
      <c r="G23" s="1055"/>
      <c r="H23" s="1055"/>
      <c r="I23" s="1056"/>
    </row>
    <row r="24" spans="1:9" s="181" customFormat="1" ht="15.75" customHeight="1" x14ac:dyDescent="0.2">
      <c r="A24" s="213" t="s">
        <v>783</v>
      </c>
      <c r="B24" s="214">
        <v>0</v>
      </c>
      <c r="C24" s="214">
        <v>1250850.2</v>
      </c>
      <c r="D24" s="214">
        <v>169900</v>
      </c>
      <c r="E24" s="214">
        <v>1080950.2</v>
      </c>
      <c r="F24" s="1057" t="s">
        <v>784</v>
      </c>
      <c r="G24" s="1073"/>
      <c r="H24" s="1073"/>
      <c r="I24" s="1074"/>
    </row>
    <row r="25" spans="1:9" s="181" customFormat="1" ht="14.25" customHeight="1" x14ac:dyDescent="0.2">
      <c r="A25" s="196" t="s">
        <v>103</v>
      </c>
      <c r="B25" s="215">
        <v>605471.02</v>
      </c>
      <c r="C25" s="215">
        <v>2769749.5</v>
      </c>
      <c r="D25" s="215">
        <v>3014600</v>
      </c>
      <c r="E25" s="215">
        <v>360620.52</v>
      </c>
      <c r="F25" s="1057"/>
      <c r="G25" s="1058"/>
      <c r="H25" s="1058"/>
      <c r="I25" s="1059"/>
    </row>
    <row r="26" spans="1:9" s="181" customFormat="1" ht="15" customHeight="1" x14ac:dyDescent="0.2">
      <c r="A26" s="196" t="s">
        <v>101</v>
      </c>
      <c r="B26" s="215">
        <v>60187</v>
      </c>
      <c r="C26" s="215">
        <v>10000</v>
      </c>
      <c r="D26" s="215">
        <v>7200</v>
      </c>
      <c r="E26" s="215">
        <v>62987</v>
      </c>
      <c r="F26" s="1057" t="s">
        <v>191</v>
      </c>
      <c r="G26" s="1058"/>
      <c r="H26" s="1058"/>
      <c r="I26" s="1059"/>
    </row>
    <row r="27" spans="1:9" s="181" customFormat="1" ht="17.25" customHeight="1" x14ac:dyDescent="0.2">
      <c r="A27" s="200" t="s">
        <v>104</v>
      </c>
      <c r="B27" s="216">
        <v>318744.03999999998</v>
      </c>
      <c r="C27" s="216">
        <v>575955</v>
      </c>
      <c r="D27" s="216">
        <v>269109.09999999998</v>
      </c>
      <c r="E27" s="215">
        <v>625589.93999999994</v>
      </c>
      <c r="F27" s="1060" t="s">
        <v>192</v>
      </c>
      <c r="G27" s="1061"/>
      <c r="H27" s="1061"/>
      <c r="I27" s="1062"/>
    </row>
    <row r="28" spans="1:9" s="180" customFormat="1" ht="10.5" x14ac:dyDescent="0.15">
      <c r="A28" s="217" t="s">
        <v>34</v>
      </c>
      <c r="B28" s="183">
        <f>SUM(B23:B27)</f>
        <v>1037174.03</v>
      </c>
      <c r="C28" s="183">
        <f t="shared" ref="C28:D28" si="0">SUM(C23:C27)</f>
        <v>4713164.8499999996</v>
      </c>
      <c r="D28" s="183">
        <f t="shared" si="0"/>
        <v>3493659.1</v>
      </c>
      <c r="E28" s="183">
        <f>SUM(E23:E27)</f>
        <v>2256679.7799999998</v>
      </c>
      <c r="F28" s="1063"/>
      <c r="G28" s="1063"/>
      <c r="H28" s="1063"/>
      <c r="I28" s="1064"/>
    </row>
    <row r="29" spans="1:9" s="181" customFormat="1" ht="11.25" x14ac:dyDescent="0.2">
      <c r="C29" s="186"/>
    </row>
    <row r="30" spans="1:9" s="181" customFormat="1" ht="11.25" x14ac:dyDescent="0.2">
      <c r="A30" s="1039" t="s">
        <v>370</v>
      </c>
      <c r="B30" s="1039"/>
      <c r="C30" s="1039"/>
      <c r="D30" s="1039"/>
      <c r="E30" s="1039"/>
      <c r="F30" s="1039"/>
      <c r="G30" s="1039"/>
      <c r="H30" s="1039"/>
      <c r="I30" s="1039"/>
    </row>
    <row r="31" spans="1:9" s="181" customFormat="1" ht="11.25" x14ac:dyDescent="0.2">
      <c r="C31" s="186"/>
    </row>
    <row r="32" spans="1:9" s="181" customFormat="1" ht="11.25" x14ac:dyDescent="0.2">
      <c r="A32" s="420" t="s">
        <v>105</v>
      </c>
      <c r="B32" s="420" t="s">
        <v>25</v>
      </c>
      <c r="C32" s="423" t="s">
        <v>106</v>
      </c>
      <c r="D32" s="1042" t="s">
        <v>107</v>
      </c>
      <c r="E32" s="1042"/>
      <c r="F32" s="1042"/>
      <c r="G32" s="1042"/>
      <c r="H32" s="1042"/>
      <c r="I32" s="1042"/>
    </row>
    <row r="33" spans="1:9" s="181" customFormat="1" ht="15" customHeight="1" x14ac:dyDescent="0.2">
      <c r="A33" s="218" t="s">
        <v>785</v>
      </c>
      <c r="B33" s="214">
        <v>0</v>
      </c>
      <c r="C33" s="219"/>
      <c r="D33" s="1065" t="s">
        <v>331</v>
      </c>
      <c r="E33" s="1066"/>
      <c r="F33" s="1066"/>
      <c r="G33" s="1066"/>
      <c r="H33" s="1066"/>
      <c r="I33" s="1067"/>
    </row>
    <row r="34" spans="1:9" s="181" customFormat="1" ht="15" customHeight="1" x14ac:dyDescent="0.2">
      <c r="A34" s="220"/>
      <c r="B34" s="216"/>
      <c r="C34" s="221"/>
      <c r="D34" s="1360"/>
      <c r="E34" s="1361"/>
      <c r="F34" s="1361"/>
      <c r="G34" s="1361"/>
      <c r="H34" s="1361"/>
      <c r="I34" s="1362"/>
    </row>
    <row r="35" spans="1:9" s="180" customFormat="1" ht="11.25" x14ac:dyDescent="0.2">
      <c r="A35" s="217" t="s">
        <v>34</v>
      </c>
      <c r="B35" s="183">
        <f>SUM(B33:B34)</f>
        <v>0</v>
      </c>
      <c r="C35" s="1068"/>
      <c r="D35" s="1069"/>
      <c r="E35" s="1069"/>
      <c r="F35" s="1069"/>
      <c r="G35" s="1069"/>
      <c r="H35" s="1069"/>
      <c r="I35" s="1070"/>
    </row>
    <row r="36" spans="1:9" s="181" customFormat="1" ht="11.25" x14ac:dyDescent="0.2">
      <c r="C36" s="186"/>
    </row>
    <row r="37" spans="1:9" s="181" customFormat="1" ht="11.25" x14ac:dyDescent="0.2">
      <c r="A37" s="1039" t="s">
        <v>372</v>
      </c>
      <c r="B37" s="1039"/>
      <c r="C37" s="1039"/>
      <c r="D37" s="1039"/>
      <c r="E37" s="1039"/>
      <c r="F37" s="1039"/>
      <c r="G37" s="1039"/>
      <c r="H37" s="1039"/>
      <c r="I37" s="1039"/>
    </row>
    <row r="38" spans="1:9" s="181" customFormat="1" ht="11.25" x14ac:dyDescent="0.2">
      <c r="C38" s="186"/>
    </row>
    <row r="39" spans="1:9" s="181" customFormat="1" ht="11.25" x14ac:dyDescent="0.2">
      <c r="A39" s="420" t="s">
        <v>105</v>
      </c>
      <c r="B39" s="420" t="s">
        <v>25</v>
      </c>
      <c r="C39" s="423" t="s">
        <v>106</v>
      </c>
      <c r="D39" s="1071" t="s">
        <v>107</v>
      </c>
      <c r="E39" s="1071"/>
      <c r="F39" s="1071"/>
      <c r="G39" s="1071"/>
      <c r="H39" s="1071"/>
      <c r="I39" s="1072"/>
    </row>
    <row r="40" spans="1:9" s="181" customFormat="1" ht="15" customHeight="1" x14ac:dyDescent="0.2">
      <c r="A40" s="218"/>
      <c r="B40" s="214"/>
      <c r="C40" s="219"/>
      <c r="D40" s="1057" t="s">
        <v>188</v>
      </c>
      <c r="E40" s="1073"/>
      <c r="F40" s="1073"/>
      <c r="G40" s="1073"/>
      <c r="H40" s="1073"/>
      <c r="I40" s="1074"/>
    </row>
    <row r="41" spans="1:9" s="181" customFormat="1" ht="15" customHeight="1" x14ac:dyDescent="0.2">
      <c r="A41" s="223"/>
      <c r="B41" s="215"/>
      <c r="C41" s="224"/>
      <c r="D41" s="1057"/>
      <c r="E41" s="1073"/>
      <c r="F41" s="1073"/>
      <c r="G41" s="1073"/>
      <c r="H41" s="1073"/>
      <c r="I41" s="1074"/>
    </row>
    <row r="42" spans="1:9" s="180" customFormat="1" ht="10.5" x14ac:dyDescent="0.15">
      <c r="A42" s="217" t="s">
        <v>34</v>
      </c>
      <c r="B42" s="183">
        <f>SUM(B40:B41)</f>
        <v>0</v>
      </c>
      <c r="C42" s="1075"/>
      <c r="D42" s="1076"/>
      <c r="E42" s="1076"/>
      <c r="F42" s="1076"/>
      <c r="G42" s="1076"/>
      <c r="H42" s="1076"/>
      <c r="I42" s="1076"/>
    </row>
    <row r="43" spans="1:9" s="181" customFormat="1" ht="11.25" x14ac:dyDescent="0.2">
      <c r="C43" s="186"/>
    </row>
    <row r="44" spans="1:9" s="181" customFormat="1" ht="11.25" x14ac:dyDescent="0.2">
      <c r="A44" s="1039" t="s">
        <v>374</v>
      </c>
      <c r="B44" s="1039"/>
      <c r="C44" s="1039"/>
      <c r="D44" s="1039"/>
      <c r="E44" s="1039"/>
      <c r="F44" s="1039"/>
      <c r="G44" s="1039"/>
      <c r="H44" s="1039"/>
      <c r="I44" s="1039"/>
    </row>
    <row r="45" spans="1:9" s="181" customFormat="1" ht="11.25" x14ac:dyDescent="0.2">
      <c r="C45" s="186"/>
    </row>
    <row r="46" spans="1:9" s="181" customFormat="1" ht="11.25" x14ac:dyDescent="0.2">
      <c r="A46" s="420" t="s">
        <v>25</v>
      </c>
      <c r="B46" s="423" t="s">
        <v>375</v>
      </c>
      <c r="C46" s="1077" t="s">
        <v>108</v>
      </c>
      <c r="D46" s="1077"/>
      <c r="E46" s="1077"/>
      <c r="F46" s="1077"/>
      <c r="G46" s="1077"/>
      <c r="H46" s="1077"/>
      <c r="I46" s="1078"/>
    </row>
    <row r="47" spans="1:9" s="181" customFormat="1" ht="11.25" x14ac:dyDescent="0.2">
      <c r="A47" s="228">
        <v>39900</v>
      </c>
      <c r="B47" s="228">
        <v>39900</v>
      </c>
      <c r="C47" s="1350" t="s">
        <v>193</v>
      </c>
      <c r="D47" s="1351"/>
      <c r="E47" s="1351"/>
      <c r="F47" s="1351"/>
      <c r="G47" s="1351"/>
      <c r="H47" s="1351"/>
      <c r="I47" s="1352"/>
    </row>
    <row r="48" spans="1:9" s="181" customFormat="1" ht="11.25" x14ac:dyDescent="0.2">
      <c r="A48" s="725">
        <v>50000</v>
      </c>
      <c r="B48" s="214">
        <v>50000</v>
      </c>
      <c r="C48" s="1350" t="s">
        <v>193</v>
      </c>
      <c r="D48" s="1351"/>
      <c r="E48" s="1351"/>
      <c r="F48" s="1351"/>
      <c r="G48" s="1351"/>
      <c r="H48" s="1351"/>
      <c r="I48" s="1352"/>
    </row>
    <row r="49" spans="1:9" s="181" customFormat="1" ht="11.25" x14ac:dyDescent="0.2">
      <c r="A49" s="725">
        <v>50000</v>
      </c>
      <c r="B49" s="214">
        <v>50000</v>
      </c>
      <c r="C49" s="1350" t="s">
        <v>193</v>
      </c>
      <c r="D49" s="1351"/>
      <c r="E49" s="1351"/>
      <c r="F49" s="1351"/>
      <c r="G49" s="1351"/>
      <c r="H49" s="1351"/>
      <c r="I49" s="1352"/>
    </row>
    <row r="50" spans="1:9" s="181" customFormat="1" ht="11.25" x14ac:dyDescent="0.2">
      <c r="A50" s="725">
        <v>25000</v>
      </c>
      <c r="B50" s="214">
        <v>25000</v>
      </c>
      <c r="C50" s="1350" t="s">
        <v>193</v>
      </c>
      <c r="D50" s="1351"/>
      <c r="E50" s="1351"/>
      <c r="F50" s="1351"/>
      <c r="G50" s="1351"/>
      <c r="H50" s="1351"/>
      <c r="I50" s="1352"/>
    </row>
    <row r="51" spans="1:9" s="181" customFormat="1" ht="11.25" x14ac:dyDescent="0.2">
      <c r="A51" s="229">
        <v>5000</v>
      </c>
      <c r="B51" s="215">
        <v>5000</v>
      </c>
      <c r="C51" s="1350" t="s">
        <v>193</v>
      </c>
      <c r="D51" s="1351"/>
      <c r="E51" s="1351"/>
      <c r="F51" s="1351"/>
      <c r="G51" s="1351"/>
      <c r="H51" s="1351"/>
      <c r="I51" s="1352"/>
    </row>
    <row r="52" spans="1:9" s="181" customFormat="1" ht="11.25" x14ac:dyDescent="0.2">
      <c r="A52" s="230"/>
      <c r="B52" s="231"/>
      <c r="C52" s="1127"/>
      <c r="D52" s="1127"/>
      <c r="E52" s="1127"/>
      <c r="F52" s="1127"/>
      <c r="G52" s="1127"/>
      <c r="H52" s="1127"/>
      <c r="I52" s="1128"/>
    </row>
    <row r="53" spans="1:9" s="180" customFormat="1" ht="10.5" x14ac:dyDescent="0.15">
      <c r="A53" s="183">
        <f>SUM(A47:A52)</f>
        <v>169900</v>
      </c>
      <c r="B53" s="183">
        <f>SUM(B47:B52)</f>
        <v>169900</v>
      </c>
      <c r="C53" s="1081" t="s">
        <v>34</v>
      </c>
      <c r="D53" s="1081"/>
      <c r="E53" s="1081"/>
      <c r="F53" s="1081"/>
      <c r="G53" s="1081"/>
      <c r="H53" s="1081"/>
      <c r="I53" s="1082"/>
    </row>
    <row r="54" spans="1:9" s="181" customFormat="1" ht="11.25" x14ac:dyDescent="0.2">
      <c r="C54" s="186"/>
    </row>
    <row r="55" spans="1:9" s="181" customFormat="1" ht="11.25" x14ac:dyDescent="0.2">
      <c r="A55" s="1039" t="s">
        <v>377</v>
      </c>
      <c r="B55" s="1039"/>
      <c r="C55" s="1039"/>
      <c r="D55" s="1039"/>
      <c r="E55" s="1039"/>
      <c r="F55" s="1039"/>
      <c r="G55" s="1039"/>
      <c r="H55" s="1039"/>
      <c r="I55" s="1039"/>
    </row>
    <row r="56" spans="1:9" s="209" customFormat="1" ht="11.25" x14ac:dyDescent="0.2">
      <c r="A56" s="412"/>
      <c r="B56" s="412"/>
      <c r="C56" s="412"/>
      <c r="D56" s="412"/>
      <c r="E56" s="412"/>
      <c r="F56" s="412"/>
      <c r="G56" s="412"/>
      <c r="H56" s="412"/>
      <c r="I56" s="412"/>
    </row>
    <row r="57" spans="1:9" s="209" customFormat="1" ht="31.5" x14ac:dyDescent="0.2">
      <c r="A57" s="1201" t="s">
        <v>114</v>
      </c>
      <c r="B57" s="1202"/>
      <c r="C57" s="382" t="s">
        <v>115</v>
      </c>
      <c r="D57" s="382" t="s">
        <v>116</v>
      </c>
      <c r="E57" s="382" t="s">
        <v>117</v>
      </c>
      <c r="F57" s="382" t="s">
        <v>118</v>
      </c>
      <c r="G57" s="382" t="s">
        <v>119</v>
      </c>
      <c r="H57" s="412"/>
      <c r="I57" s="412"/>
    </row>
    <row r="58" spans="1:9" s="209" customFormat="1" ht="12" x14ac:dyDescent="0.2">
      <c r="A58" s="1326" t="s">
        <v>195</v>
      </c>
      <c r="B58" s="1353"/>
      <c r="C58" s="726" t="s">
        <v>786</v>
      </c>
      <c r="D58" s="727"/>
      <c r="E58" s="727">
        <v>9064</v>
      </c>
      <c r="F58" s="352">
        <v>42773</v>
      </c>
      <c r="G58" s="728">
        <v>42780</v>
      </c>
      <c r="H58" s="412"/>
      <c r="I58" s="412"/>
    </row>
    <row r="59" spans="1:9" s="209" customFormat="1" ht="12" x14ac:dyDescent="0.2">
      <c r="A59" s="430"/>
      <c r="B59" s="729"/>
      <c r="C59" s="730" t="s">
        <v>787</v>
      </c>
      <c r="D59" s="731"/>
      <c r="E59" s="731">
        <v>936</v>
      </c>
      <c r="F59" s="353"/>
      <c r="G59" s="732"/>
      <c r="H59" s="412"/>
      <c r="I59" s="412"/>
    </row>
    <row r="60" spans="1:9" s="209" customFormat="1" ht="12" x14ac:dyDescent="0.2">
      <c r="A60" s="1339" t="s">
        <v>788</v>
      </c>
      <c r="B60" s="1356"/>
      <c r="C60" s="733" t="s">
        <v>199</v>
      </c>
      <c r="D60" s="734">
        <v>10000</v>
      </c>
      <c r="E60" s="734"/>
      <c r="F60" s="354"/>
      <c r="G60" s="735"/>
      <c r="H60" s="412"/>
      <c r="I60" s="412"/>
    </row>
    <row r="61" spans="1:9" s="209" customFormat="1" ht="12" x14ac:dyDescent="0.2">
      <c r="A61" s="1326" t="s">
        <v>195</v>
      </c>
      <c r="B61" s="1353"/>
      <c r="C61" s="736" t="s">
        <v>124</v>
      </c>
      <c r="D61" s="737"/>
      <c r="E61" s="737">
        <v>280000</v>
      </c>
      <c r="F61" s="355"/>
      <c r="G61" s="738"/>
      <c r="H61" s="412"/>
      <c r="I61" s="412"/>
    </row>
    <row r="62" spans="1:9" s="209" customFormat="1" ht="12" x14ac:dyDescent="0.2">
      <c r="A62" s="1339" t="s">
        <v>789</v>
      </c>
      <c r="B62" s="1356"/>
      <c r="C62" s="736" t="s">
        <v>199</v>
      </c>
      <c r="D62" s="737">
        <v>280000</v>
      </c>
      <c r="E62" s="737"/>
      <c r="F62" s="355">
        <v>42853</v>
      </c>
      <c r="G62" s="738">
        <v>42853</v>
      </c>
      <c r="H62" s="412"/>
      <c r="I62" s="412"/>
    </row>
    <row r="63" spans="1:9" s="209" customFormat="1" ht="12" x14ac:dyDescent="0.2">
      <c r="A63" s="1326" t="s">
        <v>195</v>
      </c>
      <c r="B63" s="1363"/>
      <c r="C63" s="739" t="s">
        <v>124</v>
      </c>
      <c r="D63" s="740"/>
      <c r="E63" s="741">
        <v>350000</v>
      </c>
      <c r="F63" s="356"/>
      <c r="G63" s="742"/>
      <c r="H63" s="412"/>
      <c r="I63" s="412"/>
    </row>
    <row r="64" spans="1:9" s="209" customFormat="1" ht="12" x14ac:dyDescent="0.2">
      <c r="A64" s="430"/>
      <c r="B64" s="266"/>
      <c r="C64" s="743" t="s">
        <v>123</v>
      </c>
      <c r="D64" s="744"/>
      <c r="E64" s="745">
        <v>30000</v>
      </c>
      <c r="F64" s="353"/>
      <c r="G64" s="732"/>
      <c r="H64" s="412"/>
      <c r="I64" s="412"/>
    </row>
    <row r="65" spans="1:9" s="209" customFormat="1" ht="12" x14ac:dyDescent="0.2">
      <c r="A65" s="1337" t="s">
        <v>790</v>
      </c>
      <c r="B65" s="1364"/>
      <c r="C65" s="746" t="s">
        <v>211</v>
      </c>
      <c r="D65" s="747"/>
      <c r="E65" s="748">
        <v>90000</v>
      </c>
      <c r="F65" s="357">
        <v>42878</v>
      </c>
      <c r="G65" s="749">
        <v>42891</v>
      </c>
      <c r="H65" s="412"/>
      <c r="I65" s="412"/>
    </row>
    <row r="66" spans="1:9" s="209" customFormat="1" ht="12" x14ac:dyDescent="0.2">
      <c r="A66" s="1365"/>
      <c r="B66" s="1366"/>
      <c r="C66" s="750" t="s">
        <v>199</v>
      </c>
      <c r="D66" s="751">
        <v>470000</v>
      </c>
      <c r="E66" s="752"/>
      <c r="F66" s="358"/>
      <c r="G66" s="753"/>
      <c r="H66" s="412"/>
      <c r="I66" s="412"/>
    </row>
    <row r="67" spans="1:9" s="209" customFormat="1" ht="12" x14ac:dyDescent="0.2">
      <c r="A67" s="1326" t="s">
        <v>195</v>
      </c>
      <c r="B67" s="1353"/>
      <c r="C67" s="754" t="s">
        <v>791</v>
      </c>
      <c r="D67" s="755"/>
      <c r="E67" s="756">
        <v>92000</v>
      </c>
      <c r="F67" s="359">
        <v>42892</v>
      </c>
      <c r="G67" s="757">
        <v>42893</v>
      </c>
      <c r="H67" s="412"/>
      <c r="I67" s="412"/>
    </row>
    <row r="68" spans="1:9" s="209" customFormat="1" ht="12" x14ac:dyDescent="0.2">
      <c r="A68" s="1337" t="s">
        <v>792</v>
      </c>
      <c r="B68" s="1358"/>
      <c r="C68" s="758" t="s">
        <v>199</v>
      </c>
      <c r="D68" s="759">
        <v>92000</v>
      </c>
      <c r="E68" s="760"/>
      <c r="F68" s="357"/>
      <c r="G68" s="749"/>
      <c r="H68" s="412"/>
      <c r="I68" s="412"/>
    </row>
    <row r="69" spans="1:9" s="209" customFormat="1" ht="12" x14ac:dyDescent="0.2">
      <c r="A69" s="1337"/>
      <c r="B69" s="1359"/>
      <c r="C69" s="761"/>
      <c r="D69" s="762"/>
      <c r="E69" s="763"/>
      <c r="F69" s="360"/>
      <c r="G69" s="764"/>
      <c r="H69" s="412"/>
      <c r="I69" s="412"/>
    </row>
    <row r="70" spans="1:9" s="209" customFormat="1" ht="12" x14ac:dyDescent="0.2">
      <c r="A70" s="1326" t="s">
        <v>793</v>
      </c>
      <c r="B70" s="1353"/>
      <c r="C70" s="765" t="s">
        <v>124</v>
      </c>
      <c r="D70" s="727"/>
      <c r="E70" s="766">
        <v>480000</v>
      </c>
      <c r="F70" s="352">
        <v>42892</v>
      </c>
      <c r="G70" s="728">
        <v>42893</v>
      </c>
      <c r="H70" s="412"/>
      <c r="I70" s="412"/>
    </row>
    <row r="71" spans="1:9" s="209" customFormat="1" ht="12" x14ac:dyDescent="0.2">
      <c r="A71" s="1339" t="s">
        <v>794</v>
      </c>
      <c r="B71" s="1356"/>
      <c r="C71" s="767" t="s">
        <v>199</v>
      </c>
      <c r="D71" s="768">
        <v>480000</v>
      </c>
      <c r="E71" s="769"/>
      <c r="F71" s="361"/>
      <c r="G71" s="770"/>
      <c r="H71" s="412"/>
      <c r="I71" s="412"/>
    </row>
    <row r="72" spans="1:9" s="209" customFormat="1" ht="12" x14ac:dyDescent="0.2">
      <c r="A72" s="1326" t="s">
        <v>793</v>
      </c>
      <c r="B72" s="1363"/>
      <c r="C72" s="765" t="s">
        <v>124</v>
      </c>
      <c r="D72" s="727"/>
      <c r="E72" s="766">
        <v>650000</v>
      </c>
      <c r="F72" s="352">
        <v>42913</v>
      </c>
      <c r="G72" s="728">
        <v>42916</v>
      </c>
      <c r="H72" s="412"/>
      <c r="I72" s="412"/>
    </row>
    <row r="73" spans="1:9" s="209" customFormat="1" ht="12" x14ac:dyDescent="0.2">
      <c r="A73" s="1337" t="s">
        <v>795</v>
      </c>
      <c r="B73" s="1364"/>
      <c r="C73" s="746" t="s">
        <v>199</v>
      </c>
      <c r="D73" s="759">
        <v>650000</v>
      </c>
      <c r="E73" s="760"/>
      <c r="F73" s="357"/>
      <c r="G73" s="749"/>
      <c r="H73" s="412"/>
      <c r="I73" s="412"/>
    </row>
    <row r="74" spans="1:9" s="209" customFormat="1" ht="12" x14ac:dyDescent="0.2">
      <c r="A74" s="1339" t="s">
        <v>796</v>
      </c>
      <c r="B74" s="1357"/>
      <c r="C74" s="771"/>
      <c r="D74" s="734"/>
      <c r="E74" s="772"/>
      <c r="F74" s="354"/>
      <c r="G74" s="735"/>
      <c r="H74" s="412"/>
      <c r="I74" s="412"/>
    </row>
    <row r="75" spans="1:9" s="209" customFormat="1" ht="12" x14ac:dyDescent="0.2">
      <c r="A75" s="1326" t="s">
        <v>797</v>
      </c>
      <c r="B75" s="1363"/>
      <c r="C75" s="765" t="s">
        <v>705</v>
      </c>
      <c r="D75" s="727">
        <v>7200</v>
      </c>
      <c r="E75" s="766">
        <v>7200</v>
      </c>
      <c r="F75" s="352">
        <v>42915</v>
      </c>
      <c r="G75" s="728">
        <v>42916</v>
      </c>
      <c r="H75" s="412"/>
      <c r="I75" s="412"/>
    </row>
    <row r="76" spans="1:9" s="209" customFormat="1" ht="12" x14ac:dyDescent="0.2">
      <c r="A76" s="430"/>
      <c r="B76" s="266"/>
      <c r="C76" s="771" t="s">
        <v>798</v>
      </c>
      <c r="D76" s="734"/>
      <c r="E76" s="772"/>
      <c r="F76" s="354"/>
      <c r="G76" s="735"/>
      <c r="H76" s="412"/>
      <c r="I76" s="412"/>
    </row>
    <row r="77" spans="1:9" s="209" customFormat="1" ht="12" x14ac:dyDescent="0.2">
      <c r="A77" s="1326" t="s">
        <v>799</v>
      </c>
      <c r="B77" s="1363"/>
      <c r="C77" s="765" t="s">
        <v>800</v>
      </c>
      <c r="D77" s="727"/>
      <c r="E77" s="766">
        <v>-500</v>
      </c>
      <c r="F77" s="352">
        <v>42916</v>
      </c>
      <c r="G77" s="728">
        <v>42916</v>
      </c>
      <c r="H77" s="412"/>
      <c r="I77" s="412"/>
    </row>
    <row r="78" spans="1:9" s="209" customFormat="1" ht="12" x14ac:dyDescent="0.2">
      <c r="A78" s="1339" t="s">
        <v>801</v>
      </c>
      <c r="B78" s="1357"/>
      <c r="C78" s="771" t="s">
        <v>236</v>
      </c>
      <c r="D78" s="734"/>
      <c r="E78" s="772">
        <v>500</v>
      </c>
      <c r="F78" s="354"/>
      <c r="G78" s="735"/>
      <c r="H78" s="412"/>
      <c r="I78" s="412"/>
    </row>
    <row r="79" spans="1:9" s="209" customFormat="1" ht="12" x14ac:dyDescent="0.2">
      <c r="A79" s="1337" t="s">
        <v>802</v>
      </c>
      <c r="B79" s="1364"/>
      <c r="C79" s="765" t="s">
        <v>252</v>
      </c>
      <c r="D79" s="727"/>
      <c r="E79" s="766">
        <v>-2600</v>
      </c>
      <c r="F79" s="352"/>
      <c r="G79" s="728"/>
      <c r="H79" s="412"/>
      <c r="I79" s="412"/>
    </row>
    <row r="80" spans="1:9" s="209" customFormat="1" ht="12" x14ac:dyDescent="0.2">
      <c r="A80" s="1339" t="s">
        <v>803</v>
      </c>
      <c r="B80" s="1357"/>
      <c r="C80" s="771" t="s">
        <v>237</v>
      </c>
      <c r="D80" s="734"/>
      <c r="E80" s="772">
        <v>2600</v>
      </c>
      <c r="F80" s="354">
        <v>42916</v>
      </c>
      <c r="G80" s="735">
        <v>42916</v>
      </c>
      <c r="H80" s="412"/>
      <c r="I80" s="412"/>
    </row>
    <row r="81" spans="1:9" s="209" customFormat="1" ht="12" x14ac:dyDescent="0.2">
      <c r="A81" s="1326" t="s">
        <v>804</v>
      </c>
      <c r="B81" s="1363"/>
      <c r="C81" s="765" t="s">
        <v>805</v>
      </c>
      <c r="D81" s="727">
        <v>39900</v>
      </c>
      <c r="E81" s="766"/>
      <c r="F81" s="352"/>
      <c r="G81" s="728"/>
      <c r="H81" s="412"/>
      <c r="I81" s="412"/>
    </row>
    <row r="82" spans="1:9" s="209" customFormat="1" ht="12" x14ac:dyDescent="0.2">
      <c r="A82" s="1367" t="s">
        <v>806</v>
      </c>
      <c r="B82" s="1368"/>
      <c r="C82" s="771" t="s">
        <v>807</v>
      </c>
      <c r="D82" s="734"/>
      <c r="E82" s="772">
        <v>39900</v>
      </c>
      <c r="F82" s="354">
        <v>42916</v>
      </c>
      <c r="G82" s="735">
        <v>42916</v>
      </c>
      <c r="H82" s="412"/>
      <c r="I82" s="412"/>
    </row>
    <row r="83" spans="1:9" s="209" customFormat="1" ht="12" x14ac:dyDescent="0.2">
      <c r="A83" s="1326" t="s">
        <v>808</v>
      </c>
      <c r="B83" s="1363"/>
      <c r="C83" s="773" t="s">
        <v>809</v>
      </c>
      <c r="D83" s="755">
        <v>19990</v>
      </c>
      <c r="E83" s="756"/>
      <c r="F83" s="359"/>
      <c r="G83" s="757"/>
      <c r="H83" s="412"/>
      <c r="I83" s="412"/>
    </row>
    <row r="84" spans="1:9" s="209" customFormat="1" ht="12" x14ac:dyDescent="0.2">
      <c r="A84" s="1337"/>
      <c r="B84" s="1364"/>
      <c r="C84" s="746" t="s">
        <v>810</v>
      </c>
      <c r="D84" s="759"/>
      <c r="E84" s="760">
        <v>19990</v>
      </c>
      <c r="F84" s="357">
        <v>42916</v>
      </c>
      <c r="G84" s="749">
        <v>42916</v>
      </c>
      <c r="H84" s="412"/>
      <c r="I84" s="412"/>
    </row>
    <row r="85" spans="1:9" s="209" customFormat="1" ht="12" x14ac:dyDescent="0.2">
      <c r="A85" s="1369"/>
      <c r="B85" s="1370"/>
      <c r="C85" s="767"/>
      <c r="D85" s="768"/>
      <c r="E85" s="769"/>
      <c r="F85" s="358"/>
      <c r="G85" s="774"/>
      <c r="H85" s="412"/>
      <c r="I85" s="412"/>
    </row>
    <row r="86" spans="1:9" s="209" customFormat="1" ht="12" x14ac:dyDescent="0.2">
      <c r="A86" s="1371" t="s">
        <v>811</v>
      </c>
      <c r="B86" s="1372"/>
      <c r="C86" s="765" t="s">
        <v>812</v>
      </c>
      <c r="D86" s="727"/>
      <c r="E86" s="766">
        <v>-95000</v>
      </c>
      <c r="F86" s="352"/>
      <c r="G86" s="775"/>
      <c r="H86" s="412"/>
      <c r="I86" s="412"/>
    </row>
    <row r="87" spans="1:9" s="209" customFormat="1" ht="12" x14ac:dyDescent="0.2">
      <c r="A87" s="1379" t="s">
        <v>813</v>
      </c>
      <c r="B87" s="1380"/>
      <c r="C87" s="746" t="s">
        <v>209</v>
      </c>
      <c r="D87" s="759"/>
      <c r="E87" s="760">
        <v>95000</v>
      </c>
      <c r="F87" s="357">
        <v>42996</v>
      </c>
      <c r="G87" s="776">
        <v>42996</v>
      </c>
      <c r="H87" s="412"/>
      <c r="I87" s="412"/>
    </row>
    <row r="88" spans="1:9" s="209" customFormat="1" ht="12" x14ac:dyDescent="0.2">
      <c r="A88" s="1369"/>
      <c r="B88" s="1370"/>
      <c r="C88" s="771"/>
      <c r="D88" s="734"/>
      <c r="E88" s="772"/>
      <c r="F88" s="354"/>
      <c r="G88" s="777"/>
      <c r="H88" s="412"/>
      <c r="I88" s="412"/>
    </row>
    <row r="89" spans="1:9" s="209" customFormat="1" ht="12" x14ac:dyDescent="0.2">
      <c r="A89" s="1379" t="s">
        <v>814</v>
      </c>
      <c r="B89" s="1380"/>
      <c r="C89" s="773" t="s">
        <v>124</v>
      </c>
      <c r="D89" s="755"/>
      <c r="E89" s="756">
        <v>320000</v>
      </c>
      <c r="F89" s="359"/>
      <c r="G89" s="778"/>
      <c r="H89" s="412"/>
      <c r="I89" s="412"/>
    </row>
    <row r="90" spans="1:9" s="209" customFormat="1" ht="12" x14ac:dyDescent="0.2">
      <c r="A90" s="1379" t="s">
        <v>815</v>
      </c>
      <c r="B90" s="1380"/>
      <c r="C90" s="746" t="s">
        <v>199</v>
      </c>
      <c r="D90" s="759">
        <v>320000</v>
      </c>
      <c r="E90" s="760"/>
      <c r="F90" s="357">
        <v>43004</v>
      </c>
      <c r="G90" s="776">
        <v>43004</v>
      </c>
      <c r="H90" s="412"/>
      <c r="I90" s="412"/>
    </row>
    <row r="91" spans="1:9" s="209" customFormat="1" ht="12" x14ac:dyDescent="0.2">
      <c r="A91" s="1369"/>
      <c r="B91" s="1370"/>
      <c r="C91" s="750"/>
      <c r="D91" s="768"/>
      <c r="E91" s="769"/>
      <c r="F91" s="358"/>
      <c r="G91" s="774"/>
      <c r="H91" s="412"/>
      <c r="I91" s="412"/>
    </row>
    <row r="92" spans="1:9" s="209" customFormat="1" ht="12" x14ac:dyDescent="0.2">
      <c r="A92" s="1203" t="s">
        <v>816</v>
      </c>
      <c r="B92" s="1375"/>
      <c r="C92" s="779" t="s">
        <v>199</v>
      </c>
      <c r="D92" s="780">
        <v>260000</v>
      </c>
      <c r="E92" s="781"/>
      <c r="F92" s="782"/>
      <c r="G92" s="783"/>
      <c r="H92" s="412"/>
      <c r="I92" s="412"/>
    </row>
    <row r="93" spans="1:9" s="209" customFormat="1" ht="12" x14ac:dyDescent="0.2">
      <c r="A93" s="1354" t="s">
        <v>817</v>
      </c>
      <c r="B93" s="1355"/>
      <c r="C93" s="784" t="s">
        <v>124</v>
      </c>
      <c r="D93" s="785"/>
      <c r="E93" s="786">
        <v>210000</v>
      </c>
      <c r="F93" s="362">
        <v>43015</v>
      </c>
      <c r="G93" s="787">
        <v>43015</v>
      </c>
      <c r="H93" s="412"/>
      <c r="I93" s="412"/>
    </row>
    <row r="94" spans="1:9" s="209" customFormat="1" ht="12" x14ac:dyDescent="0.2">
      <c r="A94" s="1373" t="s">
        <v>818</v>
      </c>
      <c r="B94" s="1374"/>
      <c r="C94" s="788" t="s">
        <v>241</v>
      </c>
      <c r="D94" s="789"/>
      <c r="E94" s="790">
        <v>50000</v>
      </c>
      <c r="F94" s="365"/>
      <c r="G94" s="791"/>
      <c r="H94" s="412"/>
      <c r="I94" s="412"/>
    </row>
    <row r="95" spans="1:9" s="209" customFormat="1" ht="12" x14ac:dyDescent="0.2">
      <c r="A95" s="1203" t="s">
        <v>819</v>
      </c>
      <c r="B95" s="1375"/>
      <c r="C95" s="779" t="s">
        <v>807</v>
      </c>
      <c r="D95" s="781"/>
      <c r="E95" s="781">
        <v>50000</v>
      </c>
      <c r="F95" s="792">
        <v>43033</v>
      </c>
      <c r="G95" s="793">
        <v>43033</v>
      </c>
      <c r="H95" s="412"/>
      <c r="I95" s="412"/>
    </row>
    <row r="96" spans="1:9" s="209" customFormat="1" ht="12" x14ac:dyDescent="0.2">
      <c r="A96" s="1376"/>
      <c r="B96" s="1377"/>
      <c r="C96" s="788" t="s">
        <v>820</v>
      </c>
      <c r="D96" s="790">
        <v>50000</v>
      </c>
      <c r="E96" s="790"/>
      <c r="F96" s="365"/>
      <c r="G96" s="791"/>
      <c r="H96" s="412"/>
      <c r="I96" s="412"/>
    </row>
    <row r="97" spans="1:9" s="209" customFormat="1" ht="12" x14ac:dyDescent="0.2">
      <c r="A97" s="1203" t="s">
        <v>821</v>
      </c>
      <c r="B97" s="1375"/>
      <c r="C97" s="779" t="s">
        <v>262</v>
      </c>
      <c r="D97" s="781"/>
      <c r="E97" s="781">
        <v>-1000</v>
      </c>
      <c r="F97" s="792"/>
      <c r="G97" s="793"/>
      <c r="H97" s="412"/>
      <c r="I97" s="412"/>
    </row>
    <row r="98" spans="1:9" s="209" customFormat="1" ht="12" x14ac:dyDescent="0.2">
      <c r="A98" s="1354" t="s">
        <v>822</v>
      </c>
      <c r="B98" s="1355"/>
      <c r="C98" s="784" t="s">
        <v>207</v>
      </c>
      <c r="D98" s="786"/>
      <c r="E98" s="786">
        <v>1000</v>
      </c>
      <c r="F98" s="362">
        <v>43074</v>
      </c>
      <c r="G98" s="787">
        <v>43087</v>
      </c>
      <c r="H98" s="412"/>
      <c r="I98" s="412"/>
    </row>
    <row r="99" spans="1:9" s="209" customFormat="1" ht="12" x14ac:dyDescent="0.2">
      <c r="A99" s="1354" t="s">
        <v>823</v>
      </c>
      <c r="B99" s="1355"/>
      <c r="C99" s="784" t="s">
        <v>212</v>
      </c>
      <c r="D99" s="786"/>
      <c r="E99" s="786">
        <v>-50000</v>
      </c>
      <c r="F99" s="362"/>
      <c r="G99" s="787"/>
      <c r="H99" s="412"/>
      <c r="I99" s="412"/>
    </row>
    <row r="100" spans="1:9" s="209" customFormat="1" ht="12" x14ac:dyDescent="0.2">
      <c r="A100" s="1354" t="s">
        <v>824</v>
      </c>
      <c r="B100" s="1355"/>
      <c r="C100" s="784" t="s">
        <v>211</v>
      </c>
      <c r="D100" s="786"/>
      <c r="E100" s="794">
        <v>50000</v>
      </c>
      <c r="F100" s="362">
        <v>43074</v>
      </c>
      <c r="G100" s="787">
        <v>43087</v>
      </c>
      <c r="H100" s="412"/>
      <c r="I100" s="412"/>
    </row>
    <row r="101" spans="1:9" s="209" customFormat="1" ht="12" x14ac:dyDescent="0.2">
      <c r="A101" s="1373"/>
      <c r="B101" s="1374"/>
      <c r="C101" s="788"/>
      <c r="D101" s="790"/>
      <c r="E101" s="795"/>
      <c r="F101" s="365"/>
      <c r="G101" s="791"/>
      <c r="H101" s="412"/>
      <c r="I101" s="412"/>
    </row>
    <row r="102" spans="1:9" s="209" customFormat="1" ht="12" x14ac:dyDescent="0.2">
      <c r="A102" s="1203" t="s">
        <v>825</v>
      </c>
      <c r="B102" s="1375"/>
      <c r="C102" s="779" t="s">
        <v>807</v>
      </c>
      <c r="D102" s="781"/>
      <c r="E102" s="781">
        <v>50000</v>
      </c>
      <c r="F102" s="792"/>
      <c r="G102" s="793"/>
      <c r="H102" s="412"/>
      <c r="I102" s="412"/>
    </row>
    <row r="103" spans="1:9" s="209" customFormat="1" ht="12" x14ac:dyDescent="0.2">
      <c r="A103" s="1354"/>
      <c r="B103" s="1355"/>
      <c r="C103" s="796" t="s">
        <v>820</v>
      </c>
      <c r="D103" s="795">
        <v>50000</v>
      </c>
      <c r="E103" s="790"/>
      <c r="F103" s="363">
        <v>43077</v>
      </c>
      <c r="G103" s="791">
        <v>43087</v>
      </c>
      <c r="H103" s="412"/>
      <c r="I103" s="412"/>
    </row>
    <row r="104" spans="1:9" s="209" customFormat="1" ht="12" x14ac:dyDescent="0.2">
      <c r="A104" s="1203" t="s">
        <v>819</v>
      </c>
      <c r="B104" s="1375"/>
      <c r="C104" s="779" t="s">
        <v>826</v>
      </c>
      <c r="D104" s="781"/>
      <c r="E104" s="781">
        <v>25000</v>
      </c>
      <c r="F104" s="792"/>
      <c r="G104" s="793"/>
      <c r="H104" s="412"/>
      <c r="I104" s="412"/>
    </row>
    <row r="105" spans="1:9" s="209" customFormat="1" ht="12" x14ac:dyDescent="0.2">
      <c r="A105" s="1354"/>
      <c r="B105" s="1355"/>
      <c r="C105" s="784" t="s">
        <v>820</v>
      </c>
      <c r="D105" s="786">
        <v>25000</v>
      </c>
      <c r="E105" s="786"/>
      <c r="F105" s="362">
        <v>43077</v>
      </c>
      <c r="G105" s="787">
        <v>43087</v>
      </c>
      <c r="H105" s="412"/>
      <c r="I105" s="412"/>
    </row>
    <row r="106" spans="1:9" s="209" customFormat="1" ht="12" x14ac:dyDescent="0.2">
      <c r="A106" s="1373"/>
      <c r="B106" s="1374"/>
      <c r="C106" s="796"/>
      <c r="D106" s="795"/>
      <c r="E106" s="797"/>
      <c r="F106" s="363"/>
      <c r="G106" s="798"/>
      <c r="H106" s="412"/>
      <c r="I106" s="412"/>
    </row>
    <row r="107" spans="1:9" s="209" customFormat="1" ht="12" x14ac:dyDescent="0.2">
      <c r="A107" s="1381" t="s">
        <v>827</v>
      </c>
      <c r="B107" s="1382"/>
      <c r="C107" s="779" t="s">
        <v>828</v>
      </c>
      <c r="D107" s="799"/>
      <c r="E107" s="800">
        <v>-125000</v>
      </c>
      <c r="F107" s="364"/>
      <c r="G107" s="801"/>
      <c r="H107" s="412"/>
      <c r="I107" s="412"/>
    </row>
    <row r="108" spans="1:9" s="209" customFormat="1" ht="12" x14ac:dyDescent="0.2">
      <c r="A108" s="1373" t="s">
        <v>829</v>
      </c>
      <c r="B108" s="1374"/>
      <c r="C108" s="788" t="s">
        <v>211</v>
      </c>
      <c r="D108" s="802"/>
      <c r="E108" s="797">
        <v>125000</v>
      </c>
      <c r="F108" s="363">
        <v>43077</v>
      </c>
      <c r="G108" s="798">
        <v>43087</v>
      </c>
      <c r="H108" s="412"/>
      <c r="I108" s="412"/>
    </row>
    <row r="109" spans="1:9" s="209" customFormat="1" ht="12" x14ac:dyDescent="0.2">
      <c r="A109" s="1203" t="s">
        <v>830</v>
      </c>
      <c r="B109" s="1375"/>
      <c r="C109" s="779" t="s">
        <v>807</v>
      </c>
      <c r="D109" s="799"/>
      <c r="E109" s="800">
        <v>3390</v>
      </c>
      <c r="F109" s="364"/>
      <c r="G109" s="801"/>
      <c r="H109" s="412"/>
      <c r="I109" s="412"/>
    </row>
    <row r="110" spans="1:9" s="209" customFormat="1" ht="12" x14ac:dyDescent="0.2">
      <c r="A110" s="1354"/>
      <c r="B110" s="1355"/>
      <c r="C110" s="784" t="s">
        <v>826</v>
      </c>
      <c r="D110" s="794"/>
      <c r="E110" s="803">
        <v>1610</v>
      </c>
      <c r="F110" s="804"/>
      <c r="G110" s="805"/>
      <c r="H110" s="412"/>
      <c r="I110" s="412"/>
    </row>
    <row r="111" spans="1:9" s="209" customFormat="1" ht="12" x14ac:dyDescent="0.2">
      <c r="A111" s="1373"/>
      <c r="B111" s="1374"/>
      <c r="C111" s="788" t="s">
        <v>820</v>
      </c>
      <c r="D111" s="802">
        <v>5000</v>
      </c>
      <c r="E111" s="797"/>
      <c r="F111" s="363">
        <v>43087</v>
      </c>
      <c r="G111" s="798">
        <v>43087</v>
      </c>
      <c r="H111" s="412"/>
      <c r="I111" s="412"/>
    </row>
    <row r="112" spans="1:9" s="209" customFormat="1" ht="12" x14ac:dyDescent="0.2">
      <c r="A112" s="1203" t="s">
        <v>831</v>
      </c>
      <c r="B112" s="1375"/>
      <c r="C112" s="779" t="s">
        <v>812</v>
      </c>
      <c r="D112" s="799"/>
      <c r="E112" s="800">
        <v>-55000</v>
      </c>
      <c r="F112" s="364"/>
      <c r="G112" s="801"/>
      <c r="H112" s="412"/>
      <c r="I112" s="412"/>
    </row>
    <row r="113" spans="1:9" s="209" customFormat="1" ht="12" x14ac:dyDescent="0.2">
      <c r="A113" s="1373" t="s">
        <v>832</v>
      </c>
      <c r="B113" s="1374"/>
      <c r="C113" s="788" t="s">
        <v>209</v>
      </c>
      <c r="D113" s="802"/>
      <c r="E113" s="797">
        <v>55000</v>
      </c>
      <c r="F113" s="363">
        <v>43098</v>
      </c>
      <c r="G113" s="798">
        <v>43098</v>
      </c>
      <c r="H113" s="412"/>
      <c r="I113" s="412"/>
    </row>
    <row r="114" spans="1:9" s="209" customFormat="1" ht="12" x14ac:dyDescent="0.2">
      <c r="A114" s="1203" t="s">
        <v>833</v>
      </c>
      <c r="B114" s="1375"/>
      <c r="C114" s="779" t="s">
        <v>211</v>
      </c>
      <c r="D114" s="799"/>
      <c r="E114" s="800">
        <v>-63700</v>
      </c>
      <c r="F114" s="364"/>
      <c r="G114" s="801"/>
      <c r="H114" s="412"/>
      <c r="I114" s="412"/>
    </row>
    <row r="115" spans="1:9" s="209" customFormat="1" ht="12" x14ac:dyDescent="0.2">
      <c r="A115" s="1373" t="s">
        <v>834</v>
      </c>
      <c r="B115" s="1374"/>
      <c r="C115" s="788" t="s">
        <v>123</v>
      </c>
      <c r="D115" s="802"/>
      <c r="E115" s="797">
        <v>63700</v>
      </c>
      <c r="F115" s="363">
        <v>43098</v>
      </c>
      <c r="G115" s="798">
        <v>43098</v>
      </c>
      <c r="H115" s="412"/>
      <c r="I115" s="412"/>
    </row>
    <row r="116" spans="1:9" s="209" customFormat="1" ht="12" x14ac:dyDescent="0.2">
      <c r="A116" s="1203" t="s">
        <v>835</v>
      </c>
      <c r="B116" s="1375"/>
      <c r="C116" s="779" t="s">
        <v>269</v>
      </c>
      <c r="D116" s="799"/>
      <c r="E116" s="800">
        <v>-12500</v>
      </c>
      <c r="F116" s="364"/>
      <c r="G116" s="801"/>
      <c r="H116" s="412"/>
      <c r="I116" s="412"/>
    </row>
    <row r="117" spans="1:9" s="209" customFormat="1" ht="12" x14ac:dyDescent="0.2">
      <c r="A117" s="1354" t="s">
        <v>836</v>
      </c>
      <c r="B117" s="1355"/>
      <c r="C117" s="806">
        <v>5010400</v>
      </c>
      <c r="D117" s="807"/>
      <c r="E117" s="803">
        <v>-20800</v>
      </c>
      <c r="F117" s="804"/>
      <c r="G117" s="805"/>
      <c r="H117" s="412"/>
      <c r="I117" s="412"/>
    </row>
    <row r="118" spans="1:9" s="209" customFormat="1" ht="12" x14ac:dyDescent="0.2">
      <c r="A118" s="1354" t="s">
        <v>837</v>
      </c>
      <c r="B118" s="1355"/>
      <c r="C118" s="808" t="s">
        <v>245</v>
      </c>
      <c r="D118" s="786"/>
      <c r="E118" s="803">
        <v>26500</v>
      </c>
      <c r="F118" s="804"/>
      <c r="G118" s="805"/>
      <c r="H118" s="412"/>
      <c r="I118" s="412"/>
    </row>
    <row r="119" spans="1:9" s="209" customFormat="1" ht="12" x14ac:dyDescent="0.2">
      <c r="A119" s="1354" t="s">
        <v>838</v>
      </c>
      <c r="B119" s="1378"/>
      <c r="C119" s="796" t="s">
        <v>241</v>
      </c>
      <c r="D119" s="797"/>
      <c r="E119" s="797">
        <v>6800</v>
      </c>
      <c r="F119" s="363"/>
      <c r="G119" s="798"/>
      <c r="H119" s="412"/>
      <c r="I119" s="412"/>
    </row>
    <row r="120" spans="1:9" s="209" customFormat="1" ht="12" x14ac:dyDescent="0.2">
      <c r="A120" s="1203" t="s">
        <v>839</v>
      </c>
      <c r="B120" s="1204"/>
      <c r="C120" s="809" t="s">
        <v>229</v>
      </c>
      <c r="D120" s="807"/>
      <c r="E120" s="800">
        <v>-4701</v>
      </c>
      <c r="F120" s="364"/>
      <c r="G120" s="801"/>
      <c r="H120" s="412"/>
      <c r="I120" s="412"/>
    </row>
    <row r="121" spans="1:9" s="209" customFormat="1" ht="12" x14ac:dyDescent="0.2">
      <c r="A121" s="1354" t="s">
        <v>840</v>
      </c>
      <c r="B121" s="1355"/>
      <c r="C121" s="784" t="s">
        <v>841</v>
      </c>
      <c r="D121" s="810"/>
      <c r="E121" s="786">
        <v>4701</v>
      </c>
      <c r="F121" s="362"/>
      <c r="G121" s="787"/>
      <c r="H121" s="412"/>
      <c r="I121" s="412"/>
    </row>
    <row r="122" spans="1:9" s="209" customFormat="1" ht="12" x14ac:dyDescent="0.2">
      <c r="A122" s="1373" t="s">
        <v>842</v>
      </c>
      <c r="B122" s="1374"/>
      <c r="C122" s="788"/>
      <c r="D122" s="811"/>
      <c r="E122" s="797"/>
      <c r="F122" s="365"/>
      <c r="G122" s="791"/>
      <c r="H122" s="412"/>
      <c r="I122" s="412"/>
    </row>
    <row r="123" spans="1:9" s="209" customFormat="1" ht="12" x14ac:dyDescent="0.2">
      <c r="A123" s="1203" t="s">
        <v>843</v>
      </c>
      <c r="B123" s="1375"/>
      <c r="C123" s="779" t="s">
        <v>269</v>
      </c>
      <c r="D123" s="799"/>
      <c r="E123" s="800">
        <v>-1310</v>
      </c>
      <c r="F123" s="792"/>
      <c r="G123" s="793"/>
      <c r="H123" s="412"/>
      <c r="I123" s="412"/>
    </row>
    <row r="124" spans="1:9" s="209" customFormat="1" ht="12" x14ac:dyDescent="0.2">
      <c r="A124" s="1373" t="s">
        <v>844</v>
      </c>
      <c r="B124" s="1374"/>
      <c r="C124" s="788" t="s">
        <v>236</v>
      </c>
      <c r="D124" s="802"/>
      <c r="E124" s="797">
        <v>1310</v>
      </c>
      <c r="F124" s="365"/>
      <c r="G124" s="791"/>
      <c r="H124" s="412"/>
      <c r="I124" s="412"/>
    </row>
    <row r="125" spans="1:9" s="209" customFormat="1" ht="12" x14ac:dyDescent="0.2">
      <c r="A125" s="1203" t="s">
        <v>845</v>
      </c>
      <c r="B125" s="1375"/>
      <c r="C125" s="779" t="s">
        <v>129</v>
      </c>
      <c r="D125" s="799">
        <v>19090</v>
      </c>
      <c r="E125" s="800"/>
      <c r="F125" s="792"/>
      <c r="G125" s="793"/>
      <c r="H125" s="412"/>
      <c r="I125" s="412"/>
    </row>
    <row r="126" spans="1:9" s="209" customFormat="1" ht="12" x14ac:dyDescent="0.2">
      <c r="A126" s="1354" t="s">
        <v>846</v>
      </c>
      <c r="B126" s="1355"/>
      <c r="C126" s="784" t="s">
        <v>847</v>
      </c>
      <c r="D126" s="810">
        <v>2420</v>
      </c>
      <c r="E126" s="786"/>
      <c r="F126" s="362"/>
      <c r="G126" s="787"/>
      <c r="H126" s="412"/>
      <c r="I126" s="412"/>
    </row>
    <row r="127" spans="1:9" s="209" customFormat="1" ht="12" x14ac:dyDescent="0.2">
      <c r="A127" s="1354" t="s">
        <v>848</v>
      </c>
      <c r="B127" s="1355"/>
      <c r="C127" s="812" t="s">
        <v>286</v>
      </c>
      <c r="D127" s="813">
        <v>2900</v>
      </c>
      <c r="E127" s="814"/>
      <c r="F127" s="804"/>
      <c r="G127" s="815"/>
      <c r="H127" s="412"/>
      <c r="I127" s="412"/>
    </row>
    <row r="128" spans="1:9" s="209" customFormat="1" ht="12" x14ac:dyDescent="0.2">
      <c r="A128" s="1354" t="s">
        <v>849</v>
      </c>
      <c r="B128" s="1355"/>
      <c r="C128" s="812">
        <v>6490400</v>
      </c>
      <c r="D128" s="813">
        <v>4090</v>
      </c>
      <c r="E128" s="814"/>
      <c r="F128" s="804"/>
      <c r="G128" s="815"/>
      <c r="H128" s="412"/>
      <c r="I128" s="412"/>
    </row>
    <row r="129" spans="1:9" s="209" customFormat="1" ht="12" x14ac:dyDescent="0.2">
      <c r="A129" s="1354"/>
      <c r="B129" s="1355"/>
      <c r="C129" s="812" t="s">
        <v>209</v>
      </c>
      <c r="D129" s="813"/>
      <c r="E129" s="814">
        <v>32500</v>
      </c>
      <c r="F129" s="804"/>
      <c r="G129" s="815"/>
      <c r="H129" s="412"/>
      <c r="I129" s="412"/>
    </row>
    <row r="130" spans="1:9" s="209" customFormat="1" ht="12" x14ac:dyDescent="0.2">
      <c r="A130" s="1373"/>
      <c r="B130" s="1374"/>
      <c r="C130" s="796"/>
      <c r="D130" s="797"/>
      <c r="E130" s="797"/>
      <c r="F130" s="365"/>
      <c r="G130" s="791"/>
      <c r="H130" s="412"/>
      <c r="I130" s="412"/>
    </row>
    <row r="131" spans="1:9" s="209" customFormat="1" ht="12" x14ac:dyDescent="0.2">
      <c r="A131" s="1203" t="s">
        <v>850</v>
      </c>
      <c r="B131" s="1375"/>
      <c r="C131" s="779">
        <v>5010300</v>
      </c>
      <c r="D131" s="781"/>
      <c r="E131" s="781">
        <v>486210</v>
      </c>
      <c r="F131" s="792"/>
      <c r="G131" s="793"/>
      <c r="H131" s="412"/>
      <c r="I131" s="412"/>
    </row>
    <row r="132" spans="1:9" s="209" customFormat="1" ht="12" x14ac:dyDescent="0.2">
      <c r="A132" s="1373" t="s">
        <v>851</v>
      </c>
      <c r="B132" s="1374"/>
      <c r="C132" s="788">
        <v>6020300</v>
      </c>
      <c r="D132" s="790">
        <v>486210</v>
      </c>
      <c r="E132" s="790"/>
      <c r="F132" s="365"/>
      <c r="G132" s="791"/>
      <c r="H132" s="412"/>
      <c r="I132" s="412"/>
    </row>
    <row r="133" spans="1:9" s="209" customFormat="1" ht="12" x14ac:dyDescent="0.2">
      <c r="A133" s="1203" t="s">
        <v>852</v>
      </c>
      <c r="B133" s="1375"/>
      <c r="C133" s="779" t="s">
        <v>809</v>
      </c>
      <c r="D133" s="781">
        <v>12860</v>
      </c>
      <c r="E133" s="800"/>
      <c r="F133" s="816"/>
      <c r="G133" s="801"/>
      <c r="H133" s="412"/>
      <c r="I133" s="412"/>
    </row>
    <row r="134" spans="1:9" s="209" customFormat="1" ht="12" x14ac:dyDescent="0.2">
      <c r="A134" s="1354"/>
      <c r="B134" s="1355"/>
      <c r="C134" s="784" t="s">
        <v>810</v>
      </c>
      <c r="D134" s="786"/>
      <c r="E134" s="786">
        <v>12860</v>
      </c>
      <c r="F134" s="362"/>
      <c r="G134" s="787"/>
      <c r="H134" s="412"/>
      <c r="I134" s="412"/>
    </row>
    <row r="135" spans="1:9" s="209" customFormat="1" ht="12" x14ac:dyDescent="0.2">
      <c r="A135" s="1373"/>
      <c r="B135" s="1374"/>
      <c r="C135" s="788"/>
      <c r="D135" s="790"/>
      <c r="E135" s="817"/>
      <c r="F135" s="365"/>
      <c r="G135" s="791"/>
      <c r="H135" s="412"/>
      <c r="I135" s="412"/>
    </row>
    <row r="136" spans="1:9" s="209" customFormat="1" ht="12" x14ac:dyDescent="0.2">
      <c r="A136" s="1199" t="s">
        <v>132</v>
      </c>
      <c r="B136" s="1383"/>
      <c r="C136" s="390"/>
      <c r="D136" s="391">
        <f>SUM(D46:D135)</f>
        <v>3286660</v>
      </c>
      <c r="E136" s="391">
        <f>SUM(E46:E135)</f>
        <v>3290660</v>
      </c>
      <c r="F136" s="818"/>
      <c r="G136" s="438"/>
      <c r="H136" s="412"/>
      <c r="I136" s="412"/>
    </row>
    <row r="137" spans="1:9" s="181" customFormat="1" ht="11.25" x14ac:dyDescent="0.2">
      <c r="C137" s="186"/>
    </row>
    <row r="138" spans="1:9" s="181" customFormat="1" ht="11.25" x14ac:dyDescent="0.2">
      <c r="A138" s="1083" t="s">
        <v>397</v>
      </c>
      <c r="B138" s="1083"/>
      <c r="C138" s="1083"/>
      <c r="D138" s="1083"/>
      <c r="E138" s="1083"/>
      <c r="F138" s="1083"/>
      <c r="G138" s="1083"/>
      <c r="H138" s="1083"/>
      <c r="I138" s="1083"/>
    </row>
    <row r="139" spans="1:9" s="181" customFormat="1" ht="12" customHeight="1" x14ac:dyDescent="0.2">
      <c r="A139" s="181" t="s">
        <v>853</v>
      </c>
    </row>
    <row r="140" spans="1:9" s="181" customFormat="1" ht="11.25" x14ac:dyDescent="0.2">
      <c r="A140" s="1034"/>
      <c r="B140" s="1035"/>
      <c r="C140" s="1035"/>
      <c r="D140" s="1035"/>
      <c r="E140" s="1035"/>
      <c r="F140" s="1035"/>
      <c r="G140" s="1035"/>
      <c r="H140" s="1035"/>
      <c r="I140" s="1036"/>
    </row>
    <row r="141" spans="1:9" s="181" customFormat="1" ht="12" customHeight="1" x14ac:dyDescent="0.2">
      <c r="A141" s="1034"/>
      <c r="B141" s="1035"/>
      <c r="C141" s="1035"/>
      <c r="D141" s="1035"/>
      <c r="E141" s="1035"/>
      <c r="F141" s="1035"/>
      <c r="G141" s="1035"/>
      <c r="H141" s="1035"/>
      <c r="I141" s="1036"/>
    </row>
    <row r="142" spans="1:9" s="181" customFormat="1" ht="0.75" customHeight="1" x14ac:dyDescent="0.2">
      <c r="A142" s="1034"/>
      <c r="B142" s="1035"/>
      <c r="C142" s="1035"/>
      <c r="D142" s="1035"/>
      <c r="E142" s="1035"/>
      <c r="F142" s="1035"/>
      <c r="G142" s="1035"/>
      <c r="H142" s="1035"/>
      <c r="I142" s="1036"/>
    </row>
    <row r="143" spans="1:9" s="181" customFormat="1" ht="18" hidden="1" customHeight="1" x14ac:dyDescent="0.2"/>
    <row r="144" spans="1:9" s="180" customFormat="1" ht="10.5" x14ac:dyDescent="0.15">
      <c r="A144" s="1039" t="s">
        <v>399</v>
      </c>
      <c r="B144" s="1039"/>
      <c r="C144" s="1039"/>
      <c r="D144" s="1039"/>
      <c r="E144" s="1039"/>
      <c r="F144" s="1039"/>
      <c r="G144" s="1039"/>
      <c r="H144" s="1039"/>
      <c r="I144" s="1039"/>
    </row>
    <row r="145" spans="1:9" s="181" customFormat="1" ht="11.25" x14ac:dyDescent="0.2">
      <c r="A145" s="181" t="s">
        <v>112</v>
      </c>
    </row>
    <row r="146" spans="1:9" s="181" customFormat="1" ht="16.5" customHeight="1" x14ac:dyDescent="0.2">
      <c r="A146" s="1034" t="s">
        <v>854</v>
      </c>
      <c r="B146" s="1035"/>
      <c r="C146" s="1035"/>
      <c r="D146" s="1035"/>
      <c r="E146" s="1035"/>
      <c r="F146" s="1035"/>
      <c r="G146" s="1035"/>
      <c r="H146" s="1035"/>
      <c r="I146" s="1036"/>
    </row>
    <row r="147" spans="1:9" s="181" customFormat="1" ht="27" customHeight="1" x14ac:dyDescent="0.2">
      <c r="A147" s="1034"/>
      <c r="B147" s="1035"/>
      <c r="C147" s="1035"/>
      <c r="D147" s="1035"/>
      <c r="E147" s="1035"/>
      <c r="F147" s="1035"/>
      <c r="G147" s="1035"/>
      <c r="H147" s="1035"/>
      <c r="I147" s="1036"/>
    </row>
    <row r="148" spans="1:9" ht="12.75" customHeight="1" x14ac:dyDescent="0.2">
      <c r="A148" s="240" t="s">
        <v>855</v>
      </c>
      <c r="E148" s="440" t="s">
        <v>856</v>
      </c>
    </row>
    <row r="149" spans="1:9" x14ac:dyDescent="0.2">
      <c r="E149" s="440" t="s">
        <v>857</v>
      </c>
    </row>
    <row r="150" spans="1:9" x14ac:dyDescent="0.2">
      <c r="A150" s="239"/>
    </row>
    <row r="151" spans="1:9" x14ac:dyDescent="0.2">
      <c r="A151" s="239"/>
    </row>
    <row r="152" spans="1:9" ht="12.75" customHeight="1" x14ac:dyDescent="0.2"/>
    <row r="155" spans="1:9" ht="12.75" customHeight="1" x14ac:dyDescent="0.2"/>
  </sheetData>
  <mergeCells count="124">
    <mergeCell ref="A135:B135"/>
    <mergeCell ref="A136:B136"/>
    <mergeCell ref="A116:B116"/>
    <mergeCell ref="A129:B129"/>
    <mergeCell ref="A130:B130"/>
    <mergeCell ref="A131:B131"/>
    <mergeCell ref="A132:B132"/>
    <mergeCell ref="A133:B133"/>
    <mergeCell ref="A134:B134"/>
    <mergeCell ref="A123:B123"/>
    <mergeCell ref="A124:B124"/>
    <mergeCell ref="A125:B125"/>
    <mergeCell ref="A126:B126"/>
    <mergeCell ref="A127:B127"/>
    <mergeCell ref="A128:B128"/>
    <mergeCell ref="A87:B87"/>
    <mergeCell ref="A88:B88"/>
    <mergeCell ref="A89:B89"/>
    <mergeCell ref="A90:B90"/>
    <mergeCell ref="A91:B91"/>
    <mergeCell ref="A92:B92"/>
    <mergeCell ref="A105:B105"/>
    <mergeCell ref="A106:B106"/>
    <mergeCell ref="A107:B107"/>
    <mergeCell ref="A99:B99"/>
    <mergeCell ref="A100:B100"/>
    <mergeCell ref="A101:B101"/>
    <mergeCell ref="A102:B102"/>
    <mergeCell ref="A104:B104"/>
    <mergeCell ref="A142:I142"/>
    <mergeCell ref="A144:I144"/>
    <mergeCell ref="A146:I146"/>
    <mergeCell ref="A147:I147"/>
    <mergeCell ref="A93:B93"/>
    <mergeCell ref="A94:B94"/>
    <mergeCell ref="A95:B95"/>
    <mergeCell ref="A96:B96"/>
    <mergeCell ref="A97:B97"/>
    <mergeCell ref="A98:B98"/>
    <mergeCell ref="A108:B108"/>
    <mergeCell ref="A109:B109"/>
    <mergeCell ref="A110:B110"/>
    <mergeCell ref="A117:B117"/>
    <mergeCell ref="A118:B118"/>
    <mergeCell ref="A119:B119"/>
    <mergeCell ref="A120:B120"/>
    <mergeCell ref="A121:B121"/>
    <mergeCell ref="A122:B122"/>
    <mergeCell ref="A111:B111"/>
    <mergeCell ref="A112:B112"/>
    <mergeCell ref="A113:B113"/>
    <mergeCell ref="A114:B114"/>
    <mergeCell ref="A115:B115"/>
    <mergeCell ref="A83:B83"/>
    <mergeCell ref="A84:B84"/>
    <mergeCell ref="A85:B85"/>
    <mergeCell ref="A86:B86"/>
    <mergeCell ref="A75:B75"/>
    <mergeCell ref="A77:B77"/>
    <mergeCell ref="A78:B78"/>
    <mergeCell ref="A79:B79"/>
    <mergeCell ref="A80:B80"/>
    <mergeCell ref="A72:B72"/>
    <mergeCell ref="A73:B73"/>
    <mergeCell ref="A62:B62"/>
    <mergeCell ref="A63:B63"/>
    <mergeCell ref="A65:B65"/>
    <mergeCell ref="A66:B66"/>
    <mergeCell ref="A67:B67"/>
    <mergeCell ref="A81:B81"/>
    <mergeCell ref="A82:B82"/>
    <mergeCell ref="D40:I40"/>
    <mergeCell ref="D41:I41"/>
    <mergeCell ref="F26:I26"/>
    <mergeCell ref="F27:I27"/>
    <mergeCell ref="F28:I28"/>
    <mergeCell ref="A30:I30"/>
    <mergeCell ref="D32:I32"/>
    <mergeCell ref="D33:I34"/>
    <mergeCell ref="C35:I35"/>
    <mergeCell ref="A37:I37"/>
    <mergeCell ref="D39:I39"/>
    <mergeCell ref="F23:I23"/>
    <mergeCell ref="F25:I25"/>
    <mergeCell ref="A7:B7"/>
    <mergeCell ref="D7:I7"/>
    <mergeCell ref="A8:B8"/>
    <mergeCell ref="D8:I8"/>
    <mergeCell ref="A9:B9"/>
    <mergeCell ref="D9:I9"/>
    <mergeCell ref="F24:I24"/>
    <mergeCell ref="A3:I3"/>
    <mergeCell ref="A5:B5"/>
    <mergeCell ref="D5:I5"/>
    <mergeCell ref="A6:B6"/>
    <mergeCell ref="D6:I6"/>
    <mergeCell ref="A11:I11"/>
    <mergeCell ref="A15:A17"/>
    <mergeCell ref="A20:I20"/>
    <mergeCell ref="F22:I22"/>
    <mergeCell ref="C42:I42"/>
    <mergeCell ref="A44:I44"/>
    <mergeCell ref="C52:I52"/>
    <mergeCell ref="C53:I53"/>
    <mergeCell ref="A55:I55"/>
    <mergeCell ref="A138:I138"/>
    <mergeCell ref="A140:I140"/>
    <mergeCell ref="A141:I141"/>
    <mergeCell ref="C48:I48"/>
    <mergeCell ref="A57:B57"/>
    <mergeCell ref="A58:B58"/>
    <mergeCell ref="A103:B103"/>
    <mergeCell ref="A60:B60"/>
    <mergeCell ref="A61:B61"/>
    <mergeCell ref="C49:I49"/>
    <mergeCell ref="C50:I50"/>
    <mergeCell ref="C46:I46"/>
    <mergeCell ref="C47:I47"/>
    <mergeCell ref="C51:I51"/>
    <mergeCell ref="A74:B74"/>
    <mergeCell ref="A68:B68"/>
    <mergeCell ref="A69:B69"/>
    <mergeCell ref="A70:B70"/>
    <mergeCell ref="A71:B71"/>
  </mergeCells>
  <pageMargins left="0.70866141732283472" right="0.70866141732283472" top="0.78740157480314965" bottom="0.78740157480314965" header="0.31496062992125984" footer="0.31496062992125984"/>
  <pageSetup paperSize="9" scale="72" firstPageNumber="108" fitToHeight="8" orientation="portrait" useFirstPageNumber="1" r:id="rId1"/>
  <headerFoot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zoomScale="150" zoomScaleNormal="150" workbookViewId="0">
      <selection activeCell="A107" sqref="A107:XFD107"/>
    </sheetView>
  </sheetViews>
  <sheetFormatPr defaultColWidth="6.5" defaultRowHeight="8.25" x14ac:dyDescent="0.15"/>
  <cols>
    <col min="1" max="1" width="5.5" style="1" customWidth="1"/>
    <col min="2" max="2" width="6.5" customWidth="1"/>
    <col min="3" max="3" width="36.75" customWidth="1"/>
    <col min="4" max="4" width="9.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2" customFormat="1" ht="15.75" x14ac:dyDescent="0.25">
      <c r="A1" s="1019" t="s">
        <v>86</v>
      </c>
      <c r="B1" s="1019"/>
      <c r="C1" s="1019"/>
      <c r="D1" s="1019"/>
      <c r="E1" s="1019"/>
      <c r="F1" s="1019"/>
      <c r="G1" s="1019"/>
      <c r="H1" s="1019"/>
      <c r="I1" s="1019"/>
      <c r="J1" s="1019"/>
      <c r="K1" s="1019"/>
      <c r="L1" s="1019"/>
      <c r="M1" s="1019"/>
      <c r="N1" s="1019"/>
      <c r="O1" s="1019"/>
      <c r="P1" s="1019"/>
      <c r="Q1" s="1019"/>
      <c r="R1" s="1019"/>
      <c r="S1" s="1019"/>
      <c r="T1" s="1019"/>
      <c r="U1" s="1019"/>
      <c r="V1" s="1019"/>
      <c r="W1" s="1019"/>
      <c r="X1" s="1019"/>
    </row>
    <row r="3" spans="1:24" s="3" customFormat="1" ht="9.75" customHeight="1" x14ac:dyDescent="0.2">
      <c r="A3" s="1012" t="s">
        <v>40</v>
      </c>
      <c r="B3" s="1022" t="s">
        <v>41</v>
      </c>
      <c r="C3" s="1023"/>
      <c r="D3" s="1028" t="s">
        <v>42</v>
      </c>
      <c r="E3" s="1031" t="s">
        <v>34</v>
      </c>
      <c r="F3" s="1032"/>
      <c r="G3" s="1032"/>
      <c r="H3" s="1032"/>
      <c r="I3" s="1033"/>
      <c r="J3" s="1031" t="s">
        <v>39</v>
      </c>
      <c r="K3" s="1032"/>
      <c r="L3" s="1032"/>
      <c r="M3" s="1032"/>
      <c r="N3" s="1033"/>
      <c r="O3" s="1031" t="s">
        <v>43</v>
      </c>
      <c r="P3" s="1032"/>
      <c r="Q3" s="1032"/>
      <c r="R3" s="1032"/>
      <c r="S3" s="1033"/>
      <c r="T3" s="1031" t="s">
        <v>38</v>
      </c>
      <c r="U3" s="1032"/>
      <c r="V3" s="1032"/>
      <c r="W3" s="1032"/>
      <c r="X3" s="1033"/>
    </row>
    <row r="4" spans="1:24" s="4" customFormat="1" ht="9.75" customHeight="1" x14ac:dyDescent="0.2">
      <c r="A4" s="1020"/>
      <c r="B4" s="1024"/>
      <c r="C4" s="1025"/>
      <c r="D4" s="1029"/>
      <c r="E4" s="1014" t="s">
        <v>44</v>
      </c>
      <c r="F4" s="1016" t="s">
        <v>336</v>
      </c>
      <c r="G4" s="1017"/>
      <c r="H4" s="1018"/>
      <c r="I4" s="1012" t="s">
        <v>337</v>
      </c>
      <c r="J4" s="1014" t="s">
        <v>44</v>
      </c>
      <c r="K4" s="1016" t="s">
        <v>336</v>
      </c>
      <c r="L4" s="1017"/>
      <c r="M4" s="1018"/>
      <c r="N4" s="1012" t="s">
        <v>337</v>
      </c>
      <c r="O4" s="1014" t="s">
        <v>44</v>
      </c>
      <c r="P4" s="1016" t="s">
        <v>336</v>
      </c>
      <c r="Q4" s="1017"/>
      <c r="R4" s="1018"/>
      <c r="S4" s="1012" t="s">
        <v>337</v>
      </c>
      <c r="T4" s="1014" t="s">
        <v>44</v>
      </c>
      <c r="U4" s="1016" t="s">
        <v>336</v>
      </c>
      <c r="V4" s="1017"/>
      <c r="W4" s="1018"/>
      <c r="X4" s="1012" t="s">
        <v>337</v>
      </c>
    </row>
    <row r="5" spans="1:24" s="5" customFormat="1" ht="9.75" customHeight="1" x14ac:dyDescent="0.2">
      <c r="A5" s="1021"/>
      <c r="B5" s="1026"/>
      <c r="C5" s="1027"/>
      <c r="D5" s="1030"/>
      <c r="E5" s="1015"/>
      <c r="F5" s="14" t="s">
        <v>35</v>
      </c>
      <c r="G5" s="15" t="s">
        <v>36</v>
      </c>
      <c r="H5" s="14" t="s">
        <v>37</v>
      </c>
      <c r="I5" s="1013"/>
      <c r="J5" s="1015"/>
      <c r="K5" s="14" t="s">
        <v>35</v>
      </c>
      <c r="L5" s="15" t="s">
        <v>36</v>
      </c>
      <c r="M5" s="14" t="s">
        <v>37</v>
      </c>
      <c r="N5" s="1013"/>
      <c r="O5" s="1015"/>
      <c r="P5" s="14" t="s">
        <v>35</v>
      </c>
      <c r="Q5" s="15" t="s">
        <v>36</v>
      </c>
      <c r="R5" s="14" t="s">
        <v>37</v>
      </c>
      <c r="S5" s="1013"/>
      <c r="T5" s="1015"/>
      <c r="U5" s="14" t="s">
        <v>35</v>
      </c>
      <c r="V5" s="15" t="s">
        <v>36</v>
      </c>
      <c r="W5" s="14" t="s">
        <v>37</v>
      </c>
      <c r="X5" s="1013"/>
    </row>
    <row r="6" spans="1:24" s="3" customFormat="1" ht="9.75" customHeight="1" x14ac:dyDescent="0.2">
      <c r="A6" s="16" t="s">
        <v>0</v>
      </c>
      <c r="B6" s="1007" t="s">
        <v>1</v>
      </c>
      <c r="C6" s="1007"/>
      <c r="D6" s="17" t="s">
        <v>25</v>
      </c>
      <c r="E6" s="52">
        <f>SUM(E7:E9)</f>
        <v>15781190</v>
      </c>
      <c r="F6" s="52">
        <f>SUM(F7:F9)</f>
        <v>18923150</v>
      </c>
      <c r="G6" s="52">
        <f>SUM(G7:G9)</f>
        <v>18923242</v>
      </c>
      <c r="H6" s="18">
        <f t="shared" ref="H6:H36" si="0">G6/F6*100</f>
        <v>100.00048617698427</v>
      </c>
      <c r="I6" s="52">
        <f>SUM(I7:I9)</f>
        <v>15949651</v>
      </c>
      <c r="J6" s="52">
        <f>SUM(J7:J9)</f>
        <v>2743500</v>
      </c>
      <c r="K6" s="52">
        <f t="shared" ref="K6:X6" si="1">SUM(K7:K9)</f>
        <v>2888970</v>
      </c>
      <c r="L6" s="52">
        <f t="shared" si="1"/>
        <v>2889062</v>
      </c>
      <c r="M6" s="18">
        <f t="shared" ref="M6:M36" si="2">L6/K6*100</f>
        <v>100.00318452597293</v>
      </c>
      <c r="N6" s="69">
        <f t="shared" si="1"/>
        <v>2861334</v>
      </c>
      <c r="O6" s="52">
        <f t="shared" si="1"/>
        <v>13037690</v>
      </c>
      <c r="P6" s="52">
        <f t="shared" si="1"/>
        <v>16034180</v>
      </c>
      <c r="Q6" s="52">
        <f t="shared" si="1"/>
        <v>16034180</v>
      </c>
      <c r="R6" s="18">
        <f t="shared" ref="R6:R21" si="3">Q6/P6*100</f>
        <v>100</v>
      </c>
      <c r="S6" s="52">
        <f t="shared" si="1"/>
        <v>13088317</v>
      </c>
      <c r="T6" s="52">
        <f t="shared" si="1"/>
        <v>142500</v>
      </c>
      <c r="U6" s="52">
        <f t="shared" si="1"/>
        <v>121210</v>
      </c>
      <c r="V6" s="52">
        <f t="shared" si="1"/>
        <v>121210</v>
      </c>
      <c r="W6" s="18">
        <f t="shared" ref="W6:W36" si="4">V6/U6*100</f>
        <v>100</v>
      </c>
      <c r="X6" s="52">
        <f t="shared" si="1"/>
        <v>150785</v>
      </c>
    </row>
    <row r="7" spans="1:24" s="3" customFormat="1" ht="9.75" x14ac:dyDescent="0.2">
      <c r="A7" s="19" t="s">
        <v>2</v>
      </c>
      <c r="B7" s="1010" t="s">
        <v>46</v>
      </c>
      <c r="C7" s="1011"/>
      <c r="D7" s="47" t="s">
        <v>25</v>
      </c>
      <c r="E7" s="53">
        <f t="shared" ref="E7:G10" si="5">SUM(J7,O7)</f>
        <v>73500</v>
      </c>
      <c r="F7" s="54">
        <f t="shared" si="5"/>
        <v>191970</v>
      </c>
      <c r="G7" s="54">
        <f t="shared" si="5"/>
        <v>191970</v>
      </c>
      <c r="H7" s="6">
        <f t="shared" si="0"/>
        <v>100</v>
      </c>
      <c r="I7" s="60">
        <f>SUM(N7,S7)</f>
        <v>144947</v>
      </c>
      <c r="J7" s="61">
        <v>73500</v>
      </c>
      <c r="K7" s="62">
        <v>191970</v>
      </c>
      <c r="L7" s="62">
        <v>191970</v>
      </c>
      <c r="M7" s="6">
        <f t="shared" si="2"/>
        <v>100</v>
      </c>
      <c r="N7" s="76">
        <v>144947</v>
      </c>
      <c r="O7" s="77">
        <v>0</v>
      </c>
      <c r="P7" s="62">
        <v>0</v>
      </c>
      <c r="Q7" s="62">
        <v>0</v>
      </c>
      <c r="R7" s="6">
        <v>0</v>
      </c>
      <c r="S7" s="76">
        <v>0</v>
      </c>
      <c r="T7" s="77">
        <v>142500</v>
      </c>
      <c r="U7" s="62">
        <v>121210</v>
      </c>
      <c r="V7" s="62">
        <v>121210</v>
      </c>
      <c r="W7" s="6">
        <f t="shared" si="4"/>
        <v>100</v>
      </c>
      <c r="X7" s="91">
        <v>150785</v>
      </c>
    </row>
    <row r="8" spans="1:24" s="3" customFormat="1" ht="9.75" x14ac:dyDescent="0.2">
      <c r="A8" s="20" t="s">
        <v>3</v>
      </c>
      <c r="B8" s="1005" t="s">
        <v>47</v>
      </c>
      <c r="C8" s="1006"/>
      <c r="D8" s="48" t="s">
        <v>25</v>
      </c>
      <c r="E8" s="55">
        <f t="shared" si="5"/>
        <v>0</v>
      </c>
      <c r="F8" s="56">
        <f t="shared" si="5"/>
        <v>0</v>
      </c>
      <c r="G8" s="56">
        <f t="shared" si="5"/>
        <v>92</v>
      </c>
      <c r="H8" s="7" t="e">
        <f t="shared" si="0"/>
        <v>#DIV/0!</v>
      </c>
      <c r="I8" s="63">
        <f>SUM(N8,S8)</f>
        <v>57</v>
      </c>
      <c r="J8" s="64">
        <v>0</v>
      </c>
      <c r="K8" s="56">
        <v>0</v>
      </c>
      <c r="L8" s="56">
        <v>92</v>
      </c>
      <c r="M8" s="7" t="e">
        <f t="shared" si="2"/>
        <v>#DIV/0!</v>
      </c>
      <c r="N8" s="63">
        <v>57</v>
      </c>
      <c r="O8" s="55">
        <v>0</v>
      </c>
      <c r="P8" s="56">
        <v>0</v>
      </c>
      <c r="Q8" s="56">
        <v>0</v>
      </c>
      <c r="R8" s="7">
        <v>0</v>
      </c>
      <c r="S8" s="63">
        <v>0</v>
      </c>
      <c r="T8" s="55">
        <v>0</v>
      </c>
      <c r="U8" s="56">
        <v>0</v>
      </c>
      <c r="V8" s="56">
        <v>0</v>
      </c>
      <c r="W8" s="7" t="e">
        <f t="shared" si="4"/>
        <v>#DIV/0!</v>
      </c>
      <c r="X8" s="92"/>
    </row>
    <row r="9" spans="1:24" s="3" customFormat="1" ht="9.75" x14ac:dyDescent="0.2">
      <c r="A9" s="21" t="s">
        <v>4</v>
      </c>
      <c r="B9" s="22" t="s">
        <v>62</v>
      </c>
      <c r="C9" s="23"/>
      <c r="D9" s="50" t="s">
        <v>25</v>
      </c>
      <c r="E9" s="57">
        <f t="shared" si="5"/>
        <v>15707690</v>
      </c>
      <c r="F9" s="58">
        <f t="shared" si="5"/>
        <v>18731180</v>
      </c>
      <c r="G9" s="58">
        <f t="shared" si="5"/>
        <v>18731180</v>
      </c>
      <c r="H9" s="24">
        <f t="shared" si="0"/>
        <v>100</v>
      </c>
      <c r="I9" s="65">
        <f>SUM(N9,S9)</f>
        <v>15804647</v>
      </c>
      <c r="J9" s="66">
        <v>2670000</v>
      </c>
      <c r="K9" s="58">
        <v>2697000</v>
      </c>
      <c r="L9" s="58">
        <v>2697000</v>
      </c>
      <c r="M9" s="24">
        <f t="shared" si="2"/>
        <v>100</v>
      </c>
      <c r="N9" s="65">
        <v>2716330</v>
      </c>
      <c r="O9" s="57">
        <v>13037690</v>
      </c>
      <c r="P9" s="58">
        <v>16034180</v>
      </c>
      <c r="Q9" s="58">
        <v>16034180</v>
      </c>
      <c r="R9" s="24">
        <f t="shared" si="3"/>
        <v>100</v>
      </c>
      <c r="S9" s="65">
        <v>13088317</v>
      </c>
      <c r="T9" s="57">
        <v>0</v>
      </c>
      <c r="U9" s="58">
        <v>0</v>
      </c>
      <c r="V9" s="58">
        <v>0</v>
      </c>
      <c r="W9" s="24" t="e">
        <f t="shared" si="4"/>
        <v>#DIV/0!</v>
      </c>
      <c r="X9" s="93"/>
    </row>
    <row r="10" spans="1:24" s="3" customFormat="1" ht="9.75" x14ac:dyDescent="0.2">
      <c r="A10" s="16" t="s">
        <v>5</v>
      </c>
      <c r="B10" s="1007" t="s">
        <v>7</v>
      </c>
      <c r="C10" s="1007"/>
      <c r="D10" s="25" t="s">
        <v>25</v>
      </c>
      <c r="E10" s="59">
        <f t="shared" si="5"/>
        <v>0</v>
      </c>
      <c r="F10" s="59">
        <f t="shared" si="5"/>
        <v>0</v>
      </c>
      <c r="G10" s="59">
        <f t="shared" si="5"/>
        <v>0</v>
      </c>
      <c r="H10" s="18" t="e">
        <f t="shared" si="0"/>
        <v>#DIV/0!</v>
      </c>
      <c r="I10" s="67">
        <f>SUM(N10,S10)</f>
        <v>0</v>
      </c>
      <c r="J10" s="68"/>
      <c r="K10" s="59"/>
      <c r="L10" s="59"/>
      <c r="M10" s="18" t="e">
        <f t="shared" si="2"/>
        <v>#DIV/0!</v>
      </c>
      <c r="N10" s="67"/>
      <c r="O10" s="59">
        <v>0</v>
      </c>
      <c r="P10" s="59">
        <v>0</v>
      </c>
      <c r="Q10" s="59">
        <v>0</v>
      </c>
      <c r="R10" s="18">
        <v>0</v>
      </c>
      <c r="S10" s="67"/>
      <c r="T10" s="59"/>
      <c r="U10" s="59">
        <v>0</v>
      </c>
      <c r="V10" s="59">
        <v>0</v>
      </c>
      <c r="W10" s="18" t="e">
        <f t="shared" si="4"/>
        <v>#DIV/0!</v>
      </c>
      <c r="X10" s="59"/>
    </row>
    <row r="11" spans="1:24" s="3" customFormat="1" ht="9.75" x14ac:dyDescent="0.2">
      <c r="A11" s="16" t="s">
        <v>6</v>
      </c>
      <c r="B11" s="1007" t="s">
        <v>9</v>
      </c>
      <c r="C11" s="1007"/>
      <c r="D11" s="25" t="s">
        <v>25</v>
      </c>
      <c r="E11" s="52">
        <f>SUM(E12:E31)</f>
        <v>15781190</v>
      </c>
      <c r="F11" s="52">
        <f>SUM(F12:F31)</f>
        <v>18923150</v>
      </c>
      <c r="G11" s="52">
        <f>SUM(G12:G31)</f>
        <v>18918837</v>
      </c>
      <c r="H11" s="18">
        <f t="shared" si="0"/>
        <v>99.977207811595846</v>
      </c>
      <c r="I11" s="69">
        <v>15886545</v>
      </c>
      <c r="J11" s="52">
        <f>SUM(J12:J31)</f>
        <v>2743500</v>
      </c>
      <c r="K11" s="52">
        <f>SUM(K12:K31)</f>
        <v>2888970</v>
      </c>
      <c r="L11" s="52">
        <f>SUM(L12:L31)</f>
        <v>2884657</v>
      </c>
      <c r="M11" s="18">
        <f t="shared" si="2"/>
        <v>99.85070803781278</v>
      </c>
      <c r="N11" s="69">
        <v>2798228</v>
      </c>
      <c r="O11" s="52">
        <f>SUM(O12:O31)</f>
        <v>13037690</v>
      </c>
      <c r="P11" s="52">
        <f>SUM(P12:P31)</f>
        <v>16034180</v>
      </c>
      <c r="Q11" s="52">
        <f>SUM(Q12:Q31)</f>
        <v>16034180</v>
      </c>
      <c r="R11" s="18">
        <f t="shared" si="3"/>
        <v>100</v>
      </c>
      <c r="S11" s="69">
        <f>SUM(S12:S31)</f>
        <v>13088317</v>
      </c>
      <c r="T11" s="52">
        <f>SUM(T12:T31)</f>
        <v>112396</v>
      </c>
      <c r="U11" s="52">
        <f>SUM(U12:U31)</f>
        <v>93633</v>
      </c>
      <c r="V11" s="52">
        <f>SUM(V12:V31)</f>
        <v>93633</v>
      </c>
      <c r="W11" s="18">
        <f t="shared" si="4"/>
        <v>100</v>
      </c>
      <c r="X11" s="52">
        <f>SUM(X12:X31)</f>
        <v>107805</v>
      </c>
    </row>
    <row r="12" spans="1:24" s="3" customFormat="1" ht="9.75" x14ac:dyDescent="0.2">
      <c r="A12" s="26" t="s">
        <v>8</v>
      </c>
      <c r="B12" s="1008" t="s">
        <v>28</v>
      </c>
      <c r="C12" s="1009"/>
      <c r="D12" s="51" t="s">
        <v>25</v>
      </c>
      <c r="E12" s="53">
        <f t="shared" ref="E12:I27" si="6">SUM(J12,O12)</f>
        <v>281110</v>
      </c>
      <c r="F12" s="54">
        <f t="shared" si="6"/>
        <v>452906</v>
      </c>
      <c r="G12" s="54">
        <f t="shared" si="6"/>
        <v>452881</v>
      </c>
      <c r="H12" s="6">
        <f t="shared" si="0"/>
        <v>99.99448009079147</v>
      </c>
      <c r="I12" s="60">
        <f t="shared" si="6"/>
        <v>402474</v>
      </c>
      <c r="J12" s="70">
        <v>178920</v>
      </c>
      <c r="K12" s="71">
        <v>324797</v>
      </c>
      <c r="L12" s="71">
        <v>324772</v>
      </c>
      <c r="M12" s="6">
        <f t="shared" si="2"/>
        <v>99.992302884570989</v>
      </c>
      <c r="N12" s="78">
        <v>218625</v>
      </c>
      <c r="O12" s="79">
        <v>102190</v>
      </c>
      <c r="P12" s="71">
        <v>128109</v>
      </c>
      <c r="Q12" s="71">
        <v>128109</v>
      </c>
      <c r="R12" s="6">
        <f t="shared" si="3"/>
        <v>100</v>
      </c>
      <c r="S12" s="83">
        <v>183849</v>
      </c>
      <c r="T12" s="79">
        <v>7364</v>
      </c>
      <c r="U12" s="71">
        <v>6186</v>
      </c>
      <c r="V12" s="71">
        <v>6186</v>
      </c>
      <c r="W12" s="6">
        <f t="shared" si="4"/>
        <v>100</v>
      </c>
      <c r="X12" s="94">
        <v>3805</v>
      </c>
    </row>
    <row r="13" spans="1:24" s="3" customFormat="1" ht="9.75" x14ac:dyDescent="0.2">
      <c r="A13" s="27" t="s">
        <v>10</v>
      </c>
      <c r="B13" s="997" t="s">
        <v>29</v>
      </c>
      <c r="C13" s="998"/>
      <c r="D13" s="48" t="s">
        <v>25</v>
      </c>
      <c r="E13" s="55">
        <f t="shared" si="6"/>
        <v>504968</v>
      </c>
      <c r="F13" s="56">
        <f t="shared" si="6"/>
        <v>465068</v>
      </c>
      <c r="G13" s="56">
        <f t="shared" si="6"/>
        <v>461170</v>
      </c>
      <c r="H13" s="7">
        <f t="shared" si="0"/>
        <v>99.161842999303332</v>
      </c>
      <c r="I13" s="63">
        <f t="shared" si="6"/>
        <v>597795</v>
      </c>
      <c r="J13" s="72">
        <v>504968</v>
      </c>
      <c r="K13" s="56">
        <v>465068</v>
      </c>
      <c r="L13" s="56">
        <v>461170</v>
      </c>
      <c r="M13" s="7">
        <f t="shared" si="2"/>
        <v>99.161842999303332</v>
      </c>
      <c r="N13" s="63">
        <v>597795</v>
      </c>
      <c r="O13" s="55">
        <v>0</v>
      </c>
      <c r="P13" s="56">
        <v>0</v>
      </c>
      <c r="Q13" s="56">
        <v>0</v>
      </c>
      <c r="R13" s="7">
        <v>0</v>
      </c>
      <c r="S13" s="63">
        <v>0</v>
      </c>
      <c r="T13" s="55">
        <v>105032</v>
      </c>
      <c r="U13" s="56">
        <v>87447</v>
      </c>
      <c r="V13" s="56">
        <v>87447</v>
      </c>
      <c r="W13" s="7">
        <f t="shared" si="4"/>
        <v>100</v>
      </c>
      <c r="X13" s="92">
        <v>104000</v>
      </c>
    </row>
    <row r="14" spans="1:24" s="3" customFormat="1" ht="9.75" x14ac:dyDescent="0.2">
      <c r="A14" s="27" t="s">
        <v>11</v>
      </c>
      <c r="B14" s="418" t="s">
        <v>63</v>
      </c>
      <c r="C14" s="419"/>
      <c r="D14" s="48" t="s">
        <v>25</v>
      </c>
      <c r="E14" s="55">
        <f t="shared" si="6"/>
        <v>0</v>
      </c>
      <c r="F14" s="56">
        <f t="shared" si="6"/>
        <v>0</v>
      </c>
      <c r="G14" s="56">
        <f t="shared" si="6"/>
        <v>0</v>
      </c>
      <c r="H14" s="7" t="e">
        <f t="shared" si="0"/>
        <v>#DIV/0!</v>
      </c>
      <c r="I14" s="63">
        <f t="shared" si="6"/>
        <v>0</v>
      </c>
      <c r="J14" s="72">
        <v>0</v>
      </c>
      <c r="K14" s="56">
        <v>0</v>
      </c>
      <c r="L14" s="56">
        <v>0</v>
      </c>
      <c r="M14" s="7" t="e">
        <f t="shared" si="2"/>
        <v>#DIV/0!</v>
      </c>
      <c r="N14" s="63"/>
      <c r="O14" s="55">
        <v>0</v>
      </c>
      <c r="P14" s="56">
        <v>0</v>
      </c>
      <c r="Q14" s="56">
        <v>0</v>
      </c>
      <c r="R14" s="7">
        <v>0</v>
      </c>
      <c r="S14" s="63">
        <v>0</v>
      </c>
      <c r="T14" s="55">
        <v>0</v>
      </c>
      <c r="U14" s="56">
        <v>0</v>
      </c>
      <c r="V14" s="56">
        <v>0</v>
      </c>
      <c r="W14" s="7" t="e">
        <f t="shared" si="4"/>
        <v>#DIV/0!</v>
      </c>
      <c r="X14" s="92"/>
    </row>
    <row r="15" spans="1:24" s="3" customFormat="1" ht="9.75" x14ac:dyDescent="0.2">
      <c r="A15" s="27" t="s">
        <v>12</v>
      </c>
      <c r="B15" s="997" t="s">
        <v>64</v>
      </c>
      <c r="C15" s="998"/>
      <c r="D15" s="48" t="s">
        <v>25</v>
      </c>
      <c r="E15" s="55">
        <f t="shared" si="6"/>
        <v>345840</v>
      </c>
      <c r="F15" s="56">
        <f t="shared" si="6"/>
        <v>336003</v>
      </c>
      <c r="G15" s="56">
        <f t="shared" si="6"/>
        <v>336003</v>
      </c>
      <c r="H15" s="7">
        <f t="shared" si="0"/>
        <v>100</v>
      </c>
      <c r="I15" s="63">
        <f t="shared" si="6"/>
        <v>288270</v>
      </c>
      <c r="J15" s="72">
        <v>345840</v>
      </c>
      <c r="K15" s="56">
        <v>336003</v>
      </c>
      <c r="L15" s="56">
        <v>336003</v>
      </c>
      <c r="M15" s="7">
        <f t="shared" si="2"/>
        <v>100</v>
      </c>
      <c r="N15" s="63">
        <v>288270</v>
      </c>
      <c r="O15" s="55">
        <v>0</v>
      </c>
      <c r="P15" s="56">
        <v>0</v>
      </c>
      <c r="Q15" s="56">
        <v>0</v>
      </c>
      <c r="R15" s="7">
        <v>0</v>
      </c>
      <c r="S15" s="63">
        <v>0</v>
      </c>
      <c r="T15" s="55">
        <v>0</v>
      </c>
      <c r="U15" s="56">
        <v>0</v>
      </c>
      <c r="V15" s="56">
        <v>0</v>
      </c>
      <c r="W15" s="7" t="e">
        <f t="shared" si="4"/>
        <v>#DIV/0!</v>
      </c>
      <c r="X15" s="92"/>
    </row>
    <row r="16" spans="1:24" s="3" customFormat="1" ht="9.75" x14ac:dyDescent="0.2">
      <c r="A16" s="27" t="s">
        <v>13</v>
      </c>
      <c r="B16" s="997" t="s">
        <v>30</v>
      </c>
      <c r="C16" s="998"/>
      <c r="D16" s="48" t="s">
        <v>25</v>
      </c>
      <c r="E16" s="55">
        <f t="shared" si="6"/>
        <v>32000</v>
      </c>
      <c r="F16" s="56">
        <f t="shared" si="6"/>
        <v>19604</v>
      </c>
      <c r="G16" s="56">
        <f t="shared" si="6"/>
        <v>19604</v>
      </c>
      <c r="H16" s="7">
        <f t="shared" si="0"/>
        <v>100</v>
      </c>
      <c r="I16" s="63">
        <f t="shared" si="6"/>
        <v>13787</v>
      </c>
      <c r="J16" s="72">
        <v>2000</v>
      </c>
      <c r="K16" s="56">
        <v>1967</v>
      </c>
      <c r="L16" s="56">
        <v>1967</v>
      </c>
      <c r="M16" s="7">
        <f t="shared" si="2"/>
        <v>100</v>
      </c>
      <c r="N16" s="63">
        <v>1417</v>
      </c>
      <c r="O16" s="55">
        <v>30000</v>
      </c>
      <c r="P16" s="56">
        <v>17637</v>
      </c>
      <c r="Q16" s="56">
        <v>17637</v>
      </c>
      <c r="R16" s="7">
        <f t="shared" si="3"/>
        <v>100</v>
      </c>
      <c r="S16" s="63">
        <v>12370</v>
      </c>
      <c r="T16" s="55">
        <v>0</v>
      </c>
      <c r="U16" s="56">
        <v>0</v>
      </c>
      <c r="V16" s="56">
        <v>0</v>
      </c>
      <c r="W16" s="7" t="e">
        <f t="shared" si="4"/>
        <v>#DIV/0!</v>
      </c>
      <c r="X16" s="92"/>
    </row>
    <row r="17" spans="1:24" s="3" customFormat="1" ht="9.75" x14ac:dyDescent="0.2">
      <c r="A17" s="27" t="s">
        <v>14</v>
      </c>
      <c r="B17" s="418" t="s">
        <v>48</v>
      </c>
      <c r="C17" s="419"/>
      <c r="D17" s="48" t="s">
        <v>25</v>
      </c>
      <c r="E17" s="55">
        <f t="shared" si="6"/>
        <v>2000</v>
      </c>
      <c r="F17" s="56">
        <f t="shared" si="6"/>
        <v>1872</v>
      </c>
      <c r="G17" s="56">
        <f t="shared" si="6"/>
        <v>1872</v>
      </c>
      <c r="H17" s="7">
        <f t="shared" si="0"/>
        <v>100</v>
      </c>
      <c r="I17" s="63">
        <f t="shared" si="6"/>
        <v>1995</v>
      </c>
      <c r="J17" s="72">
        <v>2000</v>
      </c>
      <c r="K17" s="56">
        <v>1872</v>
      </c>
      <c r="L17" s="56">
        <v>1872</v>
      </c>
      <c r="M17" s="7">
        <f t="shared" si="2"/>
        <v>100</v>
      </c>
      <c r="N17" s="63">
        <v>1995</v>
      </c>
      <c r="O17" s="55">
        <v>0</v>
      </c>
      <c r="P17" s="56">
        <v>0</v>
      </c>
      <c r="Q17" s="56">
        <v>0</v>
      </c>
      <c r="R17" s="7">
        <v>0</v>
      </c>
      <c r="S17" s="63">
        <v>0</v>
      </c>
      <c r="T17" s="55">
        <v>0</v>
      </c>
      <c r="U17" s="56">
        <v>0</v>
      </c>
      <c r="V17" s="56">
        <v>0</v>
      </c>
      <c r="W17" s="7" t="e">
        <f t="shared" si="4"/>
        <v>#DIV/0!</v>
      </c>
      <c r="X17" s="92"/>
    </row>
    <row r="18" spans="1:24" s="3" customFormat="1" ht="9.75" x14ac:dyDescent="0.2">
      <c r="A18" s="27" t="s">
        <v>15</v>
      </c>
      <c r="B18" s="997" t="s">
        <v>31</v>
      </c>
      <c r="C18" s="998"/>
      <c r="D18" s="48" t="s">
        <v>25</v>
      </c>
      <c r="E18" s="55">
        <f t="shared" si="6"/>
        <v>380000</v>
      </c>
      <c r="F18" s="56">
        <f t="shared" si="6"/>
        <v>400443</v>
      </c>
      <c r="G18" s="56">
        <f t="shared" si="6"/>
        <v>400443</v>
      </c>
      <c r="H18" s="7">
        <f t="shared" si="0"/>
        <v>100</v>
      </c>
      <c r="I18" s="63">
        <f t="shared" si="6"/>
        <v>318941</v>
      </c>
      <c r="J18" s="72">
        <v>280000</v>
      </c>
      <c r="K18" s="56">
        <v>268813</v>
      </c>
      <c r="L18" s="56">
        <v>268813</v>
      </c>
      <c r="M18" s="7">
        <f t="shared" si="2"/>
        <v>100</v>
      </c>
      <c r="N18" s="63">
        <v>241890</v>
      </c>
      <c r="O18" s="55">
        <v>100000</v>
      </c>
      <c r="P18" s="56">
        <v>131630</v>
      </c>
      <c r="Q18" s="56">
        <v>131630</v>
      </c>
      <c r="R18" s="7">
        <f t="shared" si="3"/>
        <v>100</v>
      </c>
      <c r="S18" s="63">
        <v>77051</v>
      </c>
      <c r="T18" s="55">
        <v>0</v>
      </c>
      <c r="U18" s="56">
        <v>0</v>
      </c>
      <c r="V18" s="56">
        <v>0</v>
      </c>
      <c r="W18" s="7" t="e">
        <f t="shared" si="4"/>
        <v>#DIV/0!</v>
      </c>
      <c r="X18" s="92"/>
    </row>
    <row r="19" spans="1:24" s="8" customFormat="1" ht="9.75" x14ac:dyDescent="0.2">
      <c r="A19" s="27" t="s">
        <v>16</v>
      </c>
      <c r="B19" s="997" t="s">
        <v>32</v>
      </c>
      <c r="C19" s="998"/>
      <c r="D19" s="48" t="s">
        <v>25</v>
      </c>
      <c r="E19" s="55">
        <f t="shared" si="6"/>
        <v>9509020</v>
      </c>
      <c r="F19" s="56">
        <f t="shared" si="6"/>
        <v>11802222</v>
      </c>
      <c r="G19" s="56">
        <f t="shared" si="6"/>
        <v>11802098</v>
      </c>
      <c r="H19" s="7">
        <f t="shared" si="0"/>
        <v>99.998949350385033</v>
      </c>
      <c r="I19" s="63">
        <f t="shared" si="6"/>
        <v>9500697</v>
      </c>
      <c r="J19" s="73">
        <v>109420</v>
      </c>
      <c r="K19" s="56">
        <v>112820</v>
      </c>
      <c r="L19" s="56">
        <v>112696</v>
      </c>
      <c r="M19" s="7">
        <f t="shared" si="2"/>
        <v>99.890090409501866</v>
      </c>
      <c r="N19" s="63">
        <v>90397</v>
      </c>
      <c r="O19" s="55">
        <v>9399600</v>
      </c>
      <c r="P19" s="56">
        <v>11689402</v>
      </c>
      <c r="Q19" s="56">
        <v>11689402</v>
      </c>
      <c r="R19" s="7">
        <f t="shared" si="3"/>
        <v>100</v>
      </c>
      <c r="S19" s="63">
        <v>9410300</v>
      </c>
      <c r="T19" s="84">
        <v>0</v>
      </c>
      <c r="U19" s="85">
        <v>0</v>
      </c>
      <c r="V19" s="85">
        <v>0</v>
      </c>
      <c r="W19" s="7" t="e">
        <f t="shared" si="4"/>
        <v>#DIV/0!</v>
      </c>
      <c r="X19" s="95"/>
    </row>
    <row r="20" spans="1:24" s="3" customFormat="1" ht="9.75" x14ac:dyDescent="0.2">
      <c r="A20" s="27" t="s">
        <v>17</v>
      </c>
      <c r="B20" s="997" t="s">
        <v>49</v>
      </c>
      <c r="C20" s="998"/>
      <c r="D20" s="48" t="s">
        <v>25</v>
      </c>
      <c r="E20" s="55">
        <f t="shared" si="6"/>
        <v>3235448</v>
      </c>
      <c r="F20" s="56">
        <f t="shared" si="6"/>
        <v>3857556</v>
      </c>
      <c r="G20" s="56">
        <f t="shared" si="6"/>
        <v>3857533</v>
      </c>
      <c r="H20" s="7">
        <f t="shared" si="0"/>
        <v>99.999403767566818</v>
      </c>
      <c r="I20" s="63">
        <f t="shared" si="6"/>
        <v>3186528</v>
      </c>
      <c r="J20" s="72">
        <v>16540</v>
      </c>
      <c r="K20" s="56">
        <v>17696</v>
      </c>
      <c r="L20" s="56">
        <v>17673</v>
      </c>
      <c r="M20" s="7">
        <f t="shared" si="2"/>
        <v>99.870027124773969</v>
      </c>
      <c r="N20" s="63">
        <v>12630</v>
      </c>
      <c r="O20" s="55">
        <v>3218908</v>
      </c>
      <c r="P20" s="56">
        <v>3839860</v>
      </c>
      <c r="Q20" s="56">
        <v>3839860</v>
      </c>
      <c r="R20" s="7">
        <f t="shared" si="3"/>
        <v>100</v>
      </c>
      <c r="S20" s="63">
        <v>3173898</v>
      </c>
      <c r="T20" s="55">
        <v>0</v>
      </c>
      <c r="U20" s="56">
        <v>0</v>
      </c>
      <c r="V20" s="56">
        <v>0</v>
      </c>
      <c r="W20" s="7" t="e">
        <f t="shared" si="4"/>
        <v>#DIV/0!</v>
      </c>
      <c r="X20" s="92"/>
    </row>
    <row r="21" spans="1:24" s="3" customFormat="1" ht="9.75" x14ac:dyDescent="0.2">
      <c r="A21" s="27" t="s">
        <v>18</v>
      </c>
      <c r="B21" s="997" t="s">
        <v>50</v>
      </c>
      <c r="C21" s="998"/>
      <c r="D21" s="48" t="s">
        <v>25</v>
      </c>
      <c r="E21" s="55">
        <f t="shared" si="6"/>
        <v>224992</v>
      </c>
      <c r="F21" s="56">
        <f t="shared" si="6"/>
        <v>256710</v>
      </c>
      <c r="G21" s="56">
        <f t="shared" si="6"/>
        <v>256467</v>
      </c>
      <c r="H21" s="7">
        <f t="shared" si="0"/>
        <v>99.905340656772239</v>
      </c>
      <c r="I21" s="63">
        <f t="shared" si="6"/>
        <v>173243</v>
      </c>
      <c r="J21" s="72">
        <v>38000</v>
      </c>
      <c r="K21" s="56">
        <v>38068</v>
      </c>
      <c r="L21" s="56">
        <v>37825</v>
      </c>
      <c r="M21" s="7">
        <f t="shared" si="2"/>
        <v>99.36166859304403</v>
      </c>
      <c r="N21" s="63">
        <v>32024</v>
      </c>
      <c r="O21" s="55">
        <v>186992</v>
      </c>
      <c r="P21" s="56">
        <v>218642</v>
      </c>
      <c r="Q21" s="56">
        <v>218642</v>
      </c>
      <c r="R21" s="7">
        <f t="shared" si="3"/>
        <v>100</v>
      </c>
      <c r="S21" s="63">
        <v>141219</v>
      </c>
      <c r="T21" s="55">
        <v>0</v>
      </c>
      <c r="U21" s="56">
        <v>0</v>
      </c>
      <c r="V21" s="56">
        <v>0</v>
      </c>
      <c r="W21" s="7" t="e">
        <f t="shared" si="4"/>
        <v>#DIV/0!</v>
      </c>
      <c r="X21" s="92"/>
    </row>
    <row r="22" spans="1:24" s="3" customFormat="1" ht="9.75" x14ac:dyDescent="0.2">
      <c r="A22" s="27" t="s">
        <v>19</v>
      </c>
      <c r="B22" s="997" t="s">
        <v>65</v>
      </c>
      <c r="C22" s="998"/>
      <c r="D22" s="48" t="s">
        <v>25</v>
      </c>
      <c r="E22" s="55">
        <f t="shared" si="6"/>
        <v>0</v>
      </c>
      <c r="F22" s="56">
        <f t="shared" si="6"/>
        <v>0</v>
      </c>
      <c r="G22" s="56">
        <f t="shared" si="6"/>
        <v>0</v>
      </c>
      <c r="H22" s="7" t="e">
        <f t="shared" si="0"/>
        <v>#DIV/0!</v>
      </c>
      <c r="I22" s="63">
        <f t="shared" si="6"/>
        <v>0</v>
      </c>
      <c r="J22" s="72">
        <v>0</v>
      </c>
      <c r="K22" s="56">
        <v>0</v>
      </c>
      <c r="L22" s="56">
        <v>0</v>
      </c>
      <c r="M22" s="7" t="e">
        <f t="shared" si="2"/>
        <v>#DIV/0!</v>
      </c>
      <c r="N22" s="63"/>
      <c r="O22" s="55">
        <v>0</v>
      </c>
      <c r="P22" s="56">
        <v>0</v>
      </c>
      <c r="Q22" s="56">
        <v>0</v>
      </c>
      <c r="R22" s="7">
        <v>0</v>
      </c>
      <c r="S22" s="63">
        <v>0</v>
      </c>
      <c r="T22" s="55">
        <v>0</v>
      </c>
      <c r="U22" s="56">
        <v>0</v>
      </c>
      <c r="V22" s="56">
        <v>0</v>
      </c>
      <c r="W22" s="7" t="e">
        <f t="shared" si="4"/>
        <v>#DIV/0!</v>
      </c>
      <c r="X22" s="92"/>
    </row>
    <row r="23" spans="1:24" s="3" customFormat="1" ht="9.75" x14ac:dyDescent="0.2">
      <c r="A23" s="27" t="s">
        <v>20</v>
      </c>
      <c r="B23" s="418" t="s">
        <v>66</v>
      </c>
      <c r="C23" s="419"/>
      <c r="D23" s="48" t="s">
        <v>25</v>
      </c>
      <c r="E23" s="55">
        <f t="shared" si="6"/>
        <v>0</v>
      </c>
      <c r="F23" s="56">
        <f t="shared" si="6"/>
        <v>0</v>
      </c>
      <c r="G23" s="56">
        <f t="shared" si="6"/>
        <v>0</v>
      </c>
      <c r="H23" s="7" t="e">
        <f t="shared" si="0"/>
        <v>#DIV/0!</v>
      </c>
      <c r="I23" s="63">
        <f t="shared" si="6"/>
        <v>0</v>
      </c>
      <c r="J23" s="72">
        <v>0</v>
      </c>
      <c r="K23" s="56">
        <v>0</v>
      </c>
      <c r="L23" s="56">
        <v>0</v>
      </c>
      <c r="M23" s="7" t="e">
        <f t="shared" si="2"/>
        <v>#DIV/0!</v>
      </c>
      <c r="N23" s="63"/>
      <c r="O23" s="55">
        <v>0</v>
      </c>
      <c r="P23" s="56">
        <v>0</v>
      </c>
      <c r="Q23" s="56">
        <v>0</v>
      </c>
      <c r="R23" s="7">
        <v>0</v>
      </c>
      <c r="S23" s="63">
        <v>0</v>
      </c>
      <c r="T23" s="55">
        <v>0</v>
      </c>
      <c r="U23" s="56">
        <v>0</v>
      </c>
      <c r="V23" s="56">
        <v>0</v>
      </c>
      <c r="W23" s="7" t="e">
        <f t="shared" si="4"/>
        <v>#DIV/0!</v>
      </c>
      <c r="X23" s="92"/>
    </row>
    <row r="24" spans="1:24" s="3" customFormat="1" ht="9.75" x14ac:dyDescent="0.2">
      <c r="A24" s="27" t="s">
        <v>21</v>
      </c>
      <c r="B24" s="418" t="s">
        <v>73</v>
      </c>
      <c r="C24" s="419"/>
      <c r="D24" s="48" t="s">
        <v>25</v>
      </c>
      <c r="E24" s="55">
        <f t="shared" si="6"/>
        <v>0</v>
      </c>
      <c r="F24" s="56">
        <f t="shared" si="6"/>
        <v>0</v>
      </c>
      <c r="G24" s="56">
        <f t="shared" si="6"/>
        <v>0</v>
      </c>
      <c r="H24" s="7" t="e">
        <f t="shared" si="0"/>
        <v>#DIV/0!</v>
      </c>
      <c r="I24" s="63">
        <f t="shared" si="6"/>
        <v>0</v>
      </c>
      <c r="J24" s="72">
        <v>0</v>
      </c>
      <c r="K24" s="56">
        <v>0</v>
      </c>
      <c r="L24" s="56">
        <v>0</v>
      </c>
      <c r="M24" s="7" t="e">
        <f t="shared" si="2"/>
        <v>#DIV/0!</v>
      </c>
      <c r="N24" s="63"/>
      <c r="O24" s="55">
        <v>0</v>
      </c>
      <c r="P24" s="56">
        <v>0</v>
      </c>
      <c r="Q24" s="56">
        <v>0</v>
      </c>
      <c r="R24" s="7">
        <v>0</v>
      </c>
      <c r="S24" s="63">
        <v>0</v>
      </c>
      <c r="T24" s="55">
        <v>0</v>
      </c>
      <c r="U24" s="56">
        <v>0</v>
      </c>
      <c r="V24" s="56">
        <v>0</v>
      </c>
      <c r="W24" s="7" t="e">
        <f t="shared" si="4"/>
        <v>#DIV/0!</v>
      </c>
      <c r="X24" s="92"/>
    </row>
    <row r="25" spans="1:24" s="3" customFormat="1" ht="9.75" x14ac:dyDescent="0.2">
      <c r="A25" s="28" t="s">
        <v>22</v>
      </c>
      <c r="B25" s="29" t="s">
        <v>68</v>
      </c>
      <c r="C25" s="30"/>
      <c r="D25" s="48" t="s">
        <v>25</v>
      </c>
      <c r="E25" s="55">
        <f t="shared" si="6"/>
        <v>0</v>
      </c>
      <c r="F25" s="56">
        <f t="shared" si="6"/>
        <v>0</v>
      </c>
      <c r="G25" s="56">
        <f t="shared" si="6"/>
        <v>0</v>
      </c>
      <c r="H25" s="7" t="e">
        <f t="shared" si="0"/>
        <v>#DIV/0!</v>
      </c>
      <c r="I25" s="63">
        <f t="shared" si="6"/>
        <v>0</v>
      </c>
      <c r="J25" s="72">
        <v>0</v>
      </c>
      <c r="K25" s="74">
        <v>0</v>
      </c>
      <c r="L25" s="74">
        <v>0</v>
      </c>
      <c r="M25" s="7" t="e">
        <f t="shared" si="2"/>
        <v>#DIV/0!</v>
      </c>
      <c r="N25" s="80"/>
      <c r="O25" s="81">
        <v>0</v>
      </c>
      <c r="P25" s="74">
        <v>0</v>
      </c>
      <c r="Q25" s="74">
        <v>0</v>
      </c>
      <c r="R25" s="7">
        <v>0</v>
      </c>
      <c r="S25" s="86">
        <v>0</v>
      </c>
      <c r="T25" s="81">
        <v>0</v>
      </c>
      <c r="U25" s="74">
        <v>0</v>
      </c>
      <c r="V25" s="74">
        <v>0</v>
      </c>
      <c r="W25" s="7" t="e">
        <f t="shared" si="4"/>
        <v>#DIV/0!</v>
      </c>
      <c r="X25" s="96"/>
    </row>
    <row r="26" spans="1:24" s="10" customFormat="1" ht="9.75" x14ac:dyDescent="0.2">
      <c r="A26" s="27" t="s">
        <v>23</v>
      </c>
      <c r="B26" s="997" t="s">
        <v>69</v>
      </c>
      <c r="C26" s="998"/>
      <c r="D26" s="48" t="s">
        <v>25</v>
      </c>
      <c r="E26" s="55">
        <f t="shared" si="6"/>
        <v>1248312</v>
      </c>
      <c r="F26" s="56">
        <f t="shared" si="6"/>
        <v>1248312</v>
      </c>
      <c r="G26" s="56">
        <f t="shared" si="6"/>
        <v>1248312</v>
      </c>
      <c r="H26" s="11">
        <f t="shared" si="0"/>
        <v>100</v>
      </c>
      <c r="I26" s="63">
        <f t="shared" si="6"/>
        <v>1236981</v>
      </c>
      <c r="J26" s="72">
        <v>1248312</v>
      </c>
      <c r="K26" s="75">
        <v>1248312</v>
      </c>
      <c r="L26" s="75">
        <v>1248312</v>
      </c>
      <c r="M26" s="7">
        <f t="shared" si="2"/>
        <v>100</v>
      </c>
      <c r="N26" s="63">
        <v>1236981</v>
      </c>
      <c r="O26" s="82">
        <v>0</v>
      </c>
      <c r="P26" s="75">
        <v>0</v>
      </c>
      <c r="Q26" s="75">
        <v>0</v>
      </c>
      <c r="R26" s="7">
        <v>0</v>
      </c>
      <c r="S26" s="80">
        <v>0</v>
      </c>
      <c r="T26" s="82">
        <v>0</v>
      </c>
      <c r="U26" s="75">
        <v>0</v>
      </c>
      <c r="V26" s="75">
        <v>0</v>
      </c>
      <c r="W26" s="7" t="e">
        <f t="shared" si="4"/>
        <v>#DIV/0!</v>
      </c>
      <c r="X26" s="97"/>
    </row>
    <row r="27" spans="1:24" s="12" customFormat="1" ht="9.75" x14ac:dyDescent="0.2">
      <c r="A27" s="27" t="s">
        <v>45</v>
      </c>
      <c r="B27" s="418" t="s">
        <v>70</v>
      </c>
      <c r="C27" s="419"/>
      <c r="D27" s="48" t="s">
        <v>25</v>
      </c>
      <c r="E27" s="55">
        <f t="shared" si="6"/>
        <v>0</v>
      </c>
      <c r="F27" s="56">
        <f t="shared" si="6"/>
        <v>0</v>
      </c>
      <c r="G27" s="56">
        <f t="shared" si="6"/>
        <v>0</v>
      </c>
      <c r="H27" s="11" t="e">
        <f t="shared" si="0"/>
        <v>#DIV/0!</v>
      </c>
      <c r="I27" s="63">
        <f t="shared" si="6"/>
        <v>0</v>
      </c>
      <c r="J27" s="72">
        <v>0</v>
      </c>
      <c r="K27" s="75">
        <v>0</v>
      </c>
      <c r="L27" s="75">
        <v>0</v>
      </c>
      <c r="M27" s="7" t="e">
        <f t="shared" si="2"/>
        <v>#DIV/0!</v>
      </c>
      <c r="N27" s="80"/>
      <c r="O27" s="82">
        <v>0</v>
      </c>
      <c r="P27" s="75">
        <v>0</v>
      </c>
      <c r="Q27" s="75">
        <v>0</v>
      </c>
      <c r="R27" s="7">
        <v>0</v>
      </c>
      <c r="S27" s="80">
        <v>0</v>
      </c>
      <c r="T27" s="82">
        <v>0</v>
      </c>
      <c r="U27" s="75">
        <v>0</v>
      </c>
      <c r="V27" s="75">
        <v>0</v>
      </c>
      <c r="W27" s="7" t="e">
        <f t="shared" si="4"/>
        <v>#DIV/0!</v>
      </c>
      <c r="X27" s="97"/>
    </row>
    <row r="28" spans="1:24" s="12" customFormat="1" ht="9.75" x14ac:dyDescent="0.2">
      <c r="A28" s="27" t="s">
        <v>51</v>
      </c>
      <c r="B28" s="418" t="s">
        <v>74</v>
      </c>
      <c r="C28" s="419"/>
      <c r="D28" s="48" t="s">
        <v>25</v>
      </c>
      <c r="E28" s="55">
        <v>17000</v>
      </c>
      <c r="F28" s="56">
        <v>82151</v>
      </c>
      <c r="G28" s="56">
        <v>82151</v>
      </c>
      <c r="H28" s="11">
        <f t="shared" si="0"/>
        <v>100</v>
      </c>
      <c r="I28" s="63">
        <v>165532</v>
      </c>
      <c r="J28" s="72">
        <v>17000</v>
      </c>
      <c r="K28" s="75">
        <v>73251</v>
      </c>
      <c r="L28" s="75">
        <v>73251</v>
      </c>
      <c r="M28" s="7">
        <f t="shared" si="2"/>
        <v>100</v>
      </c>
      <c r="N28" s="80">
        <v>75902</v>
      </c>
      <c r="O28" s="82">
        <v>0</v>
      </c>
      <c r="P28" s="75">
        <v>8900</v>
      </c>
      <c r="Q28" s="75">
        <v>8900</v>
      </c>
      <c r="R28" s="7">
        <v>0</v>
      </c>
      <c r="S28" s="80">
        <v>89630</v>
      </c>
      <c r="T28" s="82">
        <v>0</v>
      </c>
      <c r="U28" s="75">
        <v>0</v>
      </c>
      <c r="V28" s="75">
        <v>0</v>
      </c>
      <c r="W28" s="7" t="e">
        <f t="shared" si="4"/>
        <v>#DIV/0!</v>
      </c>
      <c r="X28" s="97"/>
    </row>
    <row r="29" spans="1:24" s="10" customFormat="1" ht="9.75" x14ac:dyDescent="0.2">
      <c r="A29" s="27" t="s">
        <v>52</v>
      </c>
      <c r="B29" s="997" t="s">
        <v>67</v>
      </c>
      <c r="C29" s="998"/>
      <c r="D29" s="48" t="s">
        <v>25</v>
      </c>
      <c r="E29" s="55">
        <f t="shared" ref="E29:G31" si="7">SUM(J29,O29)</f>
        <v>500</v>
      </c>
      <c r="F29" s="56">
        <f t="shared" si="7"/>
        <v>303</v>
      </c>
      <c r="G29" s="56">
        <f t="shared" si="7"/>
        <v>303</v>
      </c>
      <c r="H29" s="11">
        <f t="shared" si="0"/>
        <v>100</v>
      </c>
      <c r="I29" s="63">
        <f>SUM(N29,S29)</f>
        <v>303</v>
      </c>
      <c r="J29" s="72">
        <v>500</v>
      </c>
      <c r="K29" s="75">
        <v>303</v>
      </c>
      <c r="L29" s="75">
        <v>303</v>
      </c>
      <c r="M29" s="7">
        <f t="shared" si="2"/>
        <v>100</v>
      </c>
      <c r="N29" s="80">
        <v>303</v>
      </c>
      <c r="O29" s="82">
        <v>0</v>
      </c>
      <c r="P29" s="75">
        <v>0</v>
      </c>
      <c r="Q29" s="75">
        <v>0</v>
      </c>
      <c r="R29" s="7">
        <v>0</v>
      </c>
      <c r="S29" s="80">
        <v>0</v>
      </c>
      <c r="T29" s="82">
        <v>0</v>
      </c>
      <c r="U29" s="75">
        <v>0</v>
      </c>
      <c r="V29" s="75">
        <v>0</v>
      </c>
      <c r="W29" s="7" t="e">
        <f t="shared" si="4"/>
        <v>#DIV/0!</v>
      </c>
      <c r="X29" s="97"/>
    </row>
    <row r="30" spans="1:24" s="3" customFormat="1" ht="9.75" x14ac:dyDescent="0.2">
      <c r="A30" s="27" t="s">
        <v>54</v>
      </c>
      <c r="B30" s="418" t="s">
        <v>53</v>
      </c>
      <c r="C30" s="419"/>
      <c r="D30" s="48" t="s">
        <v>25</v>
      </c>
      <c r="E30" s="55">
        <f t="shared" si="7"/>
        <v>0</v>
      </c>
      <c r="F30" s="56">
        <f t="shared" si="7"/>
        <v>0</v>
      </c>
      <c r="G30" s="56">
        <f t="shared" si="7"/>
        <v>0</v>
      </c>
      <c r="H30" s="11" t="e">
        <f t="shared" si="0"/>
        <v>#DIV/0!</v>
      </c>
      <c r="I30" s="63">
        <f>SUM(N30,S30)</f>
        <v>0</v>
      </c>
      <c r="J30" s="72">
        <v>0</v>
      </c>
      <c r="K30" s="75">
        <v>0</v>
      </c>
      <c r="L30" s="75">
        <v>0</v>
      </c>
      <c r="M30" s="7" t="e">
        <f t="shared" si="2"/>
        <v>#DIV/0!</v>
      </c>
      <c r="N30" s="80">
        <v>0</v>
      </c>
      <c r="O30" s="82">
        <v>0</v>
      </c>
      <c r="P30" s="75">
        <v>0</v>
      </c>
      <c r="Q30" s="75">
        <v>0</v>
      </c>
      <c r="R30" s="7">
        <v>0</v>
      </c>
      <c r="S30" s="80">
        <v>0</v>
      </c>
      <c r="T30" s="82">
        <v>0</v>
      </c>
      <c r="U30" s="75">
        <v>0</v>
      </c>
      <c r="V30" s="75">
        <v>0</v>
      </c>
      <c r="W30" s="7" t="e">
        <f t="shared" si="4"/>
        <v>#DIV/0!</v>
      </c>
      <c r="X30" s="97"/>
    </row>
    <row r="31" spans="1:24" s="31" customFormat="1" ht="9.75" x14ac:dyDescent="0.2">
      <c r="A31" s="27" t="s">
        <v>55</v>
      </c>
      <c r="B31" s="102" t="s">
        <v>71</v>
      </c>
      <c r="C31" s="103"/>
      <c r="D31" s="48" t="s">
        <v>25</v>
      </c>
      <c r="E31" s="55">
        <f t="shared" si="7"/>
        <v>0</v>
      </c>
      <c r="F31" s="56">
        <f t="shared" si="7"/>
        <v>0</v>
      </c>
      <c r="G31" s="56">
        <f t="shared" si="7"/>
        <v>0</v>
      </c>
      <c r="H31" s="11" t="e">
        <f t="shared" si="0"/>
        <v>#DIV/0!</v>
      </c>
      <c r="I31" s="63">
        <f>SUM(N31,S31)</f>
        <v>0</v>
      </c>
      <c r="J31" s="72">
        <v>0</v>
      </c>
      <c r="K31" s="104">
        <v>0</v>
      </c>
      <c r="L31" s="104">
        <v>0</v>
      </c>
      <c r="M31" s="7" t="e">
        <f t="shared" si="2"/>
        <v>#DIV/0!</v>
      </c>
      <c r="N31" s="105">
        <v>0</v>
      </c>
      <c r="O31" s="106">
        <v>0</v>
      </c>
      <c r="P31" s="104">
        <v>0</v>
      </c>
      <c r="Q31" s="104">
        <v>0</v>
      </c>
      <c r="R31" s="7">
        <v>0</v>
      </c>
      <c r="S31" s="105">
        <v>0</v>
      </c>
      <c r="T31" s="107">
        <v>0</v>
      </c>
      <c r="U31" s="108">
        <v>0</v>
      </c>
      <c r="V31" s="108">
        <v>0</v>
      </c>
      <c r="W31" s="7" t="e">
        <f t="shared" si="4"/>
        <v>#DIV/0!</v>
      </c>
      <c r="X31" s="109"/>
    </row>
    <row r="32" spans="1:24" s="31" customFormat="1" ht="9.75" x14ac:dyDescent="0.2">
      <c r="A32" s="110" t="s">
        <v>56</v>
      </c>
      <c r="B32" s="111" t="s">
        <v>72</v>
      </c>
      <c r="C32" s="112"/>
      <c r="D32" s="49" t="s">
        <v>25</v>
      </c>
      <c r="E32" s="57">
        <f>SUM(J32,O32)</f>
        <v>0</v>
      </c>
      <c r="F32" s="58">
        <f>SUM(K32,P32)</f>
        <v>0</v>
      </c>
      <c r="G32" s="58">
        <f>SUM(L32,Q32)</f>
        <v>0</v>
      </c>
      <c r="H32" s="13" t="e">
        <f t="shared" si="0"/>
        <v>#DIV/0!</v>
      </c>
      <c r="I32" s="65">
        <f>SUM(N32,S32)</f>
        <v>0</v>
      </c>
      <c r="J32" s="113">
        <v>0</v>
      </c>
      <c r="K32" s="90">
        <v>0</v>
      </c>
      <c r="L32" s="90">
        <v>0</v>
      </c>
      <c r="M32" s="24" t="e">
        <f t="shared" si="2"/>
        <v>#DIV/0!</v>
      </c>
      <c r="N32" s="114">
        <v>0</v>
      </c>
      <c r="O32" s="89">
        <v>0</v>
      </c>
      <c r="P32" s="90">
        <v>0</v>
      </c>
      <c r="Q32" s="90">
        <v>0</v>
      </c>
      <c r="R32" s="24">
        <v>0</v>
      </c>
      <c r="S32" s="114">
        <v>0</v>
      </c>
      <c r="T32" s="89">
        <v>0</v>
      </c>
      <c r="U32" s="90">
        <v>0</v>
      </c>
      <c r="V32" s="90">
        <v>0</v>
      </c>
      <c r="W32" s="24" t="e">
        <f t="shared" si="4"/>
        <v>#DIV/0!</v>
      </c>
      <c r="X32" s="98"/>
    </row>
    <row r="33" spans="1:24" s="31" customFormat="1" ht="9.75" x14ac:dyDescent="0.2">
      <c r="A33" s="16" t="s">
        <v>57</v>
      </c>
      <c r="B33" s="34" t="s">
        <v>58</v>
      </c>
      <c r="C33" s="35"/>
      <c r="D33" s="17" t="s">
        <v>25</v>
      </c>
      <c r="E33" s="52">
        <f>E6-E11</f>
        <v>0</v>
      </c>
      <c r="F33" s="52">
        <f t="shared" ref="F33:G33" si="8">F6-F11</f>
        <v>0</v>
      </c>
      <c r="G33" s="52">
        <f t="shared" si="8"/>
        <v>4405</v>
      </c>
      <c r="H33" s="32" t="e">
        <f t="shared" si="0"/>
        <v>#DIV/0!</v>
      </c>
      <c r="I33" s="52">
        <v>63106</v>
      </c>
      <c r="J33" s="52">
        <f t="shared" ref="J33:L33" si="9">J6-J11</f>
        <v>0</v>
      </c>
      <c r="K33" s="52">
        <f t="shared" si="9"/>
        <v>0</v>
      </c>
      <c r="L33" s="52">
        <f t="shared" si="9"/>
        <v>4405</v>
      </c>
      <c r="M33" s="33" t="e">
        <f t="shared" si="2"/>
        <v>#DIV/0!</v>
      </c>
      <c r="N33" s="52">
        <v>63106</v>
      </c>
      <c r="O33" s="52">
        <f t="shared" ref="O33:Q33" si="10">O6-O11</f>
        <v>0</v>
      </c>
      <c r="P33" s="52">
        <f t="shared" si="10"/>
        <v>0</v>
      </c>
      <c r="Q33" s="52">
        <f t="shared" si="10"/>
        <v>0</v>
      </c>
      <c r="R33" s="33">
        <v>0</v>
      </c>
      <c r="S33" s="52">
        <f t="shared" ref="S33:V33" si="11">S6-S11</f>
        <v>0</v>
      </c>
      <c r="T33" s="52">
        <f t="shared" si="11"/>
        <v>30104</v>
      </c>
      <c r="U33" s="52">
        <f t="shared" si="11"/>
        <v>27577</v>
      </c>
      <c r="V33" s="52">
        <f t="shared" si="11"/>
        <v>27577</v>
      </c>
      <c r="W33" s="178">
        <f t="shared" si="4"/>
        <v>100</v>
      </c>
      <c r="X33" s="52">
        <f>X6-X11</f>
        <v>42980</v>
      </c>
    </row>
    <row r="34" spans="1:24" s="37" customFormat="1" ht="9.75" x14ac:dyDescent="0.2">
      <c r="A34" s="36" t="s">
        <v>59</v>
      </c>
      <c r="B34" s="999" t="s">
        <v>24</v>
      </c>
      <c r="C34" s="1000"/>
      <c r="D34" s="99" t="s">
        <v>25</v>
      </c>
      <c r="E34" s="40">
        <v>25364</v>
      </c>
      <c r="F34" s="41">
        <v>25521</v>
      </c>
      <c r="G34" s="41">
        <v>27835</v>
      </c>
      <c r="H34" s="9">
        <f t="shared" si="0"/>
        <v>109.06704282747542</v>
      </c>
      <c r="I34" s="44">
        <v>26779</v>
      </c>
      <c r="J34" s="444"/>
      <c r="K34" s="444"/>
      <c r="L34" s="444"/>
      <c r="M34" s="178" t="e">
        <f t="shared" si="2"/>
        <v>#DIV/0!</v>
      </c>
      <c r="N34" s="444"/>
      <c r="O34" s="444">
        <v>25364</v>
      </c>
      <c r="P34" s="444">
        <v>25521</v>
      </c>
      <c r="Q34" s="444">
        <v>27835</v>
      </c>
      <c r="R34" s="178">
        <v>109.07</v>
      </c>
      <c r="S34" s="444">
        <v>26779</v>
      </c>
      <c r="T34" s="444"/>
      <c r="U34" s="444"/>
      <c r="V34" s="444"/>
      <c r="W34" s="178" t="e">
        <f t="shared" si="4"/>
        <v>#DIV/0!</v>
      </c>
      <c r="X34" s="444"/>
    </row>
    <row r="35" spans="1:24" s="37" customFormat="1" ht="9.75" x14ac:dyDescent="0.2">
      <c r="A35" s="38" t="s">
        <v>60</v>
      </c>
      <c r="B35" s="1001" t="s">
        <v>33</v>
      </c>
      <c r="C35" s="1002"/>
      <c r="D35" s="100" t="s">
        <v>26</v>
      </c>
      <c r="E35" s="115">
        <v>30.72</v>
      </c>
      <c r="F35" s="116">
        <v>32.409999999999997</v>
      </c>
      <c r="G35" s="116">
        <v>32.156999999999996</v>
      </c>
      <c r="H35" s="11">
        <f t="shared" si="0"/>
        <v>99.219376735575437</v>
      </c>
      <c r="I35" s="124">
        <v>27.71</v>
      </c>
      <c r="J35" s="444"/>
      <c r="K35" s="444"/>
      <c r="L35" s="444"/>
      <c r="M35" s="178" t="e">
        <f t="shared" si="2"/>
        <v>#DIV/0!</v>
      </c>
      <c r="N35" s="444"/>
      <c r="O35" s="492">
        <v>30.72</v>
      </c>
      <c r="P35" s="492">
        <v>32.409999999999997</v>
      </c>
      <c r="Q35" s="492">
        <v>32.159999999999997</v>
      </c>
      <c r="R35" s="178">
        <v>99.22</v>
      </c>
      <c r="S35" s="492">
        <v>27.71</v>
      </c>
      <c r="T35" s="444"/>
      <c r="U35" s="444"/>
      <c r="V35" s="444"/>
      <c r="W35" s="178" t="e">
        <f t="shared" si="4"/>
        <v>#DIV/0!</v>
      </c>
      <c r="X35" s="444"/>
    </row>
    <row r="36" spans="1:24" s="37" customFormat="1" ht="9.75" x14ac:dyDescent="0.2">
      <c r="A36" s="39" t="s">
        <v>61</v>
      </c>
      <c r="B36" s="1003" t="s">
        <v>27</v>
      </c>
      <c r="C36" s="1004"/>
      <c r="D36" s="101" t="s">
        <v>26</v>
      </c>
      <c r="E36" s="42">
        <v>34</v>
      </c>
      <c r="F36" s="43">
        <v>38</v>
      </c>
      <c r="G36" s="43">
        <v>38</v>
      </c>
      <c r="H36" s="13">
        <f t="shared" si="0"/>
        <v>100</v>
      </c>
      <c r="I36" s="46">
        <v>33</v>
      </c>
      <c r="J36" s="444"/>
      <c r="K36" s="444"/>
      <c r="L36" s="444"/>
      <c r="M36" s="178" t="e">
        <f t="shared" si="2"/>
        <v>#DIV/0!</v>
      </c>
      <c r="N36" s="444"/>
      <c r="O36" s="444">
        <v>34</v>
      </c>
      <c r="P36" s="444">
        <v>38</v>
      </c>
      <c r="Q36" s="444">
        <v>38</v>
      </c>
      <c r="R36" s="178">
        <v>100</v>
      </c>
      <c r="S36" s="444">
        <v>33</v>
      </c>
      <c r="T36" s="444"/>
      <c r="U36" s="444"/>
      <c r="V36" s="444"/>
      <c r="W36" s="178" t="e">
        <f t="shared" si="4"/>
        <v>#DIV/0!</v>
      </c>
      <c r="X36" s="444"/>
    </row>
    <row r="37" spans="1:24" x14ac:dyDescent="0.15">
      <c r="F37" t="s">
        <v>351</v>
      </c>
      <c r="R37" t="s">
        <v>351</v>
      </c>
    </row>
  </sheetData>
  <mergeCells count="39">
    <mergeCell ref="A1:X1"/>
    <mergeCell ref="A3:A5"/>
    <mergeCell ref="B3:C5"/>
    <mergeCell ref="D3:D5"/>
    <mergeCell ref="E3:I3"/>
    <mergeCell ref="J3:N3"/>
    <mergeCell ref="O3:S3"/>
    <mergeCell ref="T3:X3"/>
    <mergeCell ref="E4:E5"/>
    <mergeCell ref="F4:H4"/>
    <mergeCell ref="S4:S5"/>
    <mergeCell ref="T4:T5"/>
    <mergeCell ref="U4:W4"/>
    <mergeCell ref="X4:X5"/>
    <mergeCell ref="O4:O5"/>
    <mergeCell ref="P4:R4"/>
    <mergeCell ref="B7:C7"/>
    <mergeCell ref="I4:I5"/>
    <mergeCell ref="J4:J5"/>
    <mergeCell ref="K4:M4"/>
    <mergeCell ref="N4:N5"/>
    <mergeCell ref="B6:C6"/>
    <mergeCell ref="B22:C22"/>
    <mergeCell ref="B8:C8"/>
    <mergeCell ref="B10:C10"/>
    <mergeCell ref="B11:C11"/>
    <mergeCell ref="B12:C12"/>
    <mergeCell ref="B13:C13"/>
    <mergeCell ref="B15:C15"/>
    <mergeCell ref="B16:C16"/>
    <mergeCell ref="B18:C18"/>
    <mergeCell ref="B19:C19"/>
    <mergeCell ref="B20:C20"/>
    <mergeCell ref="B21:C21"/>
    <mergeCell ref="B26:C26"/>
    <mergeCell ref="B29:C29"/>
    <mergeCell ref="B34:C34"/>
    <mergeCell ref="B35:C35"/>
    <mergeCell ref="B36:C36"/>
  </mergeCells>
  <pageMargins left="0.70866141732283472" right="0.70866141732283472" top="0.78740157480314965" bottom="0.78740157480314965" header="0.31496062992125984" footer="0.31496062992125984"/>
  <pageSetup paperSize="9" scale="91" firstPageNumber="110" orientation="landscape" useFirstPageNumber="1" r:id="rId1"/>
  <headerFoot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0"/>
  <sheetViews>
    <sheetView topLeftCell="A31" workbookViewId="0">
      <selection activeCell="A107" sqref="A107:XFD107"/>
    </sheetView>
  </sheetViews>
  <sheetFormatPr defaultRowHeight="12.75" x14ac:dyDescent="0.2"/>
  <cols>
    <col min="1" max="1" width="58" style="240" customWidth="1"/>
    <col min="2" max="2" width="33.5" style="240" customWidth="1"/>
    <col min="3" max="5" width="25.75" style="240" customWidth="1"/>
    <col min="6" max="6" width="22.75" style="240" customWidth="1"/>
    <col min="7" max="16384" width="10" style="240"/>
  </cols>
  <sheetData>
    <row r="1" spans="1:9" s="425" customFormat="1" ht="18.75" x14ac:dyDescent="0.3">
      <c r="A1" s="425" t="s">
        <v>92</v>
      </c>
      <c r="B1" s="425" t="s">
        <v>86</v>
      </c>
    </row>
    <row r="3" spans="1:9" s="180" customFormat="1" ht="10.5" x14ac:dyDescent="0.15">
      <c r="A3" s="1039" t="s">
        <v>354</v>
      </c>
      <c r="B3" s="1039"/>
      <c r="C3" s="1039"/>
      <c r="D3" s="1039"/>
      <c r="E3" s="1039"/>
      <c r="F3" s="1039"/>
      <c r="G3" s="1039"/>
      <c r="H3" s="1039"/>
      <c r="I3" s="1039"/>
    </row>
    <row r="4" spans="1:9" s="181" customFormat="1" ht="11.25" x14ac:dyDescent="0.2"/>
    <row r="5" spans="1:9" s="182" customFormat="1" ht="9.75" x14ac:dyDescent="0.2">
      <c r="A5" s="1040" t="s">
        <v>93</v>
      </c>
      <c r="B5" s="1041"/>
      <c r="C5" s="420" t="s">
        <v>25</v>
      </c>
      <c r="D5" s="1042" t="s">
        <v>355</v>
      </c>
      <c r="E5" s="1042"/>
      <c r="F5" s="1042"/>
      <c r="G5" s="1042"/>
      <c r="H5" s="1042"/>
      <c r="I5" s="1042"/>
    </row>
    <row r="6" spans="1:9" s="181" customFormat="1" ht="15" customHeight="1" x14ac:dyDescent="0.2">
      <c r="A6" s="1043" t="s">
        <v>356</v>
      </c>
      <c r="B6" s="1043"/>
      <c r="C6" s="183">
        <v>31982.52</v>
      </c>
      <c r="D6" s="1044"/>
      <c r="E6" s="1045"/>
      <c r="F6" s="1045"/>
      <c r="G6" s="1045"/>
      <c r="H6" s="1045"/>
      <c r="I6" s="1045"/>
    </row>
    <row r="7" spans="1:9" s="181" customFormat="1" ht="84.75" customHeight="1" x14ac:dyDescent="0.2">
      <c r="A7" s="1046" t="s">
        <v>94</v>
      </c>
      <c r="B7" s="1047"/>
      <c r="C7" s="184">
        <v>4405.5200000000004</v>
      </c>
      <c r="D7" s="1392" t="s">
        <v>858</v>
      </c>
      <c r="E7" s="1393"/>
      <c r="F7" s="1393"/>
      <c r="G7" s="1393"/>
      <c r="H7" s="1393"/>
      <c r="I7" s="1394"/>
    </row>
    <row r="8" spans="1:9" s="180" customFormat="1" ht="45.75" customHeight="1" x14ac:dyDescent="0.15">
      <c r="A8" s="1049" t="s">
        <v>95</v>
      </c>
      <c r="B8" s="1050"/>
      <c r="C8" s="185">
        <v>27577</v>
      </c>
      <c r="D8" s="1048" t="s">
        <v>859</v>
      </c>
      <c r="E8" s="1048"/>
      <c r="F8" s="1048"/>
      <c r="G8" s="1048"/>
      <c r="H8" s="1048"/>
      <c r="I8" s="1048"/>
    </row>
    <row r="9" spans="1:9" s="180" customFormat="1" ht="15" customHeight="1" x14ac:dyDescent="0.15">
      <c r="A9" s="1049" t="s">
        <v>96</v>
      </c>
      <c r="B9" s="1050"/>
      <c r="C9" s="185"/>
      <c r="D9" s="1051"/>
      <c r="E9" s="1052"/>
      <c r="F9" s="1052"/>
      <c r="G9" s="1052"/>
      <c r="H9" s="1052"/>
      <c r="I9" s="1053"/>
    </row>
    <row r="10" spans="1:9" s="181" customFormat="1" ht="11.25" x14ac:dyDescent="0.2">
      <c r="C10" s="186"/>
    </row>
    <row r="11" spans="1:9" s="181" customFormat="1" ht="11.25" x14ac:dyDescent="0.2">
      <c r="A11" s="1039" t="s">
        <v>359</v>
      </c>
      <c r="B11" s="1039"/>
      <c r="C11" s="1039"/>
      <c r="D11" s="1039"/>
      <c r="E11" s="1039"/>
      <c r="F11" s="1039"/>
      <c r="G11" s="1039"/>
      <c r="H11" s="1039"/>
      <c r="I11" s="1039"/>
    </row>
    <row r="12" spans="1:9" s="181" customFormat="1" ht="11.25" x14ac:dyDescent="0.2">
      <c r="C12" s="186"/>
      <c r="D12" s="187"/>
      <c r="E12" s="187"/>
      <c r="F12" s="187"/>
      <c r="G12" s="187"/>
      <c r="H12" s="187"/>
      <c r="I12" s="187"/>
    </row>
    <row r="13" spans="1:9" s="190" customFormat="1" ht="9.75" x14ac:dyDescent="0.2">
      <c r="A13" s="420" t="s">
        <v>93</v>
      </c>
      <c r="B13" s="420" t="s">
        <v>97</v>
      </c>
      <c r="C13" s="420" t="s">
        <v>25</v>
      </c>
      <c r="D13" s="188"/>
      <c r="E13" s="189"/>
      <c r="F13" s="189"/>
      <c r="G13" s="189"/>
      <c r="H13" s="189"/>
      <c r="I13" s="189"/>
    </row>
    <row r="14" spans="1:9" s="181" customFormat="1" ht="15" customHeight="1" x14ac:dyDescent="0.2">
      <c r="A14" s="191" t="s">
        <v>98</v>
      </c>
      <c r="B14" s="192"/>
      <c r="C14" s="193">
        <v>4406</v>
      </c>
      <c r="D14" s="194"/>
      <c r="E14" s="195"/>
      <c r="F14" s="195"/>
      <c r="G14" s="195"/>
      <c r="H14" s="195"/>
      <c r="I14" s="195"/>
    </row>
    <row r="15" spans="1:9" s="181" customFormat="1" ht="15" customHeight="1" x14ac:dyDescent="0.2">
      <c r="A15" s="1037" t="s">
        <v>99</v>
      </c>
      <c r="B15" s="196" t="s">
        <v>100</v>
      </c>
      <c r="C15" s="197">
        <v>27576.52</v>
      </c>
      <c r="D15" s="198"/>
      <c r="E15" s="199"/>
      <c r="F15" s="199"/>
      <c r="G15" s="199"/>
      <c r="H15" s="199"/>
      <c r="I15" s="199"/>
    </row>
    <row r="16" spans="1:9" s="181" customFormat="1" ht="15" customHeight="1" x14ac:dyDescent="0.2">
      <c r="A16" s="1038"/>
      <c r="B16" s="200" t="s">
        <v>100</v>
      </c>
      <c r="C16" s="201">
        <v>0</v>
      </c>
      <c r="D16" s="198"/>
      <c r="E16" s="199"/>
      <c r="F16" s="199"/>
      <c r="G16" s="199"/>
      <c r="H16" s="199"/>
      <c r="I16" s="199"/>
    </row>
    <row r="17" spans="1:9" s="181" customFormat="1" ht="15" customHeight="1" x14ac:dyDescent="0.2">
      <c r="A17" s="1038"/>
      <c r="B17" s="200" t="s">
        <v>101</v>
      </c>
      <c r="C17" s="202">
        <v>0</v>
      </c>
      <c r="D17" s="203"/>
      <c r="E17" s="204"/>
      <c r="F17" s="204"/>
      <c r="G17" s="204"/>
      <c r="H17" s="204"/>
      <c r="I17" s="204"/>
    </row>
    <row r="18" spans="1:9" s="181" customFormat="1" ht="15" customHeight="1" x14ac:dyDescent="0.2">
      <c r="A18" s="421" t="s">
        <v>356</v>
      </c>
      <c r="B18" s="205"/>
      <c r="C18" s="206">
        <f>SUM(C14:C17)</f>
        <v>31982.52</v>
      </c>
      <c r="D18" s="207"/>
      <c r="E18" s="207"/>
      <c r="F18" s="207"/>
      <c r="G18" s="207"/>
      <c r="H18" s="207"/>
      <c r="I18" s="207"/>
    </row>
    <row r="19" spans="1:9" s="209" customFormat="1" ht="11.25" x14ac:dyDescent="0.2">
      <c r="A19" s="208"/>
      <c r="C19" s="210"/>
      <c r="D19" s="211"/>
      <c r="E19" s="211"/>
      <c r="F19" s="211"/>
      <c r="G19" s="211"/>
      <c r="H19" s="211"/>
      <c r="I19" s="211"/>
    </row>
    <row r="20" spans="1:9" s="181" customFormat="1" ht="11.25" x14ac:dyDescent="0.2">
      <c r="A20" s="1039" t="s">
        <v>360</v>
      </c>
      <c r="B20" s="1039"/>
      <c r="C20" s="1039"/>
      <c r="D20" s="1039"/>
      <c r="E20" s="1039"/>
      <c r="F20" s="1039"/>
      <c r="G20" s="1039"/>
      <c r="H20" s="1039"/>
      <c r="I20" s="1039"/>
    </row>
    <row r="21" spans="1:9" s="181" customFormat="1" ht="11.25" x14ac:dyDescent="0.2">
      <c r="C21" s="186"/>
    </row>
    <row r="22" spans="1:9" s="212" customFormat="1" ht="9.75" x14ac:dyDescent="0.2">
      <c r="A22" s="420" t="s">
        <v>97</v>
      </c>
      <c r="B22" s="420" t="s">
        <v>361</v>
      </c>
      <c r="C22" s="423" t="s">
        <v>362</v>
      </c>
      <c r="D22" s="420" t="s">
        <v>363</v>
      </c>
      <c r="E22" s="420" t="s">
        <v>364</v>
      </c>
      <c r="F22" s="1042" t="s">
        <v>365</v>
      </c>
      <c r="G22" s="1042"/>
      <c r="H22" s="1042"/>
      <c r="I22" s="1042"/>
    </row>
    <row r="23" spans="1:9" s="181" customFormat="1" ht="57" customHeight="1" x14ac:dyDescent="0.2">
      <c r="A23" s="213" t="s">
        <v>102</v>
      </c>
      <c r="B23" s="214">
        <v>107476.52</v>
      </c>
      <c r="C23" s="214">
        <v>686550.56</v>
      </c>
      <c r="D23" s="214">
        <v>131005.2</v>
      </c>
      <c r="E23" s="214">
        <f>B23+C23-D23</f>
        <v>663021.88000000012</v>
      </c>
      <c r="F23" s="1054" t="s">
        <v>860</v>
      </c>
      <c r="G23" s="1055"/>
      <c r="H23" s="1055"/>
      <c r="I23" s="1056"/>
    </row>
    <row r="24" spans="1:9" s="181" customFormat="1" ht="20.25" customHeight="1" x14ac:dyDescent="0.2">
      <c r="A24" s="196" t="s">
        <v>103</v>
      </c>
      <c r="B24" s="215">
        <v>21212</v>
      </c>
      <c r="C24" s="215">
        <v>1291667</v>
      </c>
      <c r="D24" s="215">
        <v>1276559</v>
      </c>
      <c r="E24" s="215">
        <f t="shared" ref="E24:E26" si="0">B24+C24-D24</f>
        <v>36320</v>
      </c>
      <c r="F24" s="1057" t="s">
        <v>861</v>
      </c>
      <c r="G24" s="1058"/>
      <c r="H24" s="1058"/>
      <c r="I24" s="1059"/>
    </row>
    <row r="25" spans="1:9" s="181" customFormat="1" ht="58.5" customHeight="1" x14ac:dyDescent="0.2">
      <c r="A25" s="196" t="s">
        <v>101</v>
      </c>
      <c r="B25" s="215">
        <v>42335.98</v>
      </c>
      <c r="C25" s="215">
        <v>0</v>
      </c>
      <c r="D25" s="215">
        <v>3400</v>
      </c>
      <c r="E25" s="215">
        <f t="shared" si="0"/>
        <v>38935.980000000003</v>
      </c>
      <c r="F25" s="1057" t="s">
        <v>862</v>
      </c>
      <c r="G25" s="1058"/>
      <c r="H25" s="1058"/>
      <c r="I25" s="1059"/>
    </row>
    <row r="26" spans="1:9" s="181" customFormat="1" ht="20.25" customHeight="1" x14ac:dyDescent="0.2">
      <c r="A26" s="200" t="s">
        <v>104</v>
      </c>
      <c r="B26" s="216">
        <v>100843.52</v>
      </c>
      <c r="C26" s="216">
        <v>216264</v>
      </c>
      <c r="D26" s="216">
        <v>136903</v>
      </c>
      <c r="E26" s="215">
        <f t="shared" si="0"/>
        <v>180204.52000000002</v>
      </c>
      <c r="F26" s="1060" t="s">
        <v>863</v>
      </c>
      <c r="G26" s="1061"/>
      <c r="H26" s="1061"/>
      <c r="I26" s="1062"/>
    </row>
    <row r="27" spans="1:9" s="180" customFormat="1" ht="10.5" x14ac:dyDescent="0.15">
      <c r="A27" s="217" t="s">
        <v>34</v>
      </c>
      <c r="B27" s="183">
        <f>SUM(B23:B26)</f>
        <v>271868.02</v>
      </c>
      <c r="C27" s="183">
        <f t="shared" ref="C27:E27" si="1">SUM(C23:C26)</f>
        <v>2194481.56</v>
      </c>
      <c r="D27" s="183">
        <f t="shared" si="1"/>
        <v>1547867.2</v>
      </c>
      <c r="E27" s="183">
        <f t="shared" si="1"/>
        <v>918482.38000000012</v>
      </c>
      <c r="F27" s="1063"/>
      <c r="G27" s="1063"/>
      <c r="H27" s="1063"/>
      <c r="I27" s="1064"/>
    </row>
    <row r="28" spans="1:9" s="181" customFormat="1" ht="11.25" x14ac:dyDescent="0.2">
      <c r="C28" s="186"/>
    </row>
    <row r="29" spans="1:9" s="181" customFormat="1" ht="11.25" x14ac:dyDescent="0.2">
      <c r="A29" s="1039" t="s">
        <v>370</v>
      </c>
      <c r="B29" s="1039"/>
      <c r="C29" s="1039"/>
      <c r="D29" s="1039"/>
      <c r="E29" s="1039"/>
      <c r="F29" s="1039"/>
      <c r="G29" s="1039"/>
      <c r="H29" s="1039"/>
      <c r="I29" s="1039"/>
    </row>
    <row r="30" spans="1:9" s="181" customFormat="1" ht="11.25" x14ac:dyDescent="0.2">
      <c r="C30" s="186"/>
    </row>
    <row r="31" spans="1:9" s="181" customFormat="1" ht="11.25" x14ac:dyDescent="0.2">
      <c r="A31" s="420" t="s">
        <v>105</v>
      </c>
      <c r="B31" s="420" t="s">
        <v>25</v>
      </c>
      <c r="C31" s="423" t="s">
        <v>106</v>
      </c>
      <c r="D31" s="1042" t="s">
        <v>107</v>
      </c>
      <c r="E31" s="1042"/>
      <c r="F31" s="1042"/>
      <c r="G31" s="1042"/>
      <c r="H31" s="1042"/>
      <c r="I31" s="1042"/>
    </row>
    <row r="32" spans="1:9" s="181" customFormat="1" ht="15" customHeight="1" x14ac:dyDescent="0.2">
      <c r="A32" s="218" t="s">
        <v>196</v>
      </c>
      <c r="B32" s="214"/>
      <c r="C32" s="219"/>
      <c r="D32" s="1065"/>
      <c r="E32" s="1066"/>
      <c r="F32" s="1066"/>
      <c r="G32" s="1066"/>
      <c r="H32" s="1066"/>
      <c r="I32" s="1067"/>
    </row>
    <row r="33" spans="1:9" s="180" customFormat="1" ht="11.25" x14ac:dyDescent="0.2">
      <c r="A33" s="217" t="s">
        <v>34</v>
      </c>
      <c r="B33" s="183">
        <f>SUM(B32:B32)</f>
        <v>0</v>
      </c>
      <c r="C33" s="1068"/>
      <c r="D33" s="1069"/>
      <c r="E33" s="1069"/>
      <c r="F33" s="1069"/>
      <c r="G33" s="1069"/>
      <c r="H33" s="1069"/>
      <c r="I33" s="1070"/>
    </row>
    <row r="34" spans="1:9" s="181" customFormat="1" ht="11.25" x14ac:dyDescent="0.2">
      <c r="C34" s="186"/>
    </row>
    <row r="35" spans="1:9" s="181" customFormat="1" ht="11.25" x14ac:dyDescent="0.2">
      <c r="A35" s="1039" t="s">
        <v>372</v>
      </c>
      <c r="B35" s="1039"/>
      <c r="C35" s="1039"/>
      <c r="D35" s="1039"/>
      <c r="E35" s="1039"/>
      <c r="F35" s="1039"/>
      <c r="G35" s="1039"/>
      <c r="H35" s="1039"/>
      <c r="I35" s="1039"/>
    </row>
    <row r="36" spans="1:9" s="181" customFormat="1" ht="11.25" x14ac:dyDescent="0.2">
      <c r="C36" s="186"/>
    </row>
    <row r="37" spans="1:9" s="181" customFormat="1" ht="11.25" x14ac:dyDescent="0.2">
      <c r="A37" s="420" t="s">
        <v>105</v>
      </c>
      <c r="B37" s="420" t="s">
        <v>25</v>
      </c>
      <c r="C37" s="423" t="s">
        <v>106</v>
      </c>
      <c r="D37" s="1071" t="s">
        <v>107</v>
      </c>
      <c r="E37" s="1071"/>
      <c r="F37" s="1071"/>
      <c r="G37" s="1071"/>
      <c r="H37" s="1071"/>
      <c r="I37" s="1072"/>
    </row>
    <row r="38" spans="1:9" s="181" customFormat="1" ht="15" customHeight="1" x14ac:dyDescent="0.2">
      <c r="A38" s="218" t="s">
        <v>197</v>
      </c>
      <c r="B38" s="214"/>
      <c r="C38" s="219"/>
      <c r="D38" s="1057"/>
      <c r="E38" s="1073"/>
      <c r="F38" s="1073"/>
      <c r="G38" s="1073"/>
      <c r="H38" s="1073"/>
      <c r="I38" s="1074"/>
    </row>
    <row r="39" spans="1:9" s="180" customFormat="1" ht="10.5" x14ac:dyDescent="0.15">
      <c r="A39" s="217" t="s">
        <v>34</v>
      </c>
      <c r="B39" s="183">
        <f>SUM(B38:B38)</f>
        <v>0</v>
      </c>
      <c r="C39" s="1075"/>
      <c r="D39" s="1076"/>
      <c r="E39" s="1076"/>
      <c r="F39" s="1076"/>
      <c r="G39" s="1076"/>
      <c r="H39" s="1076"/>
      <c r="I39" s="1076"/>
    </row>
    <row r="40" spans="1:9" s="181" customFormat="1" ht="11.25" x14ac:dyDescent="0.2">
      <c r="C40" s="186"/>
    </row>
    <row r="41" spans="1:9" s="181" customFormat="1" ht="11.25" x14ac:dyDescent="0.2">
      <c r="A41" s="1039" t="s">
        <v>374</v>
      </c>
      <c r="B41" s="1039"/>
      <c r="C41" s="1039"/>
      <c r="D41" s="1039"/>
      <c r="E41" s="1039"/>
      <c r="F41" s="1039"/>
      <c r="G41" s="1039"/>
      <c r="H41" s="1039"/>
      <c r="I41" s="1039"/>
    </row>
    <row r="42" spans="1:9" s="181" customFormat="1" ht="11.25" x14ac:dyDescent="0.2">
      <c r="C42" s="186"/>
    </row>
    <row r="43" spans="1:9" s="181" customFormat="1" ht="11.25" x14ac:dyDescent="0.2">
      <c r="A43" s="420" t="s">
        <v>25</v>
      </c>
      <c r="B43" s="423" t="s">
        <v>375</v>
      </c>
      <c r="C43" s="1077" t="s">
        <v>108</v>
      </c>
      <c r="D43" s="1077"/>
      <c r="E43" s="1077"/>
      <c r="F43" s="1077"/>
      <c r="G43" s="1077"/>
      <c r="H43" s="1077"/>
      <c r="I43" s="1078"/>
    </row>
    <row r="44" spans="1:9" s="181" customFormat="1" ht="11.25" x14ac:dyDescent="0.2">
      <c r="A44" s="228">
        <v>15000</v>
      </c>
      <c r="B44" s="228">
        <v>15000</v>
      </c>
      <c r="C44" s="1079" t="s">
        <v>864</v>
      </c>
      <c r="D44" s="1079"/>
      <c r="E44" s="1079"/>
      <c r="F44" s="1079"/>
      <c r="G44" s="1079"/>
      <c r="H44" s="1079"/>
      <c r="I44" s="1080"/>
    </row>
    <row r="45" spans="1:9" s="181" customFormat="1" ht="11.25" x14ac:dyDescent="0.2">
      <c r="A45" s="215">
        <v>10000</v>
      </c>
      <c r="B45" s="215">
        <v>10000</v>
      </c>
      <c r="C45" s="1395" t="s">
        <v>865</v>
      </c>
      <c r="D45" s="1395"/>
      <c r="E45" s="1395"/>
      <c r="F45" s="1395"/>
      <c r="G45" s="1395"/>
      <c r="H45" s="1395"/>
      <c r="I45" s="1395"/>
    </row>
    <row r="46" spans="1:9" s="181" customFormat="1" ht="11.25" x14ac:dyDescent="0.2">
      <c r="A46" s="215"/>
      <c r="B46" s="215"/>
      <c r="C46" s="1395"/>
      <c r="D46" s="1395"/>
      <c r="E46" s="1395"/>
      <c r="F46" s="1395"/>
      <c r="G46" s="1395"/>
      <c r="H46" s="1395"/>
      <c r="I46" s="1395"/>
    </row>
    <row r="47" spans="1:9" s="180" customFormat="1" ht="10.5" x14ac:dyDescent="0.15">
      <c r="A47" s="819">
        <f>A44+A45+A46</f>
        <v>25000</v>
      </c>
      <c r="B47" s="819">
        <f>B44+B45+B46</f>
        <v>25000</v>
      </c>
      <c r="C47" s="1396" t="s">
        <v>34</v>
      </c>
      <c r="D47" s="1396"/>
      <c r="E47" s="1396"/>
      <c r="F47" s="1396"/>
      <c r="G47" s="1396"/>
      <c r="H47" s="1396"/>
      <c r="I47" s="1397"/>
    </row>
    <row r="48" spans="1:9" s="181" customFormat="1" ht="11.25" x14ac:dyDescent="0.2">
      <c r="C48" s="186"/>
    </row>
    <row r="49" spans="1:9" s="181" customFormat="1" ht="11.25" x14ac:dyDescent="0.2">
      <c r="A49" s="1039" t="s">
        <v>377</v>
      </c>
      <c r="B49" s="1039"/>
      <c r="C49" s="1039"/>
      <c r="D49" s="1039"/>
      <c r="E49" s="1039"/>
      <c r="F49" s="1039"/>
      <c r="G49" s="1039"/>
      <c r="H49" s="1039"/>
      <c r="I49" s="1039"/>
    </row>
    <row r="50" spans="1:9" s="181" customFormat="1" ht="11.25" x14ac:dyDescent="0.2">
      <c r="C50" s="186"/>
    </row>
    <row r="51" spans="1:9" s="232" customFormat="1" ht="11.25" x14ac:dyDescent="0.2">
      <c r="A51" s="1071" t="s">
        <v>109</v>
      </c>
      <c r="B51" s="1071"/>
      <c r="C51" s="292" t="s">
        <v>110</v>
      </c>
      <c r="D51" s="422" t="s">
        <v>111</v>
      </c>
      <c r="E51" s="422" t="s">
        <v>25</v>
      </c>
    </row>
    <row r="52" spans="1:9" s="181" customFormat="1" ht="11.25" x14ac:dyDescent="0.2">
      <c r="A52" s="234" t="s">
        <v>866</v>
      </c>
      <c r="B52" s="234" t="s">
        <v>205</v>
      </c>
      <c r="C52" s="235">
        <v>42773</v>
      </c>
      <c r="D52" s="235"/>
      <c r="E52" s="252">
        <v>15000</v>
      </c>
    </row>
    <row r="53" spans="1:9" s="181" customFormat="1" ht="11.25" x14ac:dyDescent="0.2">
      <c r="A53" s="234" t="s">
        <v>867</v>
      </c>
      <c r="B53" s="234" t="s">
        <v>200</v>
      </c>
      <c r="C53" s="235"/>
      <c r="D53" s="235">
        <v>43100</v>
      </c>
      <c r="E53" s="252">
        <v>14151</v>
      </c>
    </row>
    <row r="54" spans="1:9" s="181" customFormat="1" ht="11.25" x14ac:dyDescent="0.2">
      <c r="A54" s="234" t="s">
        <v>867</v>
      </c>
      <c r="B54" s="234" t="s">
        <v>211</v>
      </c>
      <c r="C54" s="235"/>
      <c r="D54" s="235">
        <v>42846</v>
      </c>
      <c r="E54" s="252">
        <v>849</v>
      </c>
    </row>
    <row r="55" spans="1:9" s="181" customFormat="1" ht="11.25" x14ac:dyDescent="0.2">
      <c r="A55" s="234" t="s">
        <v>868</v>
      </c>
      <c r="B55" s="234" t="s">
        <v>869</v>
      </c>
      <c r="C55" s="235">
        <v>42878</v>
      </c>
      <c r="D55" s="235"/>
      <c r="E55" s="252">
        <v>10000</v>
      </c>
    </row>
    <row r="56" spans="1:9" s="181" customFormat="1" ht="11.25" x14ac:dyDescent="0.2">
      <c r="A56" s="234" t="s">
        <v>870</v>
      </c>
      <c r="B56" s="234" t="s">
        <v>200</v>
      </c>
      <c r="C56" s="235"/>
      <c r="D56" s="235">
        <v>42887</v>
      </c>
      <c r="E56" s="252">
        <v>10000</v>
      </c>
    </row>
    <row r="57" spans="1:9" s="181" customFormat="1" ht="11.25" x14ac:dyDescent="0.2">
      <c r="A57" s="234" t="s">
        <v>198</v>
      </c>
      <c r="B57" s="234" t="s">
        <v>199</v>
      </c>
      <c r="C57" s="235">
        <v>42878</v>
      </c>
      <c r="D57" s="235"/>
      <c r="E57" s="252">
        <v>27000</v>
      </c>
    </row>
    <row r="58" spans="1:9" s="181" customFormat="1" ht="11.25" x14ac:dyDescent="0.2">
      <c r="A58" s="234" t="s">
        <v>871</v>
      </c>
      <c r="B58" s="234" t="s">
        <v>800</v>
      </c>
      <c r="C58" s="235"/>
      <c r="D58" s="235">
        <v>42916</v>
      </c>
      <c r="E58" s="252">
        <v>27000</v>
      </c>
    </row>
    <row r="59" spans="1:9" s="181" customFormat="1" ht="11.25" x14ac:dyDescent="0.2">
      <c r="A59" s="234" t="s">
        <v>208</v>
      </c>
      <c r="B59" s="234" t="s">
        <v>205</v>
      </c>
      <c r="C59" s="235">
        <v>42913</v>
      </c>
      <c r="D59" s="235"/>
      <c r="E59" s="252">
        <v>69926.2</v>
      </c>
    </row>
    <row r="60" spans="1:9" s="181" customFormat="1" ht="11.25" x14ac:dyDescent="0.2">
      <c r="A60" s="234" t="s">
        <v>872</v>
      </c>
      <c r="B60" s="234" t="s">
        <v>211</v>
      </c>
      <c r="C60" s="235"/>
      <c r="D60" s="235">
        <v>43100</v>
      </c>
      <c r="E60" s="252">
        <v>69926.2</v>
      </c>
    </row>
    <row r="61" spans="1:9" s="181" customFormat="1" ht="11.25" x14ac:dyDescent="0.2">
      <c r="A61" s="234" t="s">
        <v>873</v>
      </c>
      <c r="B61" s="234" t="s">
        <v>201</v>
      </c>
      <c r="C61" s="235">
        <v>42913</v>
      </c>
      <c r="D61" s="235"/>
      <c r="E61" s="252">
        <v>3400</v>
      </c>
    </row>
    <row r="62" spans="1:9" s="181" customFormat="1" ht="11.25" x14ac:dyDescent="0.2">
      <c r="A62" s="234" t="s">
        <v>204</v>
      </c>
      <c r="B62" s="234" t="s">
        <v>205</v>
      </c>
      <c r="C62" s="235">
        <v>42913</v>
      </c>
      <c r="D62" s="235"/>
      <c r="E62" s="252">
        <v>1224</v>
      </c>
    </row>
    <row r="63" spans="1:9" s="181" customFormat="1" ht="11.25" x14ac:dyDescent="0.2">
      <c r="A63" s="234" t="s">
        <v>202</v>
      </c>
      <c r="B63" s="234" t="s">
        <v>203</v>
      </c>
      <c r="C63" s="235"/>
      <c r="D63" s="235">
        <v>42947</v>
      </c>
      <c r="E63" s="252">
        <v>3400</v>
      </c>
    </row>
    <row r="64" spans="1:9" s="181" customFormat="1" ht="11.25" x14ac:dyDescent="0.2">
      <c r="A64" s="234" t="s">
        <v>874</v>
      </c>
      <c r="B64" s="234" t="s">
        <v>206</v>
      </c>
      <c r="C64" s="235"/>
      <c r="D64" s="235">
        <v>42947</v>
      </c>
      <c r="E64" s="252">
        <v>1156</v>
      </c>
    </row>
    <row r="65" spans="1:5" s="181" customFormat="1" ht="11.25" x14ac:dyDescent="0.2">
      <c r="A65" s="234" t="s">
        <v>875</v>
      </c>
      <c r="B65" s="234" t="s">
        <v>207</v>
      </c>
      <c r="C65" s="235"/>
      <c r="D65" s="235">
        <v>42947</v>
      </c>
      <c r="E65" s="252">
        <v>68</v>
      </c>
    </row>
    <row r="66" spans="1:5" s="181" customFormat="1" ht="11.25" x14ac:dyDescent="0.2">
      <c r="A66" s="234" t="s">
        <v>876</v>
      </c>
      <c r="B66" s="234" t="s">
        <v>877</v>
      </c>
      <c r="C66" s="235">
        <v>42773</v>
      </c>
      <c r="D66" s="235"/>
      <c r="E66" s="252">
        <v>15000</v>
      </c>
    </row>
    <row r="67" spans="1:5" s="181" customFormat="1" ht="11.25" x14ac:dyDescent="0.2">
      <c r="A67" s="234" t="s">
        <v>878</v>
      </c>
      <c r="B67" s="234" t="s">
        <v>123</v>
      </c>
      <c r="C67" s="235"/>
      <c r="D67" s="235">
        <v>42962</v>
      </c>
      <c r="E67" s="252">
        <v>15000</v>
      </c>
    </row>
    <row r="68" spans="1:5" s="181" customFormat="1" ht="11.25" x14ac:dyDescent="0.2">
      <c r="A68" s="234" t="s">
        <v>879</v>
      </c>
      <c r="B68" s="234" t="s">
        <v>880</v>
      </c>
      <c r="C68" s="235">
        <v>43091</v>
      </c>
      <c r="D68" s="235"/>
      <c r="E68" s="252">
        <v>-39900</v>
      </c>
    </row>
    <row r="69" spans="1:5" s="181" customFormat="1" ht="11.25" x14ac:dyDescent="0.2">
      <c r="A69" s="234" t="s">
        <v>881</v>
      </c>
      <c r="B69" s="234" t="s">
        <v>123</v>
      </c>
      <c r="C69" s="235"/>
      <c r="D69" s="235">
        <v>43091</v>
      </c>
      <c r="E69" s="252">
        <v>39900</v>
      </c>
    </row>
    <row r="70" spans="1:5" s="181" customFormat="1" ht="11.25" x14ac:dyDescent="0.2">
      <c r="A70" s="234" t="s">
        <v>882</v>
      </c>
      <c r="B70" s="234" t="s">
        <v>209</v>
      </c>
      <c r="C70" s="235">
        <v>43100</v>
      </c>
      <c r="D70" s="235">
        <v>43100</v>
      </c>
      <c r="E70" s="252">
        <v>-9836.7999999999993</v>
      </c>
    </row>
    <row r="71" spans="1:5" s="181" customFormat="1" ht="11.25" x14ac:dyDescent="0.2">
      <c r="A71" s="234" t="s">
        <v>883</v>
      </c>
      <c r="B71" s="234" t="s">
        <v>259</v>
      </c>
      <c r="C71" s="235">
        <v>43100</v>
      </c>
      <c r="D71" s="235">
        <v>43100</v>
      </c>
      <c r="E71" s="252">
        <v>-11186.88</v>
      </c>
    </row>
    <row r="72" spans="1:5" s="181" customFormat="1" ht="11.25" x14ac:dyDescent="0.2">
      <c r="A72" s="234" t="s">
        <v>884</v>
      </c>
      <c r="B72" s="234" t="s">
        <v>885</v>
      </c>
      <c r="C72" s="235">
        <v>43100</v>
      </c>
      <c r="D72" s="235">
        <v>43100</v>
      </c>
      <c r="E72" s="252">
        <v>-128</v>
      </c>
    </row>
    <row r="73" spans="1:5" s="181" customFormat="1" ht="11.25" x14ac:dyDescent="0.2">
      <c r="A73" s="234" t="s">
        <v>886</v>
      </c>
      <c r="B73" s="234" t="s">
        <v>252</v>
      </c>
      <c r="C73" s="235">
        <v>43100</v>
      </c>
      <c r="D73" s="235">
        <v>43100</v>
      </c>
      <c r="E73" s="252">
        <v>-197</v>
      </c>
    </row>
    <row r="74" spans="1:5" s="181" customFormat="1" ht="11.25" x14ac:dyDescent="0.2">
      <c r="A74" s="234" t="s">
        <v>887</v>
      </c>
      <c r="B74" s="234" t="s">
        <v>236</v>
      </c>
      <c r="C74" s="235">
        <v>43100</v>
      </c>
      <c r="D74" s="235">
        <v>43100</v>
      </c>
      <c r="E74" s="252">
        <v>-33</v>
      </c>
    </row>
    <row r="75" spans="1:5" s="181" customFormat="1" ht="11.25" x14ac:dyDescent="0.2">
      <c r="A75" s="234" t="s">
        <v>888</v>
      </c>
      <c r="B75" s="234" t="s">
        <v>889</v>
      </c>
      <c r="C75" s="235">
        <v>43100</v>
      </c>
      <c r="D75" s="235">
        <v>43100</v>
      </c>
      <c r="E75" s="252">
        <v>1161</v>
      </c>
    </row>
    <row r="76" spans="1:5" s="181" customFormat="1" ht="11.25" x14ac:dyDescent="0.2">
      <c r="A76" s="234" t="s">
        <v>890</v>
      </c>
      <c r="B76" s="234" t="s">
        <v>891</v>
      </c>
      <c r="C76" s="235">
        <v>43100</v>
      </c>
      <c r="D76" s="235">
        <v>43100</v>
      </c>
      <c r="E76" s="252">
        <v>629</v>
      </c>
    </row>
    <row r="77" spans="1:5" s="181" customFormat="1" ht="11.25" x14ac:dyDescent="0.2">
      <c r="A77" s="234" t="s">
        <v>892</v>
      </c>
      <c r="B77" s="234" t="s">
        <v>847</v>
      </c>
      <c r="C77" s="235">
        <v>43100</v>
      </c>
      <c r="D77" s="235">
        <v>43100</v>
      </c>
      <c r="E77" s="252">
        <v>630</v>
      </c>
    </row>
    <row r="78" spans="1:5" s="181" customFormat="1" ht="11.25" x14ac:dyDescent="0.2">
      <c r="A78" s="234" t="s">
        <v>893</v>
      </c>
      <c r="B78" s="234" t="s">
        <v>211</v>
      </c>
      <c r="C78" s="235">
        <v>43100</v>
      </c>
      <c r="D78" s="235">
        <v>43100</v>
      </c>
      <c r="E78" s="252">
        <v>23801.68</v>
      </c>
    </row>
    <row r="79" spans="1:5" s="181" customFormat="1" ht="11.25" x14ac:dyDescent="0.2">
      <c r="A79" s="234" t="s">
        <v>894</v>
      </c>
      <c r="B79" s="234" t="s">
        <v>205</v>
      </c>
      <c r="C79" s="235">
        <v>43100</v>
      </c>
      <c r="D79" s="235">
        <v>43100</v>
      </c>
      <c r="E79" s="252">
        <v>1500</v>
      </c>
    </row>
    <row r="80" spans="1:5" s="181" customFormat="1" ht="11.25" x14ac:dyDescent="0.2">
      <c r="A80" s="234" t="s">
        <v>895</v>
      </c>
      <c r="B80" s="234" t="s">
        <v>123</v>
      </c>
      <c r="C80" s="235">
        <v>43100</v>
      </c>
      <c r="D80" s="235">
        <v>43100</v>
      </c>
      <c r="E80" s="252">
        <v>1350.5</v>
      </c>
    </row>
    <row r="81" spans="1:9" s="181" customFormat="1" ht="11.25" x14ac:dyDescent="0.2">
      <c r="A81" s="234" t="s">
        <v>895</v>
      </c>
      <c r="B81" s="234" t="s">
        <v>211</v>
      </c>
      <c r="C81" s="235">
        <v>43100</v>
      </c>
      <c r="D81" s="235">
        <v>43100</v>
      </c>
      <c r="E81" s="252">
        <v>149.5</v>
      </c>
    </row>
    <row r="82" spans="1:9" s="181" customFormat="1" ht="11.25" x14ac:dyDescent="0.2">
      <c r="A82" s="234" t="s">
        <v>896</v>
      </c>
      <c r="B82" s="234" t="s">
        <v>897</v>
      </c>
      <c r="C82" s="235">
        <v>43100</v>
      </c>
      <c r="D82" s="235">
        <v>43100</v>
      </c>
      <c r="E82" s="252">
        <v>-21290</v>
      </c>
    </row>
    <row r="83" spans="1:9" s="181" customFormat="1" ht="11.25" x14ac:dyDescent="0.2">
      <c r="A83" s="234" t="s">
        <v>898</v>
      </c>
      <c r="B83" s="234" t="s">
        <v>214</v>
      </c>
      <c r="C83" s="235">
        <v>43100</v>
      </c>
      <c r="D83" s="235">
        <v>43100</v>
      </c>
      <c r="E83" s="252">
        <v>-1178</v>
      </c>
    </row>
    <row r="84" spans="1:9" s="181" customFormat="1" ht="11.25" x14ac:dyDescent="0.2">
      <c r="A84" s="234" t="s">
        <v>898</v>
      </c>
      <c r="B84" s="234" t="s">
        <v>899</v>
      </c>
      <c r="C84" s="235">
        <v>43100</v>
      </c>
      <c r="D84" s="235">
        <v>43100</v>
      </c>
      <c r="E84" s="252">
        <v>-17585</v>
      </c>
    </row>
    <row r="85" spans="1:9" s="181" customFormat="1" ht="11.25" x14ac:dyDescent="0.2">
      <c r="A85" s="820"/>
      <c r="B85" s="431"/>
      <c r="C85" s="821"/>
      <c r="D85" s="822"/>
      <c r="E85" s="821"/>
    </row>
    <row r="86" spans="1:9" s="181" customFormat="1" ht="11.25" x14ac:dyDescent="0.2">
      <c r="A86" s="1083" t="s">
        <v>397</v>
      </c>
      <c r="B86" s="1083"/>
      <c r="C86" s="1083"/>
      <c r="D86" s="1083"/>
      <c r="E86" s="1083"/>
      <c r="F86" s="1083"/>
      <c r="G86" s="1083"/>
      <c r="H86" s="1083"/>
      <c r="I86" s="1083"/>
    </row>
    <row r="87" spans="1:9" s="181" customFormat="1" ht="11.25" x14ac:dyDescent="0.2">
      <c r="A87" s="1389" t="s">
        <v>900</v>
      </c>
      <c r="B87" s="1390"/>
      <c r="C87" s="1390"/>
      <c r="D87" s="1390"/>
      <c r="E87" s="1390"/>
      <c r="F87" s="1390"/>
      <c r="G87" s="1390"/>
      <c r="H87" s="1390"/>
      <c r="I87" s="1391"/>
    </row>
    <row r="88" spans="1:9" s="181" customFormat="1" ht="20.25" customHeight="1" x14ac:dyDescent="0.2">
      <c r="A88" s="1034" t="s">
        <v>901</v>
      </c>
      <c r="B88" s="1035"/>
      <c r="C88" s="1035"/>
      <c r="D88" s="1035"/>
      <c r="E88" s="1035"/>
      <c r="F88" s="1035"/>
      <c r="G88" s="1035"/>
      <c r="H88" s="1035"/>
      <c r="I88" s="1036"/>
    </row>
    <row r="89" spans="1:9" s="181" customFormat="1" ht="18.75" customHeight="1" x14ac:dyDescent="0.2">
      <c r="A89" s="1034" t="s">
        <v>902</v>
      </c>
      <c r="B89" s="1035"/>
      <c r="C89" s="1035"/>
      <c r="D89" s="1035"/>
      <c r="E89" s="1035"/>
      <c r="F89" s="1035"/>
      <c r="G89" s="1035"/>
      <c r="H89" s="1035"/>
      <c r="I89" s="1036"/>
    </row>
    <row r="90" spans="1:9" s="181" customFormat="1" ht="11.25" hidden="1" customHeight="1" x14ac:dyDescent="0.2">
      <c r="A90" s="1034"/>
      <c r="B90" s="1035"/>
      <c r="C90" s="1035"/>
      <c r="D90" s="1035"/>
      <c r="E90" s="1035"/>
      <c r="F90" s="1035"/>
      <c r="G90" s="1035"/>
      <c r="H90" s="1035"/>
      <c r="I90" s="1036"/>
    </row>
    <row r="91" spans="1:9" s="181" customFormat="1" ht="11.25" hidden="1" x14ac:dyDescent="0.2"/>
    <row r="92" spans="1:9" s="180" customFormat="1" ht="10.5" x14ac:dyDescent="0.15">
      <c r="A92" s="1039" t="s">
        <v>399</v>
      </c>
      <c r="B92" s="1039"/>
      <c r="C92" s="1039"/>
      <c r="D92" s="1039"/>
      <c r="E92" s="1039"/>
      <c r="F92" s="1039"/>
      <c r="G92" s="1039"/>
      <c r="H92" s="1039"/>
      <c r="I92" s="1039"/>
    </row>
    <row r="93" spans="1:9" s="181" customFormat="1" ht="34.5" customHeight="1" x14ac:dyDescent="0.2">
      <c r="A93" s="1034" t="s">
        <v>903</v>
      </c>
      <c r="B93" s="1035"/>
      <c r="C93" s="1035"/>
      <c r="D93" s="1035"/>
      <c r="E93" s="1035"/>
      <c r="F93" s="1035"/>
      <c r="G93" s="1035"/>
      <c r="H93" s="1035"/>
      <c r="I93" s="1036"/>
    </row>
    <row r="94" spans="1:9" s="181" customFormat="1" ht="27" customHeight="1" x14ac:dyDescent="0.2">
      <c r="A94" s="1034" t="s">
        <v>904</v>
      </c>
      <c r="B94" s="1035"/>
      <c r="C94" s="1035"/>
      <c r="D94" s="1035"/>
      <c r="E94" s="1035"/>
      <c r="F94" s="1035"/>
      <c r="G94" s="1035"/>
      <c r="H94" s="1035"/>
      <c r="I94" s="1036"/>
    </row>
    <row r="95" spans="1:9" x14ac:dyDescent="0.2">
      <c r="A95" s="1386" t="s">
        <v>905</v>
      </c>
      <c r="B95" s="1387"/>
      <c r="C95" s="1387"/>
      <c r="D95" s="1387"/>
      <c r="E95" s="1387"/>
      <c r="F95" s="1387"/>
      <c r="G95" s="1387"/>
      <c r="H95" s="1387"/>
      <c r="I95" s="1388"/>
    </row>
    <row r="97" spans="1:5" x14ac:dyDescent="0.2">
      <c r="A97" s="239"/>
    </row>
    <row r="98" spans="1:5" x14ac:dyDescent="0.2">
      <c r="A98" s="239"/>
    </row>
    <row r="99" spans="1:5" x14ac:dyDescent="0.2">
      <c r="A99" s="240" t="s">
        <v>906</v>
      </c>
      <c r="D99" s="1384" t="s">
        <v>907</v>
      </c>
      <c r="E99" s="1385"/>
    </row>
    <row r="100" spans="1:5" x14ac:dyDescent="0.2">
      <c r="D100" s="1384" t="s">
        <v>215</v>
      </c>
      <c r="E100" s="1385"/>
    </row>
  </sheetData>
  <mergeCells count="47">
    <mergeCell ref="C46:I46"/>
    <mergeCell ref="C44:I44"/>
    <mergeCell ref="C45:I45"/>
    <mergeCell ref="C47:I47"/>
    <mergeCell ref="A49:I49"/>
    <mergeCell ref="D37:I37"/>
    <mergeCell ref="D38:I38"/>
    <mergeCell ref="C39:I39"/>
    <mergeCell ref="A41:I41"/>
    <mergeCell ref="C43:I43"/>
    <mergeCell ref="A35:I35"/>
    <mergeCell ref="A20:I20"/>
    <mergeCell ref="F22:I22"/>
    <mergeCell ref="F23:I23"/>
    <mergeCell ref="F24:I24"/>
    <mergeCell ref="F25:I25"/>
    <mergeCell ref="F26:I26"/>
    <mergeCell ref="F27:I27"/>
    <mergeCell ref="A29:I29"/>
    <mergeCell ref="D31:I31"/>
    <mergeCell ref="D32:I32"/>
    <mergeCell ref="C33:I33"/>
    <mergeCell ref="A15:A17"/>
    <mergeCell ref="A3:I3"/>
    <mergeCell ref="A5:B5"/>
    <mergeCell ref="D5:I5"/>
    <mergeCell ref="A6:B6"/>
    <mergeCell ref="D6:I6"/>
    <mergeCell ref="A7:B7"/>
    <mergeCell ref="D7:I7"/>
    <mergeCell ref="A8:B8"/>
    <mergeCell ref="D8:I8"/>
    <mergeCell ref="A9:B9"/>
    <mergeCell ref="D9:I9"/>
    <mergeCell ref="A11:I11"/>
    <mergeCell ref="A51:B51"/>
    <mergeCell ref="A86:I86"/>
    <mergeCell ref="A87:I87"/>
    <mergeCell ref="A88:I88"/>
    <mergeCell ref="A89:I89"/>
    <mergeCell ref="D99:E99"/>
    <mergeCell ref="D100:E100"/>
    <mergeCell ref="A90:I90"/>
    <mergeCell ref="A92:I92"/>
    <mergeCell ref="A93:I93"/>
    <mergeCell ref="A94:I94"/>
    <mergeCell ref="A95:I95"/>
  </mergeCells>
  <pageMargins left="0.70866141732283472" right="0.70866141732283472" top="0.78740157480314965" bottom="0.78740157480314965" header="0.31496062992125984" footer="0.31496062992125984"/>
  <pageSetup paperSize="9" scale="73" firstPageNumber="111" fitToHeight="7" orientation="portrait" useFirstPageNumber="1" r:id="rId1"/>
  <headerFoot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zoomScale="150" zoomScaleNormal="150" workbookViewId="0">
      <selection activeCell="A107" sqref="A107:XFD107"/>
    </sheetView>
  </sheetViews>
  <sheetFormatPr defaultColWidth="6.5" defaultRowHeight="8.25" x14ac:dyDescent="0.15"/>
  <cols>
    <col min="1" max="1" width="5.5" style="1" customWidth="1"/>
    <col min="2" max="2" width="6.5" customWidth="1"/>
    <col min="3" max="3" width="36.75" customWidth="1"/>
    <col min="4" max="4" width="9.5" customWidth="1"/>
    <col min="5" max="6" width="11" customWidth="1"/>
    <col min="7" max="7" width="12" customWidth="1"/>
    <col min="8" max="8" width="8.75" customWidth="1"/>
    <col min="9" max="9" width="11" customWidth="1"/>
    <col min="10" max="10" width="12.5" customWidth="1"/>
    <col min="11"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2" customFormat="1" ht="15.75" x14ac:dyDescent="0.25">
      <c r="A1" s="1019" t="s">
        <v>87</v>
      </c>
      <c r="B1" s="1019"/>
      <c r="C1" s="1019"/>
      <c r="D1" s="1019"/>
      <c r="E1" s="1019"/>
      <c r="F1" s="1019"/>
      <c r="G1" s="1019"/>
      <c r="H1" s="1019"/>
      <c r="I1" s="1019"/>
      <c r="J1" s="1019"/>
      <c r="K1" s="1019"/>
      <c r="L1" s="1019"/>
      <c r="M1" s="1019"/>
      <c r="N1" s="1019"/>
      <c r="O1" s="1019"/>
      <c r="P1" s="1019"/>
      <c r="Q1" s="1019"/>
      <c r="R1" s="1019"/>
      <c r="S1" s="1019"/>
      <c r="T1" s="1019"/>
      <c r="U1" s="1019"/>
      <c r="V1" s="1019"/>
      <c r="W1" s="1019"/>
      <c r="X1" s="1019"/>
    </row>
    <row r="3" spans="1:24" s="3" customFormat="1" ht="9.75" customHeight="1" x14ac:dyDescent="0.2">
      <c r="A3" s="1012" t="s">
        <v>40</v>
      </c>
      <c r="B3" s="1022" t="s">
        <v>41</v>
      </c>
      <c r="C3" s="1023"/>
      <c r="D3" s="1028" t="s">
        <v>42</v>
      </c>
      <c r="E3" s="1031" t="s">
        <v>34</v>
      </c>
      <c r="F3" s="1032"/>
      <c r="G3" s="1032"/>
      <c r="H3" s="1032"/>
      <c r="I3" s="1033"/>
      <c r="J3" s="1031" t="s">
        <v>39</v>
      </c>
      <c r="K3" s="1032"/>
      <c r="L3" s="1032"/>
      <c r="M3" s="1032"/>
      <c r="N3" s="1033"/>
      <c r="O3" s="1031" t="s">
        <v>43</v>
      </c>
      <c r="P3" s="1032"/>
      <c r="Q3" s="1032"/>
      <c r="R3" s="1032"/>
      <c r="S3" s="1033"/>
      <c r="T3" s="1031" t="s">
        <v>38</v>
      </c>
      <c r="U3" s="1032"/>
      <c r="V3" s="1032"/>
      <c r="W3" s="1032"/>
      <c r="X3" s="1033"/>
    </row>
    <row r="4" spans="1:24" s="4" customFormat="1" ht="9.75" customHeight="1" x14ac:dyDescent="0.2">
      <c r="A4" s="1020"/>
      <c r="B4" s="1024"/>
      <c r="C4" s="1025"/>
      <c r="D4" s="1029"/>
      <c r="E4" s="1014" t="s">
        <v>44</v>
      </c>
      <c r="F4" s="1016" t="s">
        <v>336</v>
      </c>
      <c r="G4" s="1017"/>
      <c r="H4" s="1018"/>
      <c r="I4" s="1012" t="s">
        <v>337</v>
      </c>
      <c r="J4" s="1014" t="s">
        <v>44</v>
      </c>
      <c r="K4" s="1016" t="s">
        <v>336</v>
      </c>
      <c r="L4" s="1017"/>
      <c r="M4" s="1018"/>
      <c r="N4" s="1012" t="s">
        <v>337</v>
      </c>
      <c r="O4" s="1014" t="s">
        <v>44</v>
      </c>
      <c r="P4" s="1016" t="s">
        <v>336</v>
      </c>
      <c r="Q4" s="1017"/>
      <c r="R4" s="1018"/>
      <c r="S4" s="1012" t="s">
        <v>337</v>
      </c>
      <c r="T4" s="1014" t="s">
        <v>44</v>
      </c>
      <c r="U4" s="1016" t="s">
        <v>336</v>
      </c>
      <c r="V4" s="1017"/>
      <c r="W4" s="1018"/>
      <c r="X4" s="1012" t="s">
        <v>337</v>
      </c>
    </row>
    <row r="5" spans="1:24" s="5" customFormat="1" ht="9.75" customHeight="1" x14ac:dyDescent="0.2">
      <c r="A5" s="1021"/>
      <c r="B5" s="1026"/>
      <c r="C5" s="1027"/>
      <c r="D5" s="1030"/>
      <c r="E5" s="1015"/>
      <c r="F5" s="14" t="s">
        <v>35</v>
      </c>
      <c r="G5" s="15" t="s">
        <v>36</v>
      </c>
      <c r="H5" s="14" t="s">
        <v>37</v>
      </c>
      <c r="I5" s="1013"/>
      <c r="J5" s="1015"/>
      <c r="K5" s="14" t="s">
        <v>35</v>
      </c>
      <c r="L5" s="15" t="s">
        <v>36</v>
      </c>
      <c r="M5" s="14" t="s">
        <v>37</v>
      </c>
      <c r="N5" s="1013"/>
      <c r="O5" s="1015"/>
      <c r="P5" s="14" t="s">
        <v>35</v>
      </c>
      <c r="Q5" s="15" t="s">
        <v>36</v>
      </c>
      <c r="R5" s="14" t="s">
        <v>37</v>
      </c>
      <c r="S5" s="1013"/>
      <c r="T5" s="1015"/>
      <c r="U5" s="14" t="s">
        <v>35</v>
      </c>
      <c r="V5" s="15" t="s">
        <v>36</v>
      </c>
      <c r="W5" s="14" t="s">
        <v>37</v>
      </c>
      <c r="X5" s="1013"/>
    </row>
    <row r="6" spans="1:24" s="3" customFormat="1" ht="9.75" customHeight="1" x14ac:dyDescent="0.2">
      <c r="A6" s="16" t="s">
        <v>0</v>
      </c>
      <c r="B6" s="1007" t="s">
        <v>1</v>
      </c>
      <c r="C6" s="1007"/>
      <c r="D6" s="17" t="s">
        <v>25</v>
      </c>
      <c r="E6" s="52">
        <f>SUM(E7:E9)</f>
        <v>42585985</v>
      </c>
      <c r="F6" s="52">
        <f>SUM(F7:F9)</f>
        <v>45066463.5</v>
      </c>
      <c r="G6" s="52">
        <f>SUM(G7:G9)</f>
        <v>44688188.959999993</v>
      </c>
      <c r="H6" s="18">
        <f t="shared" ref="H6:H36" si="0">G6/F6*100</f>
        <v>99.160629633163893</v>
      </c>
      <c r="I6" s="52">
        <f>SUM(I7:I9)</f>
        <v>40578058.490000002</v>
      </c>
      <c r="J6" s="52">
        <f>SUM(J7:J9)</f>
        <v>13126400</v>
      </c>
      <c r="K6" s="52">
        <f t="shared" ref="K6:X6" si="1">SUM(K7:K9)</f>
        <v>14455211.5</v>
      </c>
      <c r="L6" s="52">
        <f t="shared" si="1"/>
        <v>14098484.800000001</v>
      </c>
      <c r="M6" s="18">
        <f t="shared" ref="M6:M36" si="2">L6/K6*100</f>
        <v>97.532193147087469</v>
      </c>
      <c r="N6" s="69">
        <f t="shared" si="1"/>
        <v>12956511.49</v>
      </c>
      <c r="O6" s="52">
        <f t="shared" si="1"/>
        <v>29459585</v>
      </c>
      <c r="P6" s="52">
        <f t="shared" si="1"/>
        <v>30611252</v>
      </c>
      <c r="Q6" s="52">
        <f t="shared" si="1"/>
        <v>30589704.16</v>
      </c>
      <c r="R6" s="18">
        <f t="shared" ref="R6:R36" si="3">Q6/P6*100</f>
        <v>99.929608106195715</v>
      </c>
      <c r="S6" s="52">
        <f t="shared" si="1"/>
        <v>27621547</v>
      </c>
      <c r="T6" s="52">
        <f t="shared" si="1"/>
        <v>1680000</v>
      </c>
      <c r="U6" s="52">
        <f t="shared" si="1"/>
        <v>1680000</v>
      </c>
      <c r="V6" s="52">
        <f t="shared" si="1"/>
        <v>1093723.8899999999</v>
      </c>
      <c r="W6" s="18">
        <f t="shared" ref="W6:W36" si="4">V6/U6*100</f>
        <v>65.102612499999992</v>
      </c>
      <c r="X6" s="52">
        <f t="shared" si="1"/>
        <v>1512935</v>
      </c>
    </row>
    <row r="7" spans="1:24" s="3" customFormat="1" ht="9.75" x14ac:dyDescent="0.2">
      <c r="A7" s="19" t="s">
        <v>2</v>
      </c>
      <c r="B7" s="1010" t="s">
        <v>46</v>
      </c>
      <c r="C7" s="1011"/>
      <c r="D7" s="47" t="s">
        <v>25</v>
      </c>
      <c r="E7" s="53">
        <f t="shared" ref="E7:G10" si="5">SUM(J7,O7)</f>
        <v>7423900</v>
      </c>
      <c r="F7" s="54">
        <f t="shared" si="5"/>
        <v>7727916.5</v>
      </c>
      <c r="G7" s="54">
        <f t="shared" si="5"/>
        <v>7373351.6600000001</v>
      </c>
      <c r="H7" s="6">
        <f t="shared" si="0"/>
        <v>95.411896078328482</v>
      </c>
      <c r="I7" s="60">
        <f>SUM(N7,S7)</f>
        <v>7007780.4900000002</v>
      </c>
      <c r="J7" s="548">
        <v>7423900</v>
      </c>
      <c r="K7" s="549">
        <f>7423900+15000+13515+59161+35700+39900+5000+9000+104550+5290.5+10900+6000</f>
        <v>7727916.5</v>
      </c>
      <c r="L7" s="71">
        <v>7373351.6600000001</v>
      </c>
      <c r="M7" s="6">
        <f t="shared" si="2"/>
        <v>95.411896078328482</v>
      </c>
      <c r="N7" s="83">
        <v>7007780.4900000002</v>
      </c>
      <c r="O7" s="77"/>
      <c r="P7" s="62"/>
      <c r="Q7" s="62"/>
      <c r="R7" s="6" t="e">
        <f t="shared" si="3"/>
        <v>#DIV/0!</v>
      </c>
      <c r="S7" s="76"/>
      <c r="T7" s="77">
        <v>1680000</v>
      </c>
      <c r="U7" s="71">
        <v>1680000</v>
      </c>
      <c r="V7" s="71">
        <v>1093723.8899999999</v>
      </c>
      <c r="W7" s="6">
        <f t="shared" si="4"/>
        <v>65.102612499999992</v>
      </c>
      <c r="X7" s="133">
        <v>1512935</v>
      </c>
    </row>
    <row r="8" spans="1:24" s="3" customFormat="1" ht="9.75" x14ac:dyDescent="0.2">
      <c r="A8" s="20" t="s">
        <v>3</v>
      </c>
      <c r="B8" s="1005" t="s">
        <v>47</v>
      </c>
      <c r="C8" s="1006"/>
      <c r="D8" s="48" t="s">
        <v>25</v>
      </c>
      <c r="E8" s="55">
        <f t="shared" si="5"/>
        <v>2500</v>
      </c>
      <c r="F8" s="56">
        <f t="shared" si="5"/>
        <v>2500</v>
      </c>
      <c r="G8" s="56">
        <f t="shared" si="5"/>
        <v>338.14</v>
      </c>
      <c r="H8" s="7">
        <f t="shared" si="0"/>
        <v>13.525599999999999</v>
      </c>
      <c r="I8" s="63">
        <f>SUM(N8,S8)</f>
        <v>1092</v>
      </c>
      <c r="J8" s="550">
        <v>2500</v>
      </c>
      <c r="K8" s="551">
        <v>2500</v>
      </c>
      <c r="L8" s="75">
        <v>338.14</v>
      </c>
      <c r="M8" s="7">
        <f t="shared" si="2"/>
        <v>13.525599999999999</v>
      </c>
      <c r="N8" s="80">
        <v>1092</v>
      </c>
      <c r="O8" s="55"/>
      <c r="P8" s="56"/>
      <c r="Q8" s="56"/>
      <c r="R8" s="7" t="e">
        <f t="shared" si="3"/>
        <v>#DIV/0!</v>
      </c>
      <c r="S8" s="63"/>
      <c r="T8" s="55"/>
      <c r="U8" s="56"/>
      <c r="V8" s="56"/>
      <c r="W8" s="7" t="e">
        <f t="shared" si="4"/>
        <v>#DIV/0!</v>
      </c>
      <c r="X8" s="92"/>
    </row>
    <row r="9" spans="1:24" s="3" customFormat="1" ht="9.75" x14ac:dyDescent="0.2">
      <c r="A9" s="21" t="s">
        <v>4</v>
      </c>
      <c r="B9" s="22" t="s">
        <v>62</v>
      </c>
      <c r="C9" s="23"/>
      <c r="D9" s="50" t="s">
        <v>25</v>
      </c>
      <c r="E9" s="57">
        <f t="shared" si="5"/>
        <v>35159585</v>
      </c>
      <c r="F9" s="58">
        <f t="shared" si="5"/>
        <v>37336047</v>
      </c>
      <c r="G9" s="58">
        <f t="shared" si="5"/>
        <v>37314499.159999996</v>
      </c>
      <c r="H9" s="24">
        <f t="shared" si="0"/>
        <v>99.942286766459219</v>
      </c>
      <c r="I9" s="65">
        <f>SUM(N9,S9)</f>
        <v>33569186</v>
      </c>
      <c r="J9" s="552">
        <v>5700000</v>
      </c>
      <c r="K9" s="553">
        <f>5700000+600000+58000+128000+191000+47795</f>
        <v>6724795</v>
      </c>
      <c r="L9" s="135">
        <v>6724795</v>
      </c>
      <c r="M9" s="24">
        <f t="shared" si="2"/>
        <v>100</v>
      </c>
      <c r="N9" s="136">
        <v>5947639</v>
      </c>
      <c r="O9" s="57">
        <f>28739190+720395</f>
        <v>29459585</v>
      </c>
      <c r="P9" s="58">
        <f>29890857+720395</f>
        <v>30611252</v>
      </c>
      <c r="Q9" s="58">
        <f>29869309+720395.16</f>
        <v>30589704.16</v>
      </c>
      <c r="R9" s="24">
        <f t="shared" si="3"/>
        <v>99.929608106195715</v>
      </c>
      <c r="S9" s="65">
        <v>27621547</v>
      </c>
      <c r="T9" s="57"/>
      <c r="U9" s="58"/>
      <c r="V9" s="58"/>
      <c r="W9" s="24" t="e">
        <f t="shared" si="4"/>
        <v>#DIV/0!</v>
      </c>
      <c r="X9" s="93"/>
    </row>
    <row r="10" spans="1:24" s="3" customFormat="1" ht="9.75" x14ac:dyDescent="0.2">
      <c r="A10" s="16" t="s">
        <v>5</v>
      </c>
      <c r="B10" s="1007" t="s">
        <v>7</v>
      </c>
      <c r="C10" s="1007"/>
      <c r="D10" s="25" t="s">
        <v>25</v>
      </c>
      <c r="E10" s="59">
        <f t="shared" si="5"/>
        <v>0</v>
      </c>
      <c r="F10" s="59"/>
      <c r="G10" s="59">
        <f t="shared" si="5"/>
        <v>0</v>
      </c>
      <c r="H10" s="18" t="e">
        <f t="shared" si="0"/>
        <v>#DIV/0!</v>
      </c>
      <c r="I10" s="67">
        <f>SUM(N10,S10)</f>
        <v>0</v>
      </c>
      <c r="J10" s="68"/>
      <c r="K10" s="59"/>
      <c r="L10" s="59"/>
      <c r="M10" s="18" t="e">
        <f t="shared" si="2"/>
        <v>#DIV/0!</v>
      </c>
      <c r="N10" s="67"/>
      <c r="O10" s="59"/>
      <c r="P10" s="59"/>
      <c r="Q10" s="59"/>
      <c r="R10" s="18" t="e">
        <f t="shared" si="3"/>
        <v>#DIV/0!</v>
      </c>
      <c r="S10" s="67"/>
      <c r="T10" s="59"/>
      <c r="U10" s="59"/>
      <c r="V10" s="59"/>
      <c r="W10" s="18" t="e">
        <f t="shared" si="4"/>
        <v>#DIV/0!</v>
      </c>
      <c r="X10" s="59"/>
    </row>
    <row r="11" spans="1:24" s="3" customFormat="1" ht="9.75" x14ac:dyDescent="0.2">
      <c r="A11" s="16" t="s">
        <v>6</v>
      </c>
      <c r="B11" s="1007" t="s">
        <v>9</v>
      </c>
      <c r="C11" s="1007"/>
      <c r="D11" s="25" t="s">
        <v>25</v>
      </c>
      <c r="E11" s="52">
        <f>SUM(E12:E31)</f>
        <v>42585985.159999996</v>
      </c>
      <c r="F11" s="52">
        <f>SUM(F12:F31)</f>
        <v>45066463.659999996</v>
      </c>
      <c r="G11" s="52">
        <f>SUM(G12:G31)</f>
        <v>44698643.969999999</v>
      </c>
      <c r="H11" s="18">
        <f t="shared" si="0"/>
        <v>99.183828372301448</v>
      </c>
      <c r="I11" s="69">
        <f>SUM(I12:I31)</f>
        <v>40685010</v>
      </c>
      <c r="J11" s="52">
        <f>SUM(J12:J31)</f>
        <v>13126400</v>
      </c>
      <c r="K11" s="52">
        <f>SUM(K12:K31)</f>
        <v>14455211.5</v>
      </c>
      <c r="L11" s="52">
        <f>SUM(L12:L31)</f>
        <v>14108939.810000001</v>
      </c>
      <c r="M11" s="18">
        <f t="shared" si="2"/>
        <v>97.604520072224474</v>
      </c>
      <c r="N11" s="69">
        <f>SUM(N12:N32)</f>
        <v>13073913</v>
      </c>
      <c r="O11" s="52">
        <f>SUM(O12:O31)</f>
        <v>29459585.159999996</v>
      </c>
      <c r="P11" s="52">
        <f>SUM(P12:P31)</f>
        <v>30611252.159999996</v>
      </c>
      <c r="Q11" s="52">
        <f>SUM(Q12:Q31)</f>
        <v>30589704.16</v>
      </c>
      <c r="R11" s="18">
        <f t="shared" si="3"/>
        <v>99.929607583880042</v>
      </c>
      <c r="S11" s="69">
        <f>SUM(S12:S31)</f>
        <v>27621547</v>
      </c>
      <c r="T11" s="52">
        <f>SUM(T12:T31)</f>
        <v>1655150</v>
      </c>
      <c r="U11" s="52">
        <f>SUM(U12:U31)</f>
        <v>1655150</v>
      </c>
      <c r="V11" s="52">
        <f>SUM(V12:V31)</f>
        <v>997784.61</v>
      </c>
      <c r="W11" s="18">
        <f t="shared" si="4"/>
        <v>60.283636528411321</v>
      </c>
      <c r="X11" s="52">
        <f>SUM(X12:X31)</f>
        <v>1377137.92</v>
      </c>
    </row>
    <row r="12" spans="1:24" s="3" customFormat="1" ht="9.75" x14ac:dyDescent="0.2">
      <c r="A12" s="26" t="s">
        <v>8</v>
      </c>
      <c r="B12" s="1008" t="s">
        <v>28</v>
      </c>
      <c r="C12" s="1009"/>
      <c r="D12" s="51" t="s">
        <v>25</v>
      </c>
      <c r="E12" s="53">
        <f t="shared" ref="E12:I27" si="6">SUM(J12,O12)</f>
        <v>5720594</v>
      </c>
      <c r="F12" s="54">
        <f t="shared" si="6"/>
        <v>6240651.5</v>
      </c>
      <c r="G12" s="54">
        <f t="shared" si="6"/>
        <v>6144679.6299999999</v>
      </c>
      <c r="H12" s="6">
        <f t="shared" si="0"/>
        <v>98.462149825222582</v>
      </c>
      <c r="I12" s="60">
        <f t="shared" si="6"/>
        <v>6062391</v>
      </c>
      <c r="J12" s="138">
        <v>5450000</v>
      </c>
      <c r="K12" s="554">
        <f>5450000+35467+58000+5000+9000+61300+1720+3570.5+6000+340000</f>
        <v>5970057.5</v>
      </c>
      <c r="L12" s="71">
        <v>5874085.8399999999</v>
      </c>
      <c r="M12" s="6">
        <f t="shared" si="2"/>
        <v>98.392449988965765</v>
      </c>
      <c r="N12" s="78">
        <v>5670955</v>
      </c>
      <c r="O12" s="79">
        <f>211883+58711</f>
        <v>270594</v>
      </c>
      <c r="P12" s="71">
        <f>211883+58711</f>
        <v>270594</v>
      </c>
      <c r="Q12" s="71">
        <f>211882.79+58711</f>
        <v>270593.79000000004</v>
      </c>
      <c r="R12" s="6">
        <f t="shared" si="3"/>
        <v>99.999922392957728</v>
      </c>
      <c r="S12" s="83">
        <v>391436</v>
      </c>
      <c r="T12" s="79">
        <v>872000</v>
      </c>
      <c r="U12" s="71">
        <v>872000</v>
      </c>
      <c r="V12" s="71">
        <v>356517.32</v>
      </c>
      <c r="W12" s="6">
        <f t="shared" si="4"/>
        <v>40.885013761467889</v>
      </c>
      <c r="X12" s="94">
        <v>661920.75</v>
      </c>
    </row>
    <row r="13" spans="1:24" s="3" customFormat="1" ht="9.75" x14ac:dyDescent="0.2">
      <c r="A13" s="27" t="s">
        <v>10</v>
      </c>
      <c r="B13" s="997" t="s">
        <v>29</v>
      </c>
      <c r="C13" s="998"/>
      <c r="D13" s="48" t="s">
        <v>25</v>
      </c>
      <c r="E13" s="55">
        <f t="shared" si="6"/>
        <v>2348000</v>
      </c>
      <c r="F13" s="56">
        <f t="shared" si="6"/>
        <v>1649000</v>
      </c>
      <c r="G13" s="56">
        <f t="shared" si="6"/>
        <v>1639539.66</v>
      </c>
      <c r="H13" s="7">
        <f t="shared" si="0"/>
        <v>99.426298362644019</v>
      </c>
      <c r="I13" s="63">
        <f t="shared" si="6"/>
        <v>2034744</v>
      </c>
      <c r="J13" s="139">
        <v>2348000</v>
      </c>
      <c r="K13" s="555">
        <f>2348000-9000-300000-390000</f>
        <v>1649000</v>
      </c>
      <c r="L13" s="75">
        <v>1639539.66</v>
      </c>
      <c r="M13" s="7">
        <f t="shared" si="2"/>
        <v>99.426298362644019</v>
      </c>
      <c r="N13" s="80">
        <v>2034744</v>
      </c>
      <c r="O13" s="55"/>
      <c r="P13" s="56"/>
      <c r="Q13" s="75"/>
      <c r="R13" s="7" t="e">
        <f t="shared" si="3"/>
        <v>#DIV/0!</v>
      </c>
      <c r="S13" s="80"/>
      <c r="T13" s="55">
        <v>225000</v>
      </c>
      <c r="U13" s="75">
        <v>225000</v>
      </c>
      <c r="V13" s="75">
        <v>334200.65999999997</v>
      </c>
      <c r="W13" s="7">
        <f t="shared" si="4"/>
        <v>148.53362666666666</v>
      </c>
      <c r="X13" s="134">
        <v>261604</v>
      </c>
    </row>
    <row r="14" spans="1:24" s="3" customFormat="1" ht="9.75" x14ac:dyDescent="0.2">
      <c r="A14" s="27" t="s">
        <v>11</v>
      </c>
      <c r="B14" s="418" t="s">
        <v>63</v>
      </c>
      <c r="C14" s="419"/>
      <c r="D14" s="48" t="s">
        <v>25</v>
      </c>
      <c r="E14" s="55">
        <f t="shared" si="6"/>
        <v>0</v>
      </c>
      <c r="F14" s="56">
        <f t="shared" si="6"/>
        <v>0</v>
      </c>
      <c r="G14" s="56">
        <f t="shared" si="6"/>
        <v>0</v>
      </c>
      <c r="H14" s="7" t="e">
        <f t="shared" si="0"/>
        <v>#DIV/0!</v>
      </c>
      <c r="I14" s="63">
        <f t="shared" si="6"/>
        <v>0</v>
      </c>
      <c r="J14" s="139"/>
      <c r="K14" s="555"/>
      <c r="L14" s="75"/>
      <c r="M14" s="7" t="e">
        <f t="shared" si="2"/>
        <v>#DIV/0!</v>
      </c>
      <c r="N14" s="80"/>
      <c r="O14" s="55"/>
      <c r="P14" s="56"/>
      <c r="Q14" s="75"/>
      <c r="R14" s="7" t="e">
        <f t="shared" si="3"/>
        <v>#DIV/0!</v>
      </c>
      <c r="S14" s="80"/>
      <c r="T14" s="55"/>
      <c r="U14" s="75"/>
      <c r="V14" s="75"/>
      <c r="W14" s="7" t="e">
        <f t="shared" si="4"/>
        <v>#DIV/0!</v>
      </c>
      <c r="X14" s="134"/>
    </row>
    <row r="15" spans="1:24" s="3" customFormat="1" ht="9.75" x14ac:dyDescent="0.2">
      <c r="A15" s="27" t="s">
        <v>12</v>
      </c>
      <c r="B15" s="997" t="s">
        <v>64</v>
      </c>
      <c r="C15" s="998"/>
      <c r="D15" s="48" t="s">
        <v>25</v>
      </c>
      <c r="E15" s="55">
        <f t="shared" si="6"/>
        <v>490000</v>
      </c>
      <c r="F15" s="56">
        <f t="shared" si="6"/>
        <v>1624232</v>
      </c>
      <c r="G15" s="56">
        <f t="shared" si="6"/>
        <v>1616903.98</v>
      </c>
      <c r="H15" s="7">
        <f t="shared" si="0"/>
        <v>99.548831693994458</v>
      </c>
      <c r="I15" s="63">
        <f t="shared" si="6"/>
        <v>798478</v>
      </c>
      <c r="J15" s="139">
        <v>490000</v>
      </c>
      <c r="K15" s="555">
        <f>490000+13515+59161+35700+39900+274161+300000+128000+191000+47795+45000</f>
        <v>1624232</v>
      </c>
      <c r="L15" s="75">
        <v>1616903.98</v>
      </c>
      <c r="M15" s="7">
        <f t="shared" si="2"/>
        <v>99.548831693994458</v>
      </c>
      <c r="N15" s="80">
        <v>798478</v>
      </c>
      <c r="O15" s="55"/>
      <c r="P15" s="56"/>
      <c r="Q15" s="75"/>
      <c r="R15" s="7" t="e">
        <f t="shared" si="3"/>
        <v>#DIV/0!</v>
      </c>
      <c r="S15" s="80"/>
      <c r="T15" s="55">
        <v>47500</v>
      </c>
      <c r="U15" s="75">
        <v>47500</v>
      </c>
      <c r="V15" s="75">
        <v>29923.97</v>
      </c>
      <c r="W15" s="7">
        <f t="shared" si="4"/>
        <v>62.99783157894737</v>
      </c>
      <c r="X15" s="134">
        <v>24142.17</v>
      </c>
    </row>
    <row r="16" spans="1:24" s="3" customFormat="1" ht="9.75" x14ac:dyDescent="0.2">
      <c r="A16" s="27" t="s">
        <v>13</v>
      </c>
      <c r="B16" s="997" t="s">
        <v>30</v>
      </c>
      <c r="C16" s="998"/>
      <c r="D16" s="48" t="s">
        <v>25</v>
      </c>
      <c r="E16" s="55">
        <f t="shared" si="6"/>
        <v>46702</v>
      </c>
      <c r="F16" s="56">
        <f t="shared" si="6"/>
        <v>46702</v>
      </c>
      <c r="G16" s="56">
        <f t="shared" si="6"/>
        <v>43176</v>
      </c>
      <c r="H16" s="7">
        <f t="shared" si="0"/>
        <v>92.450002141235927</v>
      </c>
      <c r="I16" s="63">
        <f t="shared" si="6"/>
        <v>34163</v>
      </c>
      <c r="J16" s="139">
        <v>10000</v>
      </c>
      <c r="K16" s="555">
        <v>10000</v>
      </c>
      <c r="L16" s="75">
        <v>6474</v>
      </c>
      <c r="M16" s="7">
        <f t="shared" si="2"/>
        <v>64.739999999999995</v>
      </c>
      <c r="N16" s="80">
        <v>2107</v>
      </c>
      <c r="O16" s="55">
        <f>34718+1984</f>
        <v>36702</v>
      </c>
      <c r="P16" s="56">
        <f>34718+1984</f>
        <v>36702</v>
      </c>
      <c r="Q16" s="75">
        <f>34718+1984</f>
        <v>36702</v>
      </c>
      <c r="R16" s="7">
        <f t="shared" si="3"/>
        <v>100</v>
      </c>
      <c r="S16" s="80">
        <v>32056</v>
      </c>
      <c r="T16" s="55"/>
      <c r="U16" s="75"/>
      <c r="V16" s="75"/>
      <c r="W16" s="7" t="e">
        <f t="shared" si="4"/>
        <v>#DIV/0!</v>
      </c>
      <c r="X16" s="134"/>
    </row>
    <row r="17" spans="1:24" s="3" customFormat="1" ht="9.75" x14ac:dyDescent="0.2">
      <c r="A17" s="27" t="s">
        <v>14</v>
      </c>
      <c r="B17" s="418" t="s">
        <v>48</v>
      </c>
      <c r="C17" s="419"/>
      <c r="D17" s="48" t="s">
        <v>25</v>
      </c>
      <c r="E17" s="55">
        <f t="shared" si="6"/>
        <v>5000</v>
      </c>
      <c r="F17" s="56">
        <f t="shared" si="6"/>
        <v>5000</v>
      </c>
      <c r="G17" s="56">
        <f t="shared" si="6"/>
        <v>1339</v>
      </c>
      <c r="H17" s="7">
        <f t="shared" si="0"/>
        <v>26.779999999999998</v>
      </c>
      <c r="I17" s="63">
        <f t="shared" si="6"/>
        <v>862</v>
      </c>
      <c r="J17" s="139">
        <v>5000</v>
      </c>
      <c r="K17" s="555">
        <v>5000</v>
      </c>
      <c r="L17" s="75">
        <v>1339</v>
      </c>
      <c r="M17" s="7">
        <f t="shared" si="2"/>
        <v>26.779999999999998</v>
      </c>
      <c r="N17" s="80">
        <v>862</v>
      </c>
      <c r="O17" s="55"/>
      <c r="P17" s="56"/>
      <c r="Q17" s="75"/>
      <c r="R17" s="7" t="e">
        <f t="shared" si="3"/>
        <v>#DIV/0!</v>
      </c>
      <c r="S17" s="80"/>
      <c r="T17" s="55"/>
      <c r="U17" s="75"/>
      <c r="V17" s="75"/>
      <c r="W17" s="7" t="e">
        <f t="shared" si="4"/>
        <v>#DIV/0!</v>
      </c>
      <c r="X17" s="134"/>
    </row>
    <row r="18" spans="1:24" s="3" customFormat="1" ht="9.75" x14ac:dyDescent="0.2">
      <c r="A18" s="27" t="s">
        <v>15</v>
      </c>
      <c r="B18" s="997" t="s">
        <v>31</v>
      </c>
      <c r="C18" s="998"/>
      <c r="D18" s="48" t="s">
        <v>25</v>
      </c>
      <c r="E18" s="55">
        <f t="shared" si="6"/>
        <v>1080093.6499999999</v>
      </c>
      <c r="F18" s="56">
        <f t="shared" si="6"/>
        <v>989093.65</v>
      </c>
      <c r="G18" s="56">
        <f t="shared" si="6"/>
        <v>950744.09</v>
      </c>
      <c r="H18" s="7">
        <f t="shared" si="0"/>
        <v>96.122757435557276</v>
      </c>
      <c r="I18" s="63">
        <f t="shared" si="6"/>
        <v>928854</v>
      </c>
      <c r="J18" s="139">
        <v>915000</v>
      </c>
      <c r="K18" s="555">
        <f>915000-45000-46000</f>
        <v>824000</v>
      </c>
      <c r="L18" s="75">
        <v>785650.44</v>
      </c>
      <c r="M18" s="7">
        <f t="shared" si="2"/>
        <v>95.345927184466021</v>
      </c>
      <c r="N18" s="80">
        <v>790206</v>
      </c>
      <c r="O18" s="55">
        <f>56340+108753.65</f>
        <v>165093.65</v>
      </c>
      <c r="P18" s="55">
        <f>56340+108753.65</f>
        <v>165093.65</v>
      </c>
      <c r="Q18" s="55">
        <f>56340+108753.65</f>
        <v>165093.65</v>
      </c>
      <c r="R18" s="7">
        <f t="shared" si="3"/>
        <v>100</v>
      </c>
      <c r="S18" s="80">
        <v>138648</v>
      </c>
      <c r="T18" s="55">
        <v>23500</v>
      </c>
      <c r="U18" s="75">
        <v>23500</v>
      </c>
      <c r="V18" s="75">
        <v>7014.26</v>
      </c>
      <c r="W18" s="7">
        <f t="shared" si="4"/>
        <v>29.847914893617023</v>
      </c>
      <c r="X18" s="134">
        <v>14413</v>
      </c>
    </row>
    <row r="19" spans="1:24" s="8" customFormat="1" ht="9.75" x14ac:dyDescent="0.2">
      <c r="A19" s="27" t="s">
        <v>16</v>
      </c>
      <c r="B19" s="997" t="s">
        <v>32</v>
      </c>
      <c r="C19" s="998"/>
      <c r="D19" s="48" t="s">
        <v>25</v>
      </c>
      <c r="E19" s="55">
        <f t="shared" si="6"/>
        <v>22227700</v>
      </c>
      <c r="F19" s="56">
        <f t="shared" si="6"/>
        <v>23074033</v>
      </c>
      <c r="G19" s="75">
        <f t="shared" si="6"/>
        <v>23133933</v>
      </c>
      <c r="H19" s="7">
        <f t="shared" si="0"/>
        <v>100.25959917800238</v>
      </c>
      <c r="I19" s="63">
        <f t="shared" si="6"/>
        <v>20982333</v>
      </c>
      <c r="J19" s="140">
        <v>1403900</v>
      </c>
      <c r="K19" s="556">
        <f>1403900+10900</f>
        <v>1414800</v>
      </c>
      <c r="L19" s="75">
        <f>1275449+105900+15185</f>
        <v>1396534</v>
      </c>
      <c r="M19" s="7">
        <f t="shared" si="2"/>
        <v>98.708934124964671</v>
      </c>
      <c r="N19" s="80">
        <v>1102705</v>
      </c>
      <c r="O19" s="55">
        <f>20534800+33000+256000</f>
        <v>20823800</v>
      </c>
      <c r="P19" s="55">
        <f>21403233+256000</f>
        <v>21659233</v>
      </c>
      <c r="Q19" s="55">
        <v>21737399</v>
      </c>
      <c r="R19" s="7">
        <f t="shared" si="3"/>
        <v>100.36088997241961</v>
      </c>
      <c r="S19" s="80">
        <f>19259700+523282+25000+71646</f>
        <v>19879628</v>
      </c>
      <c r="T19" s="84">
        <v>275000</v>
      </c>
      <c r="U19" s="141">
        <v>275000</v>
      </c>
      <c r="V19" s="141">
        <f>134027+9870+325</f>
        <v>144222</v>
      </c>
      <c r="W19" s="7">
        <f t="shared" si="4"/>
        <v>52.444363636363633</v>
      </c>
      <c r="X19" s="142">
        <v>250788</v>
      </c>
    </row>
    <row r="20" spans="1:24" s="3" customFormat="1" ht="9.75" x14ac:dyDescent="0.2">
      <c r="A20" s="27" t="s">
        <v>17</v>
      </c>
      <c r="B20" s="997" t="s">
        <v>49</v>
      </c>
      <c r="C20" s="998"/>
      <c r="D20" s="48" t="s">
        <v>25</v>
      </c>
      <c r="E20" s="55">
        <f t="shared" si="6"/>
        <v>8010610.5099999998</v>
      </c>
      <c r="F20" s="56">
        <f t="shared" si="6"/>
        <v>8308974.5099999998</v>
      </c>
      <c r="G20" s="75">
        <f t="shared" si="6"/>
        <v>7808832.9100000001</v>
      </c>
      <c r="H20" s="7">
        <f t="shared" si="0"/>
        <v>93.980706049849232</v>
      </c>
      <c r="I20" s="63">
        <f t="shared" si="6"/>
        <v>7124771</v>
      </c>
      <c r="J20" s="139">
        <v>549000</v>
      </c>
      <c r="K20" s="555">
        <v>549000</v>
      </c>
      <c r="L20" s="75">
        <v>426681.17</v>
      </c>
      <c r="M20" s="7">
        <f t="shared" si="2"/>
        <v>77.719703096539163</v>
      </c>
      <c r="N20" s="80">
        <v>328239</v>
      </c>
      <c r="O20" s="55">
        <f>7403700+57910.51</f>
        <v>7461610.5099999998</v>
      </c>
      <c r="P20" s="55">
        <f>7702064+57910.51</f>
        <v>7759974.5099999998</v>
      </c>
      <c r="Q20" s="55">
        <v>7382151.7400000002</v>
      </c>
      <c r="R20" s="7">
        <f t="shared" si="3"/>
        <v>95.131133877912717</v>
      </c>
      <c r="S20" s="80">
        <v>6796532</v>
      </c>
      <c r="T20" s="55">
        <v>97150</v>
      </c>
      <c r="U20" s="75">
        <v>97150</v>
      </c>
      <c r="V20" s="75">
        <v>47298.79</v>
      </c>
      <c r="W20" s="7">
        <f t="shared" si="4"/>
        <v>48.686351003602681</v>
      </c>
      <c r="X20" s="134">
        <v>82787</v>
      </c>
    </row>
    <row r="21" spans="1:24" s="3" customFormat="1" ht="9.75" x14ac:dyDescent="0.2">
      <c r="A21" s="27" t="s">
        <v>18</v>
      </c>
      <c r="B21" s="997" t="s">
        <v>50</v>
      </c>
      <c r="C21" s="998"/>
      <c r="D21" s="48" t="s">
        <v>25</v>
      </c>
      <c r="E21" s="55">
        <f t="shared" si="6"/>
        <v>203064</v>
      </c>
      <c r="F21" s="56">
        <f t="shared" si="6"/>
        <v>220934</v>
      </c>
      <c r="G21" s="75">
        <f t="shared" si="6"/>
        <v>496210.86</v>
      </c>
      <c r="H21" s="7">
        <f t="shared" si="0"/>
        <v>224.59687508486698</v>
      </c>
      <c r="I21" s="63">
        <f t="shared" si="6"/>
        <v>356118</v>
      </c>
      <c r="J21" s="139">
        <v>58000</v>
      </c>
      <c r="K21" s="555">
        <v>58000</v>
      </c>
      <c r="L21" s="75">
        <v>55167.88</v>
      </c>
      <c r="M21" s="7">
        <f t="shared" si="2"/>
        <v>95.117034482758612</v>
      </c>
      <c r="N21" s="80">
        <v>48390</v>
      </c>
      <c r="O21" s="55">
        <f>11211+3146+94010+36697</f>
        <v>145064</v>
      </c>
      <c r="P21" s="82">
        <f>11211+3146+94010+54567</f>
        <v>162934</v>
      </c>
      <c r="Q21" s="55">
        <v>441042.98</v>
      </c>
      <c r="R21" s="7">
        <f t="shared" si="3"/>
        <v>270.68811911571555</v>
      </c>
      <c r="S21" s="80">
        <v>307728</v>
      </c>
      <c r="T21" s="55">
        <v>7000</v>
      </c>
      <c r="U21" s="75">
        <v>7000</v>
      </c>
      <c r="V21" s="75">
        <v>2925.04</v>
      </c>
      <c r="W21" s="7">
        <f t="shared" si="4"/>
        <v>41.786285714285718</v>
      </c>
      <c r="X21" s="134">
        <v>4353</v>
      </c>
    </row>
    <row r="22" spans="1:24" s="3" customFormat="1" ht="9.75" x14ac:dyDescent="0.2">
      <c r="A22" s="27" t="s">
        <v>19</v>
      </c>
      <c r="B22" s="997" t="s">
        <v>65</v>
      </c>
      <c r="C22" s="998"/>
      <c r="D22" s="48" t="s">
        <v>25</v>
      </c>
      <c r="E22" s="55">
        <f t="shared" si="6"/>
        <v>0</v>
      </c>
      <c r="F22" s="56">
        <f t="shared" si="6"/>
        <v>0</v>
      </c>
      <c r="G22" s="75">
        <f t="shared" si="6"/>
        <v>0</v>
      </c>
      <c r="H22" s="7" t="e">
        <f t="shared" si="0"/>
        <v>#DIV/0!</v>
      </c>
      <c r="I22" s="63">
        <f t="shared" si="6"/>
        <v>0</v>
      </c>
      <c r="J22" s="139"/>
      <c r="K22" s="555"/>
      <c r="L22" s="75"/>
      <c r="M22" s="7" t="e">
        <f t="shared" si="2"/>
        <v>#DIV/0!</v>
      </c>
      <c r="N22" s="80"/>
      <c r="O22" s="55"/>
      <c r="P22" s="82"/>
      <c r="Q22" s="55"/>
      <c r="R22" s="7" t="e">
        <f t="shared" si="3"/>
        <v>#DIV/0!</v>
      </c>
      <c r="S22" s="80"/>
      <c r="T22" s="55">
        <v>3500</v>
      </c>
      <c r="U22" s="75">
        <v>3500</v>
      </c>
      <c r="V22" s="75">
        <v>188</v>
      </c>
      <c r="W22" s="7">
        <f t="shared" si="4"/>
        <v>5.3714285714285719</v>
      </c>
      <c r="X22" s="134">
        <v>1500</v>
      </c>
    </row>
    <row r="23" spans="1:24" s="3" customFormat="1" ht="9.75" x14ac:dyDescent="0.2">
      <c r="A23" s="27" t="s">
        <v>20</v>
      </c>
      <c r="B23" s="418" t="s">
        <v>66</v>
      </c>
      <c r="C23" s="419"/>
      <c r="D23" s="48" t="s">
        <v>25</v>
      </c>
      <c r="E23" s="55">
        <f t="shared" si="6"/>
        <v>0</v>
      </c>
      <c r="F23" s="56">
        <f t="shared" si="6"/>
        <v>9000</v>
      </c>
      <c r="G23" s="56">
        <f t="shared" si="6"/>
        <v>9000</v>
      </c>
      <c r="H23" s="7">
        <f t="shared" si="0"/>
        <v>100</v>
      </c>
      <c r="I23" s="63">
        <f t="shared" si="6"/>
        <v>11850</v>
      </c>
      <c r="J23" s="139"/>
      <c r="K23" s="555">
        <v>9000</v>
      </c>
      <c r="L23" s="75">
        <v>9000</v>
      </c>
      <c r="M23" s="7">
        <f t="shared" si="2"/>
        <v>100</v>
      </c>
      <c r="N23" s="80">
        <v>11850</v>
      </c>
      <c r="O23" s="55"/>
      <c r="P23" s="75"/>
      <c r="Q23" s="75"/>
      <c r="R23" s="7" t="e">
        <f t="shared" si="3"/>
        <v>#DIV/0!</v>
      </c>
      <c r="S23" s="80"/>
      <c r="T23" s="55"/>
      <c r="U23" s="75"/>
      <c r="V23" s="75"/>
      <c r="W23" s="7" t="e">
        <f t="shared" si="4"/>
        <v>#DIV/0!</v>
      </c>
      <c r="X23" s="134"/>
    </row>
    <row r="24" spans="1:24" s="3" customFormat="1" ht="9.75" x14ac:dyDescent="0.2">
      <c r="A24" s="27" t="s">
        <v>21</v>
      </c>
      <c r="B24" s="418" t="s">
        <v>73</v>
      </c>
      <c r="C24" s="419"/>
      <c r="D24" s="48" t="s">
        <v>25</v>
      </c>
      <c r="E24" s="55">
        <f t="shared" si="6"/>
        <v>0</v>
      </c>
      <c r="F24" s="56">
        <f t="shared" si="6"/>
        <v>0</v>
      </c>
      <c r="G24" s="56">
        <f t="shared" si="6"/>
        <v>0</v>
      </c>
      <c r="H24" s="7" t="e">
        <f t="shared" si="0"/>
        <v>#DIV/0!</v>
      </c>
      <c r="I24" s="63">
        <f t="shared" si="6"/>
        <v>0</v>
      </c>
      <c r="J24" s="139"/>
      <c r="K24" s="555"/>
      <c r="L24" s="75"/>
      <c r="M24" s="7" t="e">
        <f t="shared" si="2"/>
        <v>#DIV/0!</v>
      </c>
      <c r="N24" s="80"/>
      <c r="O24" s="55"/>
      <c r="P24" s="75"/>
      <c r="Q24" s="75"/>
      <c r="R24" s="7" t="e">
        <f t="shared" si="3"/>
        <v>#DIV/0!</v>
      </c>
      <c r="S24" s="80"/>
      <c r="T24" s="55"/>
      <c r="U24" s="75"/>
      <c r="V24" s="75"/>
      <c r="W24" s="7" t="e">
        <f t="shared" si="4"/>
        <v>#DIV/0!</v>
      </c>
      <c r="X24" s="134"/>
    </row>
    <row r="25" spans="1:24" s="3" customFormat="1" ht="9.75" x14ac:dyDescent="0.2">
      <c r="A25" s="28" t="s">
        <v>22</v>
      </c>
      <c r="B25" s="29" t="s">
        <v>68</v>
      </c>
      <c r="C25" s="30"/>
      <c r="D25" s="48" t="s">
        <v>25</v>
      </c>
      <c r="E25" s="55">
        <f t="shared" si="6"/>
        <v>3000</v>
      </c>
      <c r="F25" s="56">
        <f t="shared" si="6"/>
        <v>3000</v>
      </c>
      <c r="G25" s="56">
        <f t="shared" si="6"/>
        <v>0</v>
      </c>
      <c r="H25" s="7">
        <f t="shared" si="0"/>
        <v>0</v>
      </c>
      <c r="I25" s="63">
        <f t="shared" si="6"/>
        <v>0</v>
      </c>
      <c r="J25" s="139">
        <v>3000</v>
      </c>
      <c r="K25" s="555">
        <v>3000</v>
      </c>
      <c r="L25" s="74">
        <v>0</v>
      </c>
      <c r="M25" s="7">
        <f t="shared" si="2"/>
        <v>0</v>
      </c>
      <c r="N25" s="80"/>
      <c r="O25" s="81"/>
      <c r="P25" s="74"/>
      <c r="Q25" s="74"/>
      <c r="R25" s="7" t="e">
        <f t="shared" si="3"/>
        <v>#DIV/0!</v>
      </c>
      <c r="S25" s="86"/>
      <c r="T25" s="81"/>
      <c r="U25" s="74"/>
      <c r="V25" s="74"/>
      <c r="W25" s="7" t="e">
        <f t="shared" si="4"/>
        <v>#DIV/0!</v>
      </c>
      <c r="X25" s="96"/>
    </row>
    <row r="26" spans="1:24" s="10" customFormat="1" ht="9.75" x14ac:dyDescent="0.2">
      <c r="A26" s="27" t="s">
        <v>23</v>
      </c>
      <c r="B26" s="997" t="s">
        <v>69</v>
      </c>
      <c r="C26" s="998"/>
      <c r="D26" s="48" t="s">
        <v>25</v>
      </c>
      <c r="E26" s="55">
        <f t="shared" si="6"/>
        <v>1500000</v>
      </c>
      <c r="F26" s="56">
        <f t="shared" si="6"/>
        <v>1390000</v>
      </c>
      <c r="G26" s="56">
        <f t="shared" si="6"/>
        <v>1382993.54</v>
      </c>
      <c r="H26" s="11">
        <f t="shared" si="0"/>
        <v>99.495938129496409</v>
      </c>
      <c r="I26" s="63">
        <f t="shared" si="6"/>
        <v>1499697</v>
      </c>
      <c r="J26" s="139">
        <v>1500000</v>
      </c>
      <c r="K26" s="555">
        <f>1500000-110000</f>
        <v>1390000</v>
      </c>
      <c r="L26" s="75">
        <v>1382993.54</v>
      </c>
      <c r="M26" s="7">
        <f t="shared" si="2"/>
        <v>99.495938129496409</v>
      </c>
      <c r="N26" s="80">
        <v>1499697</v>
      </c>
      <c r="O26" s="82"/>
      <c r="P26" s="75"/>
      <c r="Q26" s="75"/>
      <c r="R26" s="7" t="e">
        <f t="shared" si="3"/>
        <v>#DIV/0!</v>
      </c>
      <c r="S26" s="80"/>
      <c r="T26" s="82">
        <v>100000</v>
      </c>
      <c r="U26" s="75">
        <v>100000</v>
      </c>
      <c r="V26" s="75">
        <v>70287.460000000006</v>
      </c>
      <c r="W26" s="7">
        <f t="shared" si="4"/>
        <v>70.287459999999996</v>
      </c>
      <c r="X26" s="134">
        <v>72335</v>
      </c>
    </row>
    <row r="27" spans="1:24" s="12" customFormat="1" ht="9.75" x14ac:dyDescent="0.2">
      <c r="A27" s="27" t="s">
        <v>45</v>
      </c>
      <c r="B27" s="418" t="s">
        <v>70</v>
      </c>
      <c r="C27" s="419"/>
      <c r="D27" s="48" t="s">
        <v>25</v>
      </c>
      <c r="E27" s="55">
        <f t="shared" si="6"/>
        <v>5000</v>
      </c>
      <c r="F27" s="56">
        <f t="shared" si="6"/>
        <v>5000</v>
      </c>
      <c r="G27" s="56">
        <f t="shared" si="6"/>
        <v>1533.6</v>
      </c>
      <c r="H27" s="11">
        <f t="shared" si="0"/>
        <v>30.672000000000001</v>
      </c>
      <c r="I27" s="63">
        <f t="shared" si="6"/>
        <v>5534</v>
      </c>
      <c r="J27" s="139">
        <v>5000</v>
      </c>
      <c r="K27" s="555">
        <v>5000</v>
      </c>
      <c r="L27" s="75">
        <v>1533.6</v>
      </c>
      <c r="M27" s="7">
        <f t="shared" si="2"/>
        <v>30.672000000000001</v>
      </c>
      <c r="N27" s="80">
        <f>-333732+339266</f>
        <v>5534</v>
      </c>
      <c r="O27" s="82"/>
      <c r="P27" s="75"/>
      <c r="Q27" s="75"/>
      <c r="R27" s="7" t="e">
        <f t="shared" si="3"/>
        <v>#DIV/0!</v>
      </c>
      <c r="S27" s="80"/>
      <c r="T27" s="82"/>
      <c r="U27" s="75"/>
      <c r="V27" s="75"/>
      <c r="W27" s="7" t="e">
        <f t="shared" si="4"/>
        <v>#DIV/0!</v>
      </c>
      <c r="X27" s="134"/>
    </row>
    <row r="28" spans="1:24" s="12" customFormat="1" ht="9.75" x14ac:dyDescent="0.2">
      <c r="A28" s="27" t="s">
        <v>51</v>
      </c>
      <c r="B28" s="418" t="s">
        <v>74</v>
      </c>
      <c r="C28" s="419"/>
      <c r="D28" s="48" t="s">
        <v>25</v>
      </c>
      <c r="E28" s="55">
        <f t="shared" ref="E28:G31" si="7">SUM(J28,O28)</f>
        <v>826721</v>
      </c>
      <c r="F28" s="56">
        <f t="shared" si="7"/>
        <v>1331343</v>
      </c>
      <c r="G28" s="56">
        <f t="shared" si="7"/>
        <v>1301791.1800000002</v>
      </c>
      <c r="H28" s="11">
        <f t="shared" si="0"/>
        <v>97.780300042889039</v>
      </c>
      <c r="I28" s="63">
        <f t="shared" ref="I28" si="8">SUM(N28,S28)</f>
        <v>550319</v>
      </c>
      <c r="J28" s="139">
        <v>270000</v>
      </c>
      <c r="K28" s="555">
        <f>270000+15000+290372+43250+110000+46000</f>
        <v>774622</v>
      </c>
      <c r="L28" s="75">
        <v>745070.18</v>
      </c>
      <c r="M28" s="7">
        <f t="shared" si="2"/>
        <v>96.185001200585589</v>
      </c>
      <c r="N28" s="80">
        <v>474800</v>
      </c>
      <c r="O28" s="82">
        <f>322831+233890</f>
        <v>556721</v>
      </c>
      <c r="P28" s="82">
        <f t="shared" ref="P28:Q28" si="9">322831+233890</f>
        <v>556721</v>
      </c>
      <c r="Q28" s="82">
        <f t="shared" si="9"/>
        <v>556721</v>
      </c>
      <c r="R28" s="7">
        <f t="shared" si="3"/>
        <v>100</v>
      </c>
      <c r="S28" s="80">
        <v>75519</v>
      </c>
      <c r="T28" s="82">
        <v>2500</v>
      </c>
      <c r="U28" s="75">
        <v>2500</v>
      </c>
      <c r="V28" s="75">
        <v>3566.61</v>
      </c>
      <c r="W28" s="7">
        <f t="shared" si="4"/>
        <v>142.6644</v>
      </c>
      <c r="X28" s="134">
        <v>2058</v>
      </c>
    </row>
    <row r="29" spans="1:24" s="10" customFormat="1" ht="9.75" x14ac:dyDescent="0.2">
      <c r="A29" s="27" t="s">
        <v>52</v>
      </c>
      <c r="B29" s="997" t="s">
        <v>67</v>
      </c>
      <c r="C29" s="998"/>
      <c r="D29" s="48" t="s">
        <v>25</v>
      </c>
      <c r="E29" s="55">
        <f t="shared" si="7"/>
        <v>119500</v>
      </c>
      <c r="F29" s="56">
        <f t="shared" si="7"/>
        <v>169500</v>
      </c>
      <c r="G29" s="56">
        <f t="shared" si="7"/>
        <v>167966.52</v>
      </c>
      <c r="H29" s="11">
        <f t="shared" si="0"/>
        <v>99.095292035398217</v>
      </c>
      <c r="I29" s="63">
        <f>SUM(N29,S29)</f>
        <v>294896</v>
      </c>
      <c r="J29" s="139">
        <v>119500</v>
      </c>
      <c r="K29" s="555">
        <f>119500+50000</f>
        <v>169500</v>
      </c>
      <c r="L29" s="75">
        <v>167966.52</v>
      </c>
      <c r="M29" s="7">
        <f t="shared" si="2"/>
        <v>99.095292035398217</v>
      </c>
      <c r="N29" s="80">
        <v>294896</v>
      </c>
      <c r="O29" s="82"/>
      <c r="P29" s="75"/>
      <c r="Q29" s="75"/>
      <c r="R29" s="7" t="e">
        <f t="shared" si="3"/>
        <v>#DIV/0!</v>
      </c>
      <c r="S29" s="80"/>
      <c r="T29" s="82">
        <v>2000</v>
      </c>
      <c r="U29" s="75">
        <v>2000</v>
      </c>
      <c r="V29" s="75">
        <v>1640.5</v>
      </c>
      <c r="W29" s="7">
        <f t="shared" si="4"/>
        <v>82.025000000000006</v>
      </c>
      <c r="X29" s="134">
        <v>1237</v>
      </c>
    </row>
    <row r="30" spans="1:24" s="3" customFormat="1" ht="9.75" x14ac:dyDescent="0.2">
      <c r="A30" s="27" t="s">
        <v>54</v>
      </c>
      <c r="B30" s="418" t="s">
        <v>53</v>
      </c>
      <c r="C30" s="419"/>
      <c r="D30" s="48" t="s">
        <v>25</v>
      </c>
      <c r="E30" s="55">
        <f t="shared" si="7"/>
        <v>0</v>
      </c>
      <c r="F30" s="56">
        <f t="shared" si="7"/>
        <v>0</v>
      </c>
      <c r="G30" s="56">
        <f t="shared" si="7"/>
        <v>0</v>
      </c>
      <c r="H30" s="11" t="e">
        <f t="shared" si="0"/>
        <v>#DIV/0!</v>
      </c>
      <c r="I30" s="63">
        <f>SUM(N30,S30)</f>
        <v>0</v>
      </c>
      <c r="J30" s="72"/>
      <c r="K30" s="75"/>
      <c r="L30" s="75"/>
      <c r="M30" s="7" t="e">
        <f t="shared" si="2"/>
        <v>#DIV/0!</v>
      </c>
      <c r="N30" s="80"/>
      <c r="O30" s="82"/>
      <c r="P30" s="75"/>
      <c r="Q30" s="75"/>
      <c r="R30" s="7" t="e">
        <f t="shared" si="3"/>
        <v>#DIV/0!</v>
      </c>
      <c r="S30" s="80"/>
      <c r="T30" s="87"/>
      <c r="U30" s="88"/>
      <c r="V30" s="88"/>
      <c r="W30" s="7" t="e">
        <f t="shared" si="4"/>
        <v>#DIV/0!</v>
      </c>
      <c r="X30" s="97"/>
    </row>
    <row r="31" spans="1:24" s="31" customFormat="1" ht="9.75" x14ac:dyDescent="0.2">
      <c r="A31" s="27" t="s">
        <v>55</v>
      </c>
      <c r="B31" s="102" t="s">
        <v>71</v>
      </c>
      <c r="C31" s="103"/>
      <c r="D31" s="48" t="s">
        <v>25</v>
      </c>
      <c r="E31" s="55">
        <f t="shared" si="7"/>
        <v>0</v>
      </c>
      <c r="F31" s="56">
        <f t="shared" si="7"/>
        <v>0</v>
      </c>
      <c r="G31" s="75">
        <f t="shared" si="7"/>
        <v>0</v>
      </c>
      <c r="H31" s="11" t="e">
        <f t="shared" si="0"/>
        <v>#DIV/0!</v>
      </c>
      <c r="I31" s="63">
        <f>SUM(N31,S31)</f>
        <v>0</v>
      </c>
      <c r="J31" s="72"/>
      <c r="K31" s="170"/>
      <c r="L31" s="104"/>
      <c r="M31" s="7" t="e">
        <f t="shared" si="2"/>
        <v>#DIV/0!</v>
      </c>
      <c r="N31" s="179"/>
      <c r="O31" s="106"/>
      <c r="P31" s="557"/>
      <c r="Q31" s="104"/>
      <c r="R31" s="7" t="e">
        <f t="shared" si="3"/>
        <v>#DIV/0!</v>
      </c>
      <c r="S31" s="105"/>
      <c r="T31" s="107"/>
      <c r="U31" s="108"/>
      <c r="V31" s="108"/>
      <c r="W31" s="7" t="e">
        <f t="shared" si="4"/>
        <v>#DIV/0!</v>
      </c>
      <c r="X31" s="109"/>
    </row>
    <row r="32" spans="1:24" s="31" customFormat="1" ht="9.75" x14ac:dyDescent="0.2">
      <c r="A32" s="110" t="s">
        <v>56</v>
      </c>
      <c r="B32" s="111" t="s">
        <v>72</v>
      </c>
      <c r="C32" s="112"/>
      <c r="D32" s="49" t="s">
        <v>25</v>
      </c>
      <c r="E32" s="57">
        <f>SUM(J32,O32)</f>
        <v>0</v>
      </c>
      <c r="F32" s="58">
        <f>SUM(K32,P32)</f>
        <v>0</v>
      </c>
      <c r="G32" s="58">
        <f>SUM(L32,Q32)</f>
        <v>0</v>
      </c>
      <c r="H32" s="13" t="e">
        <f t="shared" si="0"/>
        <v>#DIV/0!</v>
      </c>
      <c r="I32" s="65">
        <f>SUM(N32,S32)</f>
        <v>10450</v>
      </c>
      <c r="J32" s="113"/>
      <c r="K32" s="90"/>
      <c r="L32" s="90"/>
      <c r="M32" s="24" t="e">
        <f t="shared" si="2"/>
        <v>#DIV/0!</v>
      </c>
      <c r="N32" s="558">
        <v>10450</v>
      </c>
      <c r="O32" s="89"/>
      <c r="P32" s="145"/>
      <c r="Q32" s="90"/>
      <c r="R32" s="24" t="e">
        <f t="shared" si="3"/>
        <v>#DIV/0!</v>
      </c>
      <c r="S32" s="114"/>
      <c r="T32" s="89"/>
      <c r="U32" s="90"/>
      <c r="V32" s="90"/>
      <c r="W32" s="24" t="e">
        <f t="shared" si="4"/>
        <v>#DIV/0!</v>
      </c>
      <c r="X32" s="98"/>
    </row>
    <row r="33" spans="1:24" s="31" customFormat="1" ht="9.75" x14ac:dyDescent="0.2">
      <c r="A33" s="16" t="s">
        <v>57</v>
      </c>
      <c r="B33" s="34" t="s">
        <v>58</v>
      </c>
      <c r="C33" s="35"/>
      <c r="D33" s="17" t="s">
        <v>25</v>
      </c>
      <c r="E33" s="52">
        <f>E6-E11</f>
        <v>-0.15999999642372131</v>
      </c>
      <c r="F33" s="52">
        <f t="shared" ref="F33:G33" si="10">F6-F11</f>
        <v>-0.15999999642372131</v>
      </c>
      <c r="G33" s="52">
        <f t="shared" si="10"/>
        <v>-10455.010000005364</v>
      </c>
      <c r="H33" s="32">
        <f t="shared" si="0"/>
        <v>6534381.396058158</v>
      </c>
      <c r="I33" s="52">
        <f t="shared" ref="I33:L33" si="11">I6-I11</f>
        <v>-106951.50999999791</v>
      </c>
      <c r="J33" s="52">
        <f t="shared" si="11"/>
        <v>0</v>
      </c>
      <c r="K33" s="52">
        <f t="shared" si="11"/>
        <v>0</v>
      </c>
      <c r="L33" s="52">
        <f t="shared" si="11"/>
        <v>-10455.009999999776</v>
      </c>
      <c r="M33" s="33" t="e">
        <f t="shared" si="2"/>
        <v>#DIV/0!</v>
      </c>
      <c r="N33" s="52">
        <f t="shared" ref="N33:Q33" si="12">N6-N11</f>
        <v>-117401.50999999978</v>
      </c>
      <c r="O33" s="52">
        <f>O6-O11</f>
        <v>-0.15999999642372131</v>
      </c>
      <c r="P33" s="52">
        <f>P6-P11</f>
        <v>-0.15999999642372131</v>
      </c>
      <c r="Q33" s="52">
        <f t="shared" si="12"/>
        <v>0</v>
      </c>
      <c r="R33" s="33">
        <f>Q33/P33*100</f>
        <v>0</v>
      </c>
      <c r="S33" s="52">
        <f t="shared" ref="S33:V33" si="13">S6-S11</f>
        <v>0</v>
      </c>
      <c r="T33" s="52">
        <f t="shared" si="13"/>
        <v>24850</v>
      </c>
      <c r="U33" s="52">
        <f t="shared" si="13"/>
        <v>24850</v>
      </c>
      <c r="V33" s="52">
        <f t="shared" si="13"/>
        <v>95939.279999999912</v>
      </c>
      <c r="W33" s="33">
        <f>V33/U33*100</f>
        <v>386.07356136820891</v>
      </c>
      <c r="X33" s="52">
        <f>X6-X11</f>
        <v>135797.08000000007</v>
      </c>
    </row>
    <row r="34" spans="1:24" s="37" customFormat="1" ht="9.75" x14ac:dyDescent="0.2">
      <c r="A34" s="36" t="s">
        <v>59</v>
      </c>
      <c r="B34" s="999" t="s">
        <v>24</v>
      </c>
      <c r="C34" s="1000"/>
      <c r="D34" s="99" t="s">
        <v>25</v>
      </c>
      <c r="E34" s="559">
        <v>25609</v>
      </c>
      <c r="F34" s="560">
        <v>25609</v>
      </c>
      <c r="G34" s="561">
        <v>25609</v>
      </c>
      <c r="H34" s="9">
        <f t="shared" si="0"/>
        <v>100</v>
      </c>
      <c r="I34" s="562">
        <v>22679</v>
      </c>
      <c r="J34" s="444">
        <v>4723</v>
      </c>
      <c r="K34" s="444">
        <v>4723</v>
      </c>
      <c r="L34" s="444">
        <v>4723</v>
      </c>
      <c r="M34" s="178">
        <f t="shared" si="2"/>
        <v>100</v>
      </c>
      <c r="N34" s="444"/>
      <c r="O34" s="444">
        <v>20578</v>
      </c>
      <c r="P34" s="444">
        <v>20578</v>
      </c>
      <c r="Q34" s="444">
        <v>20578</v>
      </c>
      <c r="R34" s="178">
        <f t="shared" si="3"/>
        <v>100</v>
      </c>
      <c r="S34" s="444"/>
      <c r="T34" s="444">
        <v>308</v>
      </c>
      <c r="U34" s="444">
        <v>308</v>
      </c>
      <c r="V34" s="444">
        <v>308</v>
      </c>
      <c r="W34" s="178">
        <f t="shared" si="4"/>
        <v>100</v>
      </c>
      <c r="X34" s="444"/>
    </row>
    <row r="35" spans="1:24" s="37" customFormat="1" ht="9.75" x14ac:dyDescent="0.2">
      <c r="A35" s="38" t="s">
        <v>60</v>
      </c>
      <c r="B35" s="1001" t="s">
        <v>33</v>
      </c>
      <c r="C35" s="1002"/>
      <c r="D35" s="100" t="s">
        <v>26</v>
      </c>
      <c r="E35" s="563">
        <v>72.424000000000007</v>
      </c>
      <c r="F35" s="564">
        <v>72.42</v>
      </c>
      <c r="G35" s="565">
        <v>72.42</v>
      </c>
      <c r="H35" s="11">
        <f t="shared" si="0"/>
        <v>100</v>
      </c>
      <c r="I35" s="566">
        <v>71</v>
      </c>
      <c r="J35" s="492">
        <v>1.03</v>
      </c>
      <c r="K35" s="492">
        <v>1.03</v>
      </c>
      <c r="L35" s="492">
        <v>1.03</v>
      </c>
      <c r="M35" s="178">
        <f t="shared" si="2"/>
        <v>100</v>
      </c>
      <c r="N35" s="444"/>
      <c r="O35" s="492">
        <v>71.78</v>
      </c>
      <c r="P35" s="492">
        <v>71.78</v>
      </c>
      <c r="Q35" s="492">
        <v>71.78</v>
      </c>
      <c r="R35" s="178">
        <f t="shared" si="3"/>
        <v>100</v>
      </c>
      <c r="S35" s="444"/>
      <c r="T35" s="492">
        <v>0.74</v>
      </c>
      <c r="U35" s="492">
        <v>0.74</v>
      </c>
      <c r="V35" s="492">
        <v>0.74</v>
      </c>
      <c r="W35" s="178">
        <f t="shared" si="4"/>
        <v>100</v>
      </c>
      <c r="X35" s="444"/>
    </row>
    <row r="36" spans="1:24" s="37" customFormat="1" ht="9.75" x14ac:dyDescent="0.2">
      <c r="A36" s="39" t="s">
        <v>61</v>
      </c>
      <c r="B36" s="1003" t="s">
        <v>27</v>
      </c>
      <c r="C36" s="1004"/>
      <c r="D36" s="101" t="s">
        <v>26</v>
      </c>
      <c r="E36" s="567">
        <v>83</v>
      </c>
      <c r="F36" s="568">
        <v>83</v>
      </c>
      <c r="G36" s="569">
        <v>83</v>
      </c>
      <c r="H36" s="13">
        <f t="shared" si="0"/>
        <v>100</v>
      </c>
      <c r="I36" s="570">
        <v>78</v>
      </c>
      <c r="J36" s="444">
        <v>3</v>
      </c>
      <c r="K36" s="444">
        <v>3</v>
      </c>
      <c r="L36" s="444">
        <v>3</v>
      </c>
      <c r="M36" s="178">
        <f t="shared" si="2"/>
        <v>100</v>
      </c>
      <c r="N36" s="444"/>
      <c r="O36" s="444">
        <v>82</v>
      </c>
      <c r="P36" s="444">
        <v>82</v>
      </c>
      <c r="Q36" s="444">
        <v>82</v>
      </c>
      <c r="R36" s="178">
        <f t="shared" si="3"/>
        <v>100</v>
      </c>
      <c r="S36" s="444"/>
      <c r="T36" s="444">
        <v>17</v>
      </c>
      <c r="U36" s="444">
        <v>17</v>
      </c>
      <c r="V36" s="444">
        <v>17</v>
      </c>
      <c r="W36" s="178">
        <f t="shared" si="4"/>
        <v>100</v>
      </c>
      <c r="X36" s="444"/>
    </row>
  </sheetData>
  <mergeCells count="39">
    <mergeCell ref="A1:X1"/>
    <mergeCell ref="A3:A5"/>
    <mergeCell ref="B3:C5"/>
    <mergeCell ref="D3:D5"/>
    <mergeCell ref="E3:I3"/>
    <mergeCell ref="J3:N3"/>
    <mergeCell ref="O3:S3"/>
    <mergeCell ref="T3:X3"/>
    <mergeCell ref="E4:E5"/>
    <mergeCell ref="F4:H4"/>
    <mergeCell ref="S4:S5"/>
    <mergeCell ref="T4:T5"/>
    <mergeCell ref="U4:W4"/>
    <mergeCell ref="X4:X5"/>
    <mergeCell ref="O4:O5"/>
    <mergeCell ref="P4:R4"/>
    <mergeCell ref="B7:C7"/>
    <mergeCell ref="I4:I5"/>
    <mergeCell ref="J4:J5"/>
    <mergeCell ref="K4:M4"/>
    <mergeCell ref="N4:N5"/>
    <mergeCell ref="B6:C6"/>
    <mergeCell ref="B22:C22"/>
    <mergeCell ref="B8:C8"/>
    <mergeCell ref="B10:C10"/>
    <mergeCell ref="B11:C11"/>
    <mergeCell ref="B12:C12"/>
    <mergeCell ref="B13:C13"/>
    <mergeCell ref="B15:C15"/>
    <mergeCell ref="B16:C16"/>
    <mergeCell ref="B18:C18"/>
    <mergeCell ref="B19:C19"/>
    <mergeCell ref="B20:C20"/>
    <mergeCell ref="B21:C21"/>
    <mergeCell ref="B26:C26"/>
    <mergeCell ref="B29:C29"/>
    <mergeCell ref="B34:C34"/>
    <mergeCell ref="B35:C35"/>
    <mergeCell ref="B36:C36"/>
  </mergeCells>
  <pageMargins left="0.70866141732283472" right="0.70866141732283472" top="0.78740157480314965" bottom="0.78740157480314965" header="0.31496062992125984" footer="0.31496062992125984"/>
  <pageSetup paperSize="9" scale="90" firstPageNumber="113" orientation="landscape" useFirstPageNumber="1" r:id="rId1"/>
  <headerFoot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8"/>
  <sheetViews>
    <sheetView workbookViewId="0">
      <selection activeCell="A107" sqref="A107:XFD107"/>
    </sheetView>
  </sheetViews>
  <sheetFormatPr defaultRowHeight="12.75" x14ac:dyDescent="0.2"/>
  <cols>
    <col min="1" max="1" width="58" style="240" customWidth="1"/>
    <col min="2" max="2" width="36.25" style="240" customWidth="1"/>
    <col min="3" max="5" width="25.75" style="240" customWidth="1"/>
    <col min="6" max="6" width="22.75" style="240" customWidth="1"/>
    <col min="7" max="16384" width="10" style="240"/>
  </cols>
  <sheetData>
    <row r="1" spans="1:9" s="425" customFormat="1" ht="18.75" x14ac:dyDescent="0.3">
      <c r="A1" s="425" t="s">
        <v>908</v>
      </c>
    </row>
    <row r="3" spans="1:9" s="180" customFormat="1" ht="10.5" x14ac:dyDescent="0.15">
      <c r="A3" s="1039" t="s">
        <v>354</v>
      </c>
      <c r="B3" s="1039"/>
      <c r="C3" s="1039"/>
      <c r="D3" s="1039"/>
      <c r="E3" s="1039"/>
      <c r="F3" s="1039"/>
      <c r="G3" s="1039"/>
      <c r="H3" s="1039"/>
      <c r="I3" s="1039"/>
    </row>
    <row r="4" spans="1:9" s="181" customFormat="1" ht="11.25" x14ac:dyDescent="0.2"/>
    <row r="5" spans="1:9" s="182" customFormat="1" ht="9.75" x14ac:dyDescent="0.2">
      <c r="A5" s="1040" t="s">
        <v>93</v>
      </c>
      <c r="B5" s="1041"/>
      <c r="C5" s="420" t="s">
        <v>25</v>
      </c>
      <c r="D5" s="1042" t="s">
        <v>355</v>
      </c>
      <c r="E5" s="1042"/>
      <c r="F5" s="1042"/>
      <c r="G5" s="1042"/>
      <c r="H5" s="1042"/>
      <c r="I5" s="1042"/>
    </row>
    <row r="6" spans="1:9" s="181" customFormat="1" ht="15" customHeight="1" x14ac:dyDescent="0.2">
      <c r="A6" s="1043" t="s">
        <v>356</v>
      </c>
      <c r="B6" s="1043"/>
      <c r="C6" s="183">
        <f>SUM(C7:C9)</f>
        <v>85484.27</v>
      </c>
      <c r="D6" s="1044"/>
      <c r="E6" s="1045"/>
      <c r="F6" s="1045"/>
      <c r="G6" s="1045"/>
      <c r="H6" s="1045"/>
      <c r="I6" s="1045"/>
    </row>
    <row r="7" spans="1:9" s="181" customFormat="1" ht="33.75" customHeight="1" x14ac:dyDescent="0.2">
      <c r="A7" s="1046" t="s">
        <v>94</v>
      </c>
      <c r="B7" s="1047"/>
      <c r="C7" s="184">
        <v>-10455.01</v>
      </c>
      <c r="D7" s="1048" t="s">
        <v>909</v>
      </c>
      <c r="E7" s="1048"/>
      <c r="F7" s="1048"/>
      <c r="G7" s="1048"/>
      <c r="H7" s="1048"/>
      <c r="I7" s="1048"/>
    </row>
    <row r="8" spans="1:9" s="180" customFormat="1" ht="69.75" customHeight="1" x14ac:dyDescent="0.15">
      <c r="A8" s="1049" t="s">
        <v>95</v>
      </c>
      <c r="B8" s="1050"/>
      <c r="C8" s="185">
        <v>95939.28</v>
      </c>
      <c r="D8" s="1048" t="s">
        <v>910</v>
      </c>
      <c r="E8" s="1048"/>
      <c r="F8" s="1048"/>
      <c r="G8" s="1048"/>
      <c r="H8" s="1048"/>
      <c r="I8" s="1048"/>
    </row>
    <row r="9" spans="1:9" s="180" customFormat="1" ht="15" customHeight="1" x14ac:dyDescent="0.15">
      <c r="A9" s="1049" t="s">
        <v>96</v>
      </c>
      <c r="B9" s="1050"/>
      <c r="C9" s="185">
        <v>0</v>
      </c>
      <c r="D9" s="1051"/>
      <c r="E9" s="1052"/>
      <c r="F9" s="1052"/>
      <c r="G9" s="1052"/>
      <c r="H9" s="1052"/>
      <c r="I9" s="1053"/>
    </row>
    <row r="10" spans="1:9" s="181" customFormat="1" ht="11.25" x14ac:dyDescent="0.2">
      <c r="C10" s="186"/>
    </row>
    <row r="11" spans="1:9" s="181" customFormat="1" ht="11.25" x14ac:dyDescent="0.2">
      <c r="A11" s="1039" t="s">
        <v>359</v>
      </c>
      <c r="B11" s="1039"/>
      <c r="C11" s="1039"/>
      <c r="D11" s="1039"/>
      <c r="E11" s="1039"/>
      <c r="F11" s="1039"/>
      <c r="G11" s="1039"/>
      <c r="H11" s="1039"/>
      <c r="I11" s="1039"/>
    </row>
    <row r="12" spans="1:9" s="181" customFormat="1" ht="11.25" x14ac:dyDescent="0.2">
      <c r="C12" s="186"/>
      <c r="D12" s="187"/>
      <c r="E12" s="187"/>
      <c r="F12" s="187"/>
      <c r="G12" s="187"/>
      <c r="H12" s="187"/>
      <c r="I12" s="187"/>
    </row>
    <row r="13" spans="1:9" s="190" customFormat="1" ht="9.75" x14ac:dyDescent="0.2">
      <c r="A13" s="420" t="s">
        <v>93</v>
      </c>
      <c r="B13" s="420" t="s">
        <v>97</v>
      </c>
      <c r="C13" s="420" t="s">
        <v>25</v>
      </c>
      <c r="D13" s="188"/>
      <c r="E13" s="189"/>
      <c r="F13" s="189"/>
      <c r="G13" s="189"/>
      <c r="H13" s="189"/>
      <c r="I13" s="189"/>
    </row>
    <row r="14" spans="1:9" s="181" customFormat="1" ht="15" customHeight="1" x14ac:dyDescent="0.2">
      <c r="A14" s="191" t="s">
        <v>98</v>
      </c>
      <c r="B14" s="192"/>
      <c r="C14" s="193">
        <v>26193</v>
      </c>
      <c r="D14" s="194"/>
      <c r="E14" s="1398" t="s">
        <v>911</v>
      </c>
      <c r="F14" s="1399"/>
      <c r="G14" s="1399"/>
      <c r="H14" s="1399"/>
      <c r="I14" s="1399"/>
    </row>
    <row r="15" spans="1:9" s="181" customFormat="1" ht="15" customHeight="1" x14ac:dyDescent="0.2">
      <c r="A15" s="1037" t="s">
        <v>99</v>
      </c>
      <c r="B15" s="196" t="s">
        <v>100</v>
      </c>
      <c r="C15" s="197"/>
      <c r="D15" s="198"/>
      <c r="E15" s="1399"/>
      <c r="F15" s="1399"/>
      <c r="G15" s="1399"/>
      <c r="H15" s="1399"/>
      <c r="I15" s="1399"/>
    </row>
    <row r="16" spans="1:9" s="181" customFormat="1" ht="15" customHeight="1" x14ac:dyDescent="0.2">
      <c r="A16" s="1038"/>
      <c r="B16" s="200" t="s">
        <v>100</v>
      </c>
      <c r="C16" s="201">
        <v>44291.27</v>
      </c>
      <c r="D16" s="198"/>
      <c r="E16" s="1399"/>
      <c r="F16" s="1399"/>
      <c r="G16" s="1399"/>
      <c r="H16" s="1399"/>
      <c r="I16" s="1399"/>
    </row>
    <row r="17" spans="1:9" s="181" customFormat="1" ht="15" customHeight="1" x14ac:dyDescent="0.2">
      <c r="A17" s="1038"/>
      <c r="B17" s="200" t="s">
        <v>101</v>
      </c>
      <c r="C17" s="202">
        <v>15000</v>
      </c>
      <c r="D17" s="203"/>
      <c r="E17" s="1399"/>
      <c r="F17" s="1399"/>
      <c r="G17" s="1399"/>
      <c r="H17" s="1399"/>
      <c r="I17" s="1399"/>
    </row>
    <row r="18" spans="1:9" s="181" customFormat="1" ht="15" customHeight="1" x14ac:dyDescent="0.2">
      <c r="A18" s="421" t="s">
        <v>356</v>
      </c>
      <c r="B18" s="205"/>
      <c r="C18" s="206">
        <f>SUM(C14:C17)</f>
        <v>85484.26999999999</v>
      </c>
      <c r="D18" s="207"/>
      <c r="E18" s="1399"/>
      <c r="F18" s="1399"/>
      <c r="G18" s="1399"/>
      <c r="H18" s="1399"/>
      <c r="I18" s="1399"/>
    </row>
    <row r="19" spans="1:9" s="209" customFormat="1" ht="11.25" x14ac:dyDescent="0.2">
      <c r="A19" s="208"/>
      <c r="C19" s="210"/>
      <c r="D19" s="211"/>
      <c r="E19" s="211"/>
      <c r="F19" s="211"/>
      <c r="G19" s="211"/>
      <c r="H19" s="211"/>
      <c r="I19" s="211"/>
    </row>
    <row r="20" spans="1:9" s="181" customFormat="1" ht="11.25" x14ac:dyDescent="0.2">
      <c r="A20" s="1039" t="s">
        <v>360</v>
      </c>
      <c r="B20" s="1039"/>
      <c r="C20" s="1039"/>
      <c r="D20" s="1039"/>
      <c r="E20" s="1039"/>
      <c r="F20" s="1039"/>
      <c r="G20" s="1039"/>
      <c r="H20" s="1039"/>
      <c r="I20" s="1039"/>
    </row>
    <row r="21" spans="1:9" s="181" customFormat="1" ht="11.25" x14ac:dyDescent="0.2">
      <c r="C21" s="186"/>
    </row>
    <row r="22" spans="1:9" s="212" customFormat="1" ht="9.75" x14ac:dyDescent="0.2">
      <c r="A22" s="420" t="s">
        <v>97</v>
      </c>
      <c r="B22" s="420" t="s">
        <v>361</v>
      </c>
      <c r="C22" s="423" t="s">
        <v>362</v>
      </c>
      <c r="D22" s="420" t="s">
        <v>363</v>
      </c>
      <c r="E22" s="420" t="s">
        <v>364</v>
      </c>
      <c r="F22" s="1042" t="s">
        <v>365</v>
      </c>
      <c r="G22" s="1042"/>
      <c r="H22" s="1042"/>
      <c r="I22" s="1042"/>
    </row>
    <row r="23" spans="1:9" s="181" customFormat="1" ht="26.25" customHeight="1" x14ac:dyDescent="0.2">
      <c r="A23" s="213" t="s">
        <v>102</v>
      </c>
      <c r="B23" s="214">
        <f>226565.91+22</f>
        <v>226587.91</v>
      </c>
      <c r="C23" s="214">
        <f>122945.37+1022393.84</f>
        <v>1145339.21</v>
      </c>
      <c r="D23" s="214">
        <f>141340.74+34426</f>
        <v>175766.74</v>
      </c>
      <c r="E23" s="214">
        <f>B23+C23-D23</f>
        <v>1196160.3799999999</v>
      </c>
      <c r="F23" s="1054" t="s">
        <v>912</v>
      </c>
      <c r="G23" s="1055"/>
      <c r="H23" s="1055"/>
      <c r="I23" s="1056"/>
    </row>
    <row r="24" spans="1:9" s="181" customFormat="1" ht="22.5" customHeight="1" x14ac:dyDescent="0.2">
      <c r="A24" s="196" t="s">
        <v>103</v>
      </c>
      <c r="B24" s="215">
        <v>364485.31</v>
      </c>
      <c r="C24" s="215">
        <v>1471676.37</v>
      </c>
      <c r="D24" s="215">
        <v>1579212</v>
      </c>
      <c r="E24" s="215">
        <f t="shared" ref="E24:E26" si="0">B24+C24-D24</f>
        <v>256949.68000000017</v>
      </c>
      <c r="F24" s="1057" t="s">
        <v>913</v>
      </c>
      <c r="G24" s="1058"/>
      <c r="H24" s="1058"/>
      <c r="I24" s="1059"/>
    </row>
    <row r="25" spans="1:9" s="181" customFormat="1" ht="11.25" x14ac:dyDescent="0.2">
      <c r="A25" s="196" t="s">
        <v>101</v>
      </c>
      <c r="B25" s="215">
        <v>25120.01</v>
      </c>
      <c r="C25" s="215">
        <v>0</v>
      </c>
      <c r="D25" s="215">
        <v>10900</v>
      </c>
      <c r="E25" s="215">
        <f t="shared" si="0"/>
        <v>14220.009999999998</v>
      </c>
      <c r="F25" s="1057" t="s">
        <v>914</v>
      </c>
      <c r="G25" s="1058"/>
      <c r="H25" s="1058"/>
      <c r="I25" s="1059"/>
    </row>
    <row r="26" spans="1:9" s="181" customFormat="1" ht="42" customHeight="1" x14ac:dyDescent="0.2">
      <c r="A26" s="200" t="s">
        <v>104</v>
      </c>
      <c r="B26" s="216">
        <v>142226.20000000001</v>
      </c>
      <c r="C26" s="216">
        <v>457108.9</v>
      </c>
      <c r="D26" s="216">
        <v>419690</v>
      </c>
      <c r="E26" s="215">
        <f t="shared" si="0"/>
        <v>179645.10000000009</v>
      </c>
      <c r="F26" s="1060" t="s">
        <v>915</v>
      </c>
      <c r="G26" s="1061"/>
      <c r="H26" s="1061"/>
      <c r="I26" s="1062"/>
    </row>
    <row r="27" spans="1:9" s="180" customFormat="1" ht="10.5" x14ac:dyDescent="0.15">
      <c r="A27" s="217" t="s">
        <v>34</v>
      </c>
      <c r="B27" s="183">
        <f>SUM(B23:B26)</f>
        <v>758419.42999999993</v>
      </c>
      <c r="C27" s="183">
        <f t="shared" ref="C27:E27" si="1">SUM(C23:C26)</f>
        <v>3074124.48</v>
      </c>
      <c r="D27" s="183">
        <f t="shared" si="1"/>
        <v>2185568.7400000002</v>
      </c>
      <c r="E27" s="183">
        <f t="shared" si="1"/>
        <v>1646975.1700000002</v>
      </c>
      <c r="F27" s="1063"/>
      <c r="G27" s="1063"/>
      <c r="H27" s="1063"/>
      <c r="I27" s="1064"/>
    </row>
    <row r="28" spans="1:9" s="181" customFormat="1" ht="11.25" x14ac:dyDescent="0.2">
      <c r="C28" s="186"/>
    </row>
    <row r="29" spans="1:9" s="181" customFormat="1" ht="11.25" x14ac:dyDescent="0.2">
      <c r="A29" s="1039" t="s">
        <v>370</v>
      </c>
      <c r="B29" s="1039"/>
      <c r="C29" s="1039"/>
      <c r="D29" s="1039"/>
      <c r="E29" s="1039"/>
      <c r="F29" s="1039"/>
      <c r="G29" s="1039"/>
      <c r="H29" s="1039"/>
      <c r="I29" s="1039"/>
    </row>
    <row r="30" spans="1:9" s="181" customFormat="1" ht="11.25" x14ac:dyDescent="0.2">
      <c r="C30" s="186"/>
    </row>
    <row r="31" spans="1:9" s="181" customFormat="1" ht="11.25" x14ac:dyDescent="0.2">
      <c r="A31" s="420" t="s">
        <v>105</v>
      </c>
      <c r="B31" s="420" t="s">
        <v>25</v>
      </c>
      <c r="C31" s="423" t="s">
        <v>106</v>
      </c>
      <c r="D31" s="1042" t="s">
        <v>107</v>
      </c>
      <c r="E31" s="1042"/>
      <c r="F31" s="1042"/>
      <c r="G31" s="1042"/>
      <c r="H31" s="1042"/>
      <c r="I31" s="1042"/>
    </row>
    <row r="32" spans="1:9" s="181" customFormat="1" ht="15" customHeight="1" x14ac:dyDescent="0.2">
      <c r="A32" s="218" t="s">
        <v>916</v>
      </c>
      <c r="B32" s="214">
        <v>2421</v>
      </c>
      <c r="C32" s="219" t="s">
        <v>917</v>
      </c>
      <c r="D32" s="1065" t="s">
        <v>918</v>
      </c>
      <c r="E32" s="1066"/>
      <c r="F32" s="1066"/>
      <c r="G32" s="1066"/>
      <c r="H32" s="1066"/>
      <c r="I32" s="1067"/>
    </row>
    <row r="33" spans="1:9" s="181" customFormat="1" ht="15" customHeight="1" x14ac:dyDescent="0.2">
      <c r="A33" s="220"/>
      <c r="B33" s="216"/>
      <c r="C33" s="221"/>
      <c r="D33" s="1360"/>
      <c r="E33" s="1361"/>
      <c r="F33" s="1361"/>
      <c r="G33" s="1361"/>
      <c r="H33" s="1361"/>
      <c r="I33" s="1362"/>
    </row>
    <row r="34" spans="1:9" s="181" customFormat="1" ht="15" customHeight="1" x14ac:dyDescent="0.2">
      <c r="A34" s="220"/>
      <c r="B34" s="216"/>
      <c r="C34" s="222"/>
      <c r="D34" s="1360"/>
      <c r="E34" s="1361"/>
      <c r="F34" s="1361"/>
      <c r="G34" s="1361"/>
      <c r="H34" s="1361"/>
      <c r="I34" s="1362"/>
    </row>
    <row r="35" spans="1:9" s="181" customFormat="1" ht="15" customHeight="1" x14ac:dyDescent="0.2">
      <c r="A35" s="220"/>
      <c r="B35" s="216"/>
      <c r="C35" s="222"/>
      <c r="D35" s="1360"/>
      <c r="E35" s="1361"/>
      <c r="F35" s="1361"/>
      <c r="G35" s="1361"/>
      <c r="H35" s="1361"/>
      <c r="I35" s="1362"/>
    </row>
    <row r="36" spans="1:9" s="181" customFormat="1" ht="15" customHeight="1" x14ac:dyDescent="0.2">
      <c r="A36" s="220"/>
      <c r="B36" s="216"/>
      <c r="C36" s="222"/>
      <c r="D36" s="1234"/>
      <c r="E36" s="1235"/>
      <c r="F36" s="1235"/>
      <c r="G36" s="1235"/>
      <c r="H36" s="1235"/>
      <c r="I36" s="1236"/>
    </row>
    <row r="37" spans="1:9" s="180" customFormat="1" ht="11.25" x14ac:dyDescent="0.2">
      <c r="A37" s="217" t="s">
        <v>34</v>
      </c>
      <c r="B37" s="183">
        <f>SUM(B32:B36)</f>
        <v>2421</v>
      </c>
      <c r="C37" s="1068"/>
      <c r="D37" s="1069"/>
      <c r="E37" s="1069"/>
      <c r="F37" s="1069"/>
      <c r="G37" s="1069"/>
      <c r="H37" s="1069"/>
      <c r="I37" s="1070"/>
    </row>
    <row r="38" spans="1:9" s="181" customFormat="1" ht="11.25" x14ac:dyDescent="0.2">
      <c r="C38" s="186"/>
    </row>
    <row r="39" spans="1:9" s="181" customFormat="1" ht="11.25" x14ac:dyDescent="0.2">
      <c r="A39" s="1039" t="s">
        <v>372</v>
      </c>
      <c r="B39" s="1039"/>
      <c r="C39" s="1039"/>
      <c r="D39" s="1039"/>
      <c r="E39" s="1039"/>
      <c r="F39" s="1039"/>
      <c r="G39" s="1039"/>
      <c r="H39" s="1039"/>
      <c r="I39" s="1039"/>
    </row>
    <row r="40" spans="1:9" s="181" customFormat="1" ht="11.25" x14ac:dyDescent="0.2">
      <c r="C40" s="186"/>
    </row>
    <row r="41" spans="1:9" s="181" customFormat="1" ht="11.25" x14ac:dyDescent="0.2">
      <c r="A41" s="420" t="s">
        <v>105</v>
      </c>
      <c r="B41" s="420" t="s">
        <v>25</v>
      </c>
      <c r="C41" s="423" t="s">
        <v>106</v>
      </c>
      <c r="D41" s="1071" t="s">
        <v>107</v>
      </c>
      <c r="E41" s="1071"/>
      <c r="F41" s="1071"/>
      <c r="G41" s="1071"/>
      <c r="H41" s="1071"/>
      <c r="I41" s="1072"/>
    </row>
    <row r="42" spans="1:9" s="181" customFormat="1" ht="15" customHeight="1" x14ac:dyDescent="0.2">
      <c r="A42" s="218" t="s">
        <v>136</v>
      </c>
      <c r="B42" s="214"/>
      <c r="C42" s="219"/>
      <c r="D42" s="1057"/>
      <c r="E42" s="1073"/>
      <c r="F42" s="1073"/>
      <c r="G42" s="1073"/>
      <c r="H42" s="1073"/>
      <c r="I42" s="1074"/>
    </row>
    <row r="43" spans="1:9" s="180" customFormat="1" ht="10.5" x14ac:dyDescent="0.15">
      <c r="A43" s="217" t="s">
        <v>34</v>
      </c>
      <c r="B43" s="183">
        <f>SUM(B42:B42)</f>
        <v>0</v>
      </c>
      <c r="C43" s="1075"/>
      <c r="D43" s="1076"/>
      <c r="E43" s="1076"/>
      <c r="F43" s="1076"/>
      <c r="G43" s="1076"/>
      <c r="H43" s="1076"/>
      <c r="I43" s="1076"/>
    </row>
    <row r="44" spans="1:9" s="181" customFormat="1" ht="11.25" x14ac:dyDescent="0.2">
      <c r="C44" s="186"/>
    </row>
    <row r="45" spans="1:9" s="181" customFormat="1" ht="11.25" x14ac:dyDescent="0.2">
      <c r="A45" s="1039" t="s">
        <v>374</v>
      </c>
      <c r="B45" s="1039"/>
      <c r="C45" s="1039"/>
      <c r="D45" s="1039"/>
      <c r="E45" s="1039"/>
      <c r="F45" s="1039"/>
      <c r="G45" s="1039"/>
      <c r="H45" s="1039"/>
      <c r="I45" s="1039"/>
    </row>
    <row r="46" spans="1:9" s="181" customFormat="1" ht="11.25" x14ac:dyDescent="0.2">
      <c r="C46" s="186"/>
    </row>
    <row r="47" spans="1:9" s="181" customFormat="1" ht="11.25" x14ac:dyDescent="0.2">
      <c r="A47" s="422" t="s">
        <v>25</v>
      </c>
      <c r="B47" s="292" t="s">
        <v>375</v>
      </c>
      <c r="C47" s="1400" t="s">
        <v>108</v>
      </c>
      <c r="D47" s="1400"/>
      <c r="E47" s="1400"/>
      <c r="F47" s="1400"/>
      <c r="G47" s="1400"/>
      <c r="H47" s="1400"/>
      <c r="I47" s="1401"/>
    </row>
    <row r="48" spans="1:9" s="181" customFormat="1" ht="11.25" x14ac:dyDescent="0.2">
      <c r="A48" s="215">
        <v>15000</v>
      </c>
      <c r="B48" s="215">
        <v>15000</v>
      </c>
      <c r="C48" s="1238" t="s">
        <v>919</v>
      </c>
      <c r="D48" s="1238"/>
      <c r="E48" s="1238"/>
      <c r="F48" s="1238"/>
      <c r="G48" s="1238"/>
      <c r="H48" s="1238"/>
      <c r="I48" s="1239"/>
    </row>
    <row r="49" spans="1:9" s="181" customFormat="1" ht="11.25" x14ac:dyDescent="0.2">
      <c r="A49" s="215">
        <v>5192</v>
      </c>
      <c r="B49" s="215"/>
      <c r="C49" s="1237" t="s">
        <v>920</v>
      </c>
      <c r="D49" s="1402"/>
      <c r="E49" s="1402"/>
      <c r="F49" s="1402"/>
      <c r="G49" s="1402"/>
      <c r="H49" s="1402"/>
      <c r="I49" s="1403"/>
    </row>
    <row r="50" spans="1:9" s="181" customFormat="1" ht="11.25" x14ac:dyDescent="0.2">
      <c r="A50" s="215">
        <v>8492</v>
      </c>
      <c r="B50" s="215"/>
      <c r="C50" s="1237" t="s">
        <v>920</v>
      </c>
      <c r="D50" s="1402"/>
      <c r="E50" s="1402"/>
      <c r="F50" s="1402"/>
      <c r="G50" s="1402"/>
      <c r="H50" s="1402"/>
      <c r="I50" s="1403"/>
    </row>
    <row r="51" spans="1:9" s="181" customFormat="1" ht="11.25" x14ac:dyDescent="0.2">
      <c r="A51" s="215">
        <v>5000</v>
      </c>
      <c r="B51" s="215">
        <v>5000</v>
      </c>
      <c r="C51" s="1237" t="s">
        <v>921</v>
      </c>
      <c r="D51" s="1402"/>
      <c r="E51" s="1402"/>
      <c r="F51" s="1402"/>
      <c r="G51" s="1402"/>
      <c r="H51" s="1402"/>
      <c r="I51" s="1403"/>
    </row>
    <row r="52" spans="1:9" s="181" customFormat="1" ht="11.25" x14ac:dyDescent="0.2">
      <c r="A52" s="215">
        <v>104550</v>
      </c>
      <c r="B52" s="215">
        <v>104550</v>
      </c>
      <c r="C52" s="1237" t="s">
        <v>922</v>
      </c>
      <c r="D52" s="1238"/>
      <c r="E52" s="1238"/>
      <c r="F52" s="1238"/>
      <c r="G52" s="1238"/>
      <c r="H52" s="1238"/>
      <c r="I52" s="1239"/>
    </row>
    <row r="53" spans="1:9" s="181" customFormat="1" ht="11.25" x14ac:dyDescent="0.2">
      <c r="A53" s="215">
        <v>6000</v>
      </c>
      <c r="B53" s="215">
        <v>0</v>
      </c>
      <c r="C53" s="1238" t="s">
        <v>923</v>
      </c>
      <c r="D53" s="1238"/>
      <c r="E53" s="1238"/>
      <c r="F53" s="1238"/>
      <c r="G53" s="1238"/>
      <c r="H53" s="1238"/>
      <c r="I53" s="1239"/>
    </row>
    <row r="54" spans="1:9" s="180" customFormat="1" ht="10.5" x14ac:dyDescent="0.15">
      <c r="A54" s="819">
        <f>A48+A52+A53</f>
        <v>125550</v>
      </c>
      <c r="B54" s="819">
        <f>B48+B52+B53</f>
        <v>119550</v>
      </c>
      <c r="C54" s="1396" t="s">
        <v>34</v>
      </c>
      <c r="D54" s="1396"/>
      <c r="E54" s="1396"/>
      <c r="F54" s="1396"/>
      <c r="G54" s="1396"/>
      <c r="H54" s="1396"/>
      <c r="I54" s="1397"/>
    </row>
    <row r="55" spans="1:9" s="181" customFormat="1" ht="11.25" x14ac:dyDescent="0.2">
      <c r="C55" s="186"/>
    </row>
    <row r="56" spans="1:9" s="181" customFormat="1" ht="11.25" x14ac:dyDescent="0.2">
      <c r="A56" s="1039" t="s">
        <v>377</v>
      </c>
      <c r="B56" s="1039"/>
      <c r="C56" s="1039"/>
      <c r="D56" s="1039"/>
      <c r="E56" s="1039"/>
      <c r="F56" s="1039"/>
      <c r="G56" s="1039"/>
      <c r="H56" s="1039"/>
      <c r="I56" s="1039"/>
    </row>
    <row r="57" spans="1:9" s="181" customFormat="1" ht="11.25" x14ac:dyDescent="0.2">
      <c r="C57" s="186"/>
    </row>
    <row r="58" spans="1:9" s="232" customFormat="1" ht="11.25" x14ac:dyDescent="0.2">
      <c r="A58" s="1042" t="s">
        <v>109</v>
      </c>
      <c r="B58" s="1042"/>
      <c r="C58" s="423" t="s">
        <v>110</v>
      </c>
      <c r="D58" s="420" t="s">
        <v>111</v>
      </c>
      <c r="E58" s="420" t="s">
        <v>25</v>
      </c>
    </row>
    <row r="59" spans="1:9" s="181" customFormat="1" ht="11.25" x14ac:dyDescent="0.2">
      <c r="A59" s="246" t="s">
        <v>924</v>
      </c>
      <c r="B59" s="295"/>
      <c r="C59" s="247">
        <v>42825</v>
      </c>
      <c r="D59" s="247">
        <v>42825</v>
      </c>
      <c r="E59" s="248">
        <v>15000</v>
      </c>
    </row>
    <row r="60" spans="1:9" s="181" customFormat="1" ht="11.25" x14ac:dyDescent="0.2">
      <c r="A60" s="234" t="s">
        <v>925</v>
      </c>
      <c r="B60" s="234"/>
      <c r="C60" s="235">
        <v>42825</v>
      </c>
      <c r="D60" s="235">
        <v>42825</v>
      </c>
      <c r="E60" s="252">
        <v>13515</v>
      </c>
    </row>
    <row r="61" spans="1:9" s="181" customFormat="1" ht="11.25" x14ac:dyDescent="0.2">
      <c r="A61" s="234" t="s">
        <v>925</v>
      </c>
      <c r="B61" s="234"/>
      <c r="C61" s="235">
        <v>42825</v>
      </c>
      <c r="D61" s="235">
        <v>42825</v>
      </c>
      <c r="E61" s="252">
        <v>59161</v>
      </c>
    </row>
    <row r="62" spans="1:9" s="181" customFormat="1" ht="11.25" x14ac:dyDescent="0.2">
      <c r="A62" s="234" t="s">
        <v>926</v>
      </c>
      <c r="B62" s="234"/>
      <c r="C62" s="235">
        <v>42826</v>
      </c>
      <c r="D62" s="235">
        <v>42826</v>
      </c>
      <c r="E62" s="252">
        <v>5192</v>
      </c>
    </row>
    <row r="63" spans="1:9" s="181" customFormat="1" ht="11.25" x14ac:dyDescent="0.2">
      <c r="A63" s="234" t="s">
        <v>925</v>
      </c>
      <c r="B63" s="234"/>
      <c r="C63" s="235">
        <v>42867</v>
      </c>
      <c r="D63" s="235">
        <v>42867</v>
      </c>
      <c r="E63" s="252">
        <v>35700</v>
      </c>
    </row>
    <row r="64" spans="1:9" s="181" customFormat="1" ht="11.25" x14ac:dyDescent="0.2">
      <c r="A64" s="234" t="s">
        <v>925</v>
      </c>
      <c r="B64" s="234"/>
      <c r="C64" s="235">
        <v>42867</v>
      </c>
      <c r="D64" s="235">
        <v>42867</v>
      </c>
      <c r="E64" s="252">
        <v>39900</v>
      </c>
    </row>
    <row r="65" spans="1:5" s="181" customFormat="1" ht="11.25" x14ac:dyDescent="0.2">
      <c r="A65" s="234" t="s">
        <v>927</v>
      </c>
      <c r="B65" s="234"/>
      <c r="C65" s="235">
        <v>42891</v>
      </c>
      <c r="D65" s="235">
        <v>42891</v>
      </c>
      <c r="E65" s="252">
        <v>274161</v>
      </c>
    </row>
    <row r="66" spans="1:5" s="181" customFormat="1" ht="11.25" x14ac:dyDescent="0.2">
      <c r="A66" s="234" t="s">
        <v>927</v>
      </c>
      <c r="B66" s="234"/>
      <c r="C66" s="235">
        <v>42891</v>
      </c>
      <c r="D66" s="235">
        <v>42891</v>
      </c>
      <c r="E66" s="252">
        <v>290372</v>
      </c>
    </row>
    <row r="67" spans="1:5" s="181" customFormat="1" ht="11.25" x14ac:dyDescent="0.2">
      <c r="A67" s="234" t="s">
        <v>927</v>
      </c>
      <c r="B67" s="234"/>
      <c r="C67" s="235">
        <v>42891</v>
      </c>
      <c r="D67" s="235">
        <v>42891</v>
      </c>
      <c r="E67" s="236">
        <v>35467</v>
      </c>
    </row>
    <row r="68" spans="1:5" s="181" customFormat="1" ht="11.25" x14ac:dyDescent="0.2">
      <c r="A68" s="243" t="s">
        <v>928</v>
      </c>
      <c r="B68" s="242"/>
      <c r="C68" s="249">
        <v>42892</v>
      </c>
      <c r="D68" s="249">
        <v>42892</v>
      </c>
      <c r="E68" s="250">
        <v>58000</v>
      </c>
    </row>
    <row r="69" spans="1:5" s="181" customFormat="1" ht="11.25" x14ac:dyDescent="0.2">
      <c r="A69" s="234" t="s">
        <v>929</v>
      </c>
      <c r="B69" s="234"/>
      <c r="C69" s="235">
        <v>42914</v>
      </c>
      <c r="D69" s="235">
        <v>42914</v>
      </c>
      <c r="E69" s="236">
        <v>300000</v>
      </c>
    </row>
    <row r="70" spans="1:5" s="181" customFormat="1" ht="11.25" x14ac:dyDescent="0.2">
      <c r="A70" s="243" t="s">
        <v>930</v>
      </c>
      <c r="B70" s="242"/>
      <c r="C70" s="249">
        <v>42913</v>
      </c>
      <c r="D70" s="249">
        <v>42916</v>
      </c>
      <c r="E70" s="250">
        <v>8492</v>
      </c>
    </row>
    <row r="71" spans="1:5" s="181" customFormat="1" ht="11.25" x14ac:dyDescent="0.2">
      <c r="A71" s="234" t="s">
        <v>931</v>
      </c>
      <c r="B71" s="234"/>
      <c r="C71" s="235">
        <v>42913</v>
      </c>
      <c r="D71" s="235">
        <v>42916</v>
      </c>
      <c r="E71" s="236">
        <v>5000</v>
      </c>
    </row>
    <row r="72" spans="1:5" s="181" customFormat="1" ht="11.25" x14ac:dyDescent="0.2">
      <c r="A72" s="233" t="s">
        <v>932</v>
      </c>
      <c r="B72" s="234"/>
      <c r="C72" s="235">
        <v>42918</v>
      </c>
      <c r="D72" s="235">
        <v>42927</v>
      </c>
      <c r="E72" s="236">
        <v>9000</v>
      </c>
    </row>
    <row r="73" spans="1:5" s="181" customFormat="1" ht="11.25" x14ac:dyDescent="0.2">
      <c r="A73" s="234" t="s">
        <v>933</v>
      </c>
      <c r="B73" s="234"/>
      <c r="C73" s="235">
        <v>42941</v>
      </c>
      <c r="D73" s="235">
        <v>42954</v>
      </c>
      <c r="E73" s="252">
        <v>128000</v>
      </c>
    </row>
    <row r="74" spans="1:5" s="181" customFormat="1" ht="11.25" x14ac:dyDescent="0.2">
      <c r="A74" s="234" t="s">
        <v>934</v>
      </c>
      <c r="B74" s="234"/>
      <c r="C74" s="235">
        <v>42969</v>
      </c>
      <c r="D74" s="235">
        <v>42982</v>
      </c>
      <c r="E74" s="252">
        <v>104550</v>
      </c>
    </row>
    <row r="75" spans="1:5" s="181" customFormat="1" ht="11.25" x14ac:dyDescent="0.2">
      <c r="A75" s="234" t="s">
        <v>935</v>
      </c>
      <c r="B75" s="234"/>
      <c r="C75" s="235">
        <v>42969</v>
      </c>
      <c r="D75" s="235">
        <v>42982</v>
      </c>
      <c r="E75" s="252">
        <v>191000</v>
      </c>
    </row>
    <row r="76" spans="1:5" s="181" customFormat="1" ht="11.25" x14ac:dyDescent="0.2">
      <c r="A76" s="234" t="s">
        <v>936</v>
      </c>
      <c r="B76" s="234"/>
      <c r="C76" s="235">
        <v>43009</v>
      </c>
      <c r="D76" s="235">
        <v>43009</v>
      </c>
      <c r="E76" s="252">
        <v>5290.5</v>
      </c>
    </row>
    <row r="77" spans="1:5" s="181" customFormat="1" ht="11.25" x14ac:dyDescent="0.2">
      <c r="A77" s="234" t="s">
        <v>937</v>
      </c>
      <c r="B77" s="234"/>
      <c r="C77" s="235">
        <v>43046</v>
      </c>
      <c r="D77" s="235">
        <v>43046</v>
      </c>
      <c r="E77" s="252">
        <v>9000</v>
      </c>
    </row>
    <row r="78" spans="1:5" s="181" customFormat="1" ht="11.25" x14ac:dyDescent="0.2">
      <c r="A78" s="234" t="s">
        <v>938</v>
      </c>
      <c r="B78" s="234"/>
      <c r="C78" s="235">
        <v>42913</v>
      </c>
      <c r="D78" s="235">
        <v>43066</v>
      </c>
      <c r="E78" s="252">
        <v>10900</v>
      </c>
    </row>
    <row r="79" spans="1:5" s="181" customFormat="1" ht="11.25" x14ac:dyDescent="0.2">
      <c r="A79" s="234" t="s">
        <v>939</v>
      </c>
      <c r="B79" s="234"/>
      <c r="C79" s="235">
        <v>43066</v>
      </c>
      <c r="D79" s="235">
        <v>43066</v>
      </c>
      <c r="E79" s="252">
        <v>6000</v>
      </c>
    </row>
    <row r="80" spans="1:5" s="181" customFormat="1" ht="11.25" x14ac:dyDescent="0.2">
      <c r="A80" s="234" t="s">
        <v>940</v>
      </c>
      <c r="B80" s="234"/>
      <c r="C80" s="235">
        <v>43074</v>
      </c>
      <c r="D80" s="235">
        <v>43074</v>
      </c>
      <c r="E80" s="252">
        <v>110000</v>
      </c>
    </row>
    <row r="81" spans="1:9" s="181" customFormat="1" ht="11.25" x14ac:dyDescent="0.2">
      <c r="A81" s="234" t="s">
        <v>941</v>
      </c>
      <c r="B81" s="234"/>
      <c r="C81" s="235">
        <v>43080</v>
      </c>
      <c r="D81" s="235">
        <v>43080</v>
      </c>
      <c r="E81" s="252">
        <v>47795</v>
      </c>
    </row>
    <row r="82" spans="1:9" s="181" customFormat="1" ht="11.25" x14ac:dyDescent="0.2">
      <c r="A82" s="234" t="s">
        <v>942</v>
      </c>
      <c r="B82" s="234"/>
      <c r="C82" s="235">
        <v>43088</v>
      </c>
      <c r="D82" s="235">
        <v>43088</v>
      </c>
      <c r="E82" s="236">
        <v>390000</v>
      </c>
    </row>
    <row r="83" spans="1:9" s="181" customFormat="1" ht="11.25" x14ac:dyDescent="0.2">
      <c r="A83" s="234" t="s">
        <v>943</v>
      </c>
      <c r="B83" s="234"/>
      <c r="C83" s="235">
        <v>43088</v>
      </c>
      <c r="D83" s="235">
        <v>43088</v>
      </c>
      <c r="E83" s="236">
        <v>91000</v>
      </c>
    </row>
    <row r="84" spans="1:9" s="181" customFormat="1" ht="11.25" x14ac:dyDescent="0.2">
      <c r="A84" s="426"/>
      <c r="B84" s="426"/>
      <c r="C84" s="237"/>
      <c r="D84" s="237"/>
      <c r="E84" s="238"/>
    </row>
    <row r="85" spans="1:9" s="181" customFormat="1" ht="11.25" x14ac:dyDescent="0.2">
      <c r="A85" s="1083" t="s">
        <v>397</v>
      </c>
      <c r="B85" s="1083"/>
      <c r="C85" s="1083"/>
      <c r="D85" s="1083"/>
      <c r="E85" s="1083"/>
      <c r="F85" s="1083"/>
      <c r="G85" s="1083"/>
      <c r="H85" s="1083"/>
      <c r="I85" s="1083"/>
    </row>
    <row r="86" spans="1:9" s="181" customFormat="1" ht="11.25" x14ac:dyDescent="0.2">
      <c r="A86" s="181" t="s">
        <v>944</v>
      </c>
    </row>
    <row r="87" spans="1:9" s="181" customFormat="1" ht="11.25" x14ac:dyDescent="0.2">
      <c r="A87" s="1034"/>
      <c r="B87" s="1035"/>
      <c r="C87" s="1035"/>
      <c r="D87" s="1035"/>
      <c r="E87" s="1035"/>
      <c r="F87" s="1035"/>
      <c r="G87" s="1035"/>
      <c r="H87" s="1035"/>
      <c r="I87" s="1036"/>
    </row>
    <row r="88" spans="1:9" s="181" customFormat="1" ht="11.25" x14ac:dyDescent="0.2">
      <c r="A88" s="1034"/>
      <c r="B88" s="1035"/>
      <c r="C88" s="1035"/>
      <c r="D88" s="1035"/>
      <c r="E88" s="1035"/>
      <c r="F88" s="1035"/>
      <c r="G88" s="1035"/>
      <c r="H88" s="1035"/>
      <c r="I88" s="1036"/>
    </row>
    <row r="89" spans="1:9" s="181" customFormat="1" ht="0.75" customHeight="1" x14ac:dyDescent="0.2">
      <c r="A89" s="1034"/>
      <c r="B89" s="1035"/>
      <c r="C89" s="1035"/>
      <c r="D89" s="1035"/>
      <c r="E89" s="1035"/>
      <c r="F89" s="1035"/>
      <c r="G89" s="1035"/>
      <c r="H89" s="1035"/>
      <c r="I89" s="1036"/>
    </row>
    <row r="90" spans="1:9" s="181" customFormat="1" ht="11.25" hidden="1" x14ac:dyDescent="0.2"/>
    <row r="91" spans="1:9" s="180" customFormat="1" ht="10.5" x14ac:dyDescent="0.15">
      <c r="A91" s="1039" t="s">
        <v>399</v>
      </c>
      <c r="B91" s="1039"/>
      <c r="C91" s="1039"/>
      <c r="D91" s="1039"/>
      <c r="E91" s="1039"/>
      <c r="F91" s="1039"/>
      <c r="G91" s="1039"/>
      <c r="H91" s="1039"/>
      <c r="I91" s="1039"/>
    </row>
    <row r="92" spans="1:9" s="181" customFormat="1" ht="11.25" x14ac:dyDescent="0.2">
      <c r="A92" s="181" t="s">
        <v>112</v>
      </c>
    </row>
    <row r="93" spans="1:9" s="181" customFormat="1" ht="30.75" customHeight="1" x14ac:dyDescent="0.2">
      <c r="A93" s="1034" t="s">
        <v>945</v>
      </c>
      <c r="B93" s="1035"/>
      <c r="C93" s="1035"/>
      <c r="D93" s="1035"/>
      <c r="E93" s="1035"/>
      <c r="F93" s="1035"/>
      <c r="G93" s="1035"/>
      <c r="H93" s="1035"/>
      <c r="I93" s="1036"/>
    </row>
    <row r="94" spans="1:9" s="181" customFormat="1" ht="27" customHeight="1" x14ac:dyDescent="0.2">
      <c r="A94" s="1034" t="s">
        <v>946</v>
      </c>
      <c r="B94" s="1035"/>
      <c r="C94" s="1035"/>
      <c r="D94" s="1035"/>
      <c r="E94" s="1035"/>
      <c r="F94" s="1035"/>
      <c r="G94" s="1035"/>
      <c r="H94" s="1035"/>
      <c r="I94" s="1036"/>
    </row>
    <row r="97" spans="1:1" x14ac:dyDescent="0.2">
      <c r="A97" s="239"/>
    </row>
    <row r="98" spans="1:1" x14ac:dyDescent="0.2">
      <c r="A98" s="239"/>
    </row>
  </sheetData>
  <mergeCells count="47">
    <mergeCell ref="A39:I39"/>
    <mergeCell ref="D41:I41"/>
    <mergeCell ref="A58:B58"/>
    <mergeCell ref="C47:I47"/>
    <mergeCell ref="C48:I48"/>
    <mergeCell ref="C49:I49"/>
    <mergeCell ref="C50:I50"/>
    <mergeCell ref="C51:I51"/>
    <mergeCell ref="C52:I52"/>
    <mergeCell ref="C53:I53"/>
    <mergeCell ref="F27:I27"/>
    <mergeCell ref="A29:I29"/>
    <mergeCell ref="D31:I31"/>
    <mergeCell ref="D32:I36"/>
    <mergeCell ref="C37:I37"/>
    <mergeCell ref="F26:I26"/>
    <mergeCell ref="A8:B8"/>
    <mergeCell ref="D8:I8"/>
    <mergeCell ref="A9:B9"/>
    <mergeCell ref="D9:I9"/>
    <mergeCell ref="A11:I11"/>
    <mergeCell ref="A15:A17"/>
    <mergeCell ref="A20:I20"/>
    <mergeCell ref="F22:I22"/>
    <mergeCell ref="F23:I23"/>
    <mergeCell ref="F24:I24"/>
    <mergeCell ref="F25:I25"/>
    <mergeCell ref="E14:I18"/>
    <mergeCell ref="A7:B7"/>
    <mergeCell ref="D7:I7"/>
    <mergeCell ref="A3:I3"/>
    <mergeCell ref="A5:B5"/>
    <mergeCell ref="D5:I5"/>
    <mergeCell ref="A6:B6"/>
    <mergeCell ref="D6:I6"/>
    <mergeCell ref="A91:I91"/>
    <mergeCell ref="A93:I93"/>
    <mergeCell ref="A94:I94"/>
    <mergeCell ref="D42:I42"/>
    <mergeCell ref="C43:I43"/>
    <mergeCell ref="A45:I45"/>
    <mergeCell ref="C54:I54"/>
    <mergeCell ref="A56:I56"/>
    <mergeCell ref="A85:I85"/>
    <mergeCell ref="A87:I87"/>
    <mergeCell ref="A88:I88"/>
    <mergeCell ref="A89:I89"/>
  </mergeCells>
  <pageMargins left="0.70866141732283472" right="0.70866141732283472" top="0.78740157480314965" bottom="0.78740157480314965" header="0.31496062992125984" footer="0.31496062992125984"/>
  <pageSetup paperSize="9" scale="73" firstPageNumber="114" fitToHeight="8" orientation="portrait" useFirstPageNumber="1" r:id="rId1"/>
  <headerFoot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8"/>
  <sheetViews>
    <sheetView zoomScale="150" zoomScaleNormal="150" workbookViewId="0">
      <selection activeCell="A107" sqref="A107:XFD107"/>
    </sheetView>
  </sheetViews>
  <sheetFormatPr defaultColWidth="6.5" defaultRowHeight="8.25" x14ac:dyDescent="0.15"/>
  <cols>
    <col min="1" max="1" width="5.5" style="1" customWidth="1"/>
    <col min="2" max="2" width="6.5" customWidth="1"/>
    <col min="3" max="3" width="36.75" customWidth="1"/>
    <col min="4" max="4" width="9.5" customWidth="1"/>
    <col min="5" max="6" width="11" customWidth="1"/>
    <col min="7" max="7" width="11" style="37" customWidth="1"/>
    <col min="8" max="8" width="8.75" customWidth="1"/>
    <col min="9" max="10" width="11" customWidth="1"/>
    <col min="11" max="12" width="11" style="37" customWidth="1"/>
    <col min="13" max="13" width="8.75" customWidth="1"/>
    <col min="14" max="15" width="11" customWidth="1"/>
    <col min="16" max="16" width="11" style="37" customWidth="1"/>
    <col min="17" max="17" width="11" customWidth="1"/>
    <col min="18" max="18" width="8.75" customWidth="1"/>
    <col min="19" max="20" width="11" customWidth="1"/>
    <col min="21" max="21" width="11" style="123" customWidth="1"/>
    <col min="22" max="22" width="11" customWidth="1"/>
    <col min="23" max="23" width="8.75" customWidth="1"/>
    <col min="24" max="24" width="11" customWidth="1"/>
  </cols>
  <sheetData>
    <row r="1" spans="1:24" s="2" customFormat="1" ht="15.75" x14ac:dyDescent="0.25">
      <c r="A1" s="1019" t="s">
        <v>88</v>
      </c>
      <c r="B1" s="1019"/>
      <c r="C1" s="1019"/>
      <c r="D1" s="1019"/>
      <c r="E1" s="1019"/>
      <c r="F1" s="1019"/>
      <c r="G1" s="1019"/>
      <c r="H1" s="1019"/>
      <c r="I1" s="1019"/>
      <c r="J1" s="1019"/>
      <c r="K1" s="1019"/>
      <c r="L1" s="1019"/>
      <c r="M1" s="1019"/>
      <c r="N1" s="1019"/>
      <c r="O1" s="1019"/>
      <c r="P1" s="1019"/>
      <c r="Q1" s="1019"/>
      <c r="R1" s="1019"/>
      <c r="S1" s="1019"/>
      <c r="T1" s="1019"/>
      <c r="U1" s="1019"/>
      <c r="V1" s="1019"/>
      <c r="W1" s="1019"/>
      <c r="X1" s="1019"/>
    </row>
    <row r="3" spans="1:24" s="3" customFormat="1" ht="9.75" customHeight="1" x14ac:dyDescent="0.2">
      <c r="A3" s="1012" t="s">
        <v>40</v>
      </c>
      <c r="B3" s="1022" t="s">
        <v>41</v>
      </c>
      <c r="C3" s="1023"/>
      <c r="D3" s="1028" t="s">
        <v>42</v>
      </c>
      <c r="E3" s="1031" t="s">
        <v>34</v>
      </c>
      <c r="F3" s="1032"/>
      <c r="G3" s="1032"/>
      <c r="H3" s="1032"/>
      <c r="I3" s="1033"/>
      <c r="J3" s="1031" t="s">
        <v>39</v>
      </c>
      <c r="K3" s="1032"/>
      <c r="L3" s="1032"/>
      <c r="M3" s="1032"/>
      <c r="N3" s="1033"/>
      <c r="O3" s="1031" t="s">
        <v>43</v>
      </c>
      <c r="P3" s="1032"/>
      <c r="Q3" s="1032"/>
      <c r="R3" s="1032"/>
      <c r="S3" s="1033"/>
      <c r="T3" s="1031" t="s">
        <v>38</v>
      </c>
      <c r="U3" s="1032"/>
      <c r="V3" s="1032"/>
      <c r="W3" s="1032"/>
      <c r="X3" s="1033"/>
    </row>
    <row r="4" spans="1:24" s="4" customFormat="1" ht="9.75" customHeight="1" x14ac:dyDescent="0.2">
      <c r="A4" s="1020"/>
      <c r="B4" s="1024"/>
      <c r="C4" s="1025"/>
      <c r="D4" s="1029"/>
      <c r="E4" s="1014" t="s">
        <v>44</v>
      </c>
      <c r="F4" s="1016" t="s">
        <v>336</v>
      </c>
      <c r="G4" s="1017"/>
      <c r="H4" s="1018"/>
      <c r="I4" s="1012" t="s">
        <v>337</v>
      </c>
      <c r="J4" s="1014" t="s">
        <v>44</v>
      </c>
      <c r="K4" s="1016" t="s">
        <v>336</v>
      </c>
      <c r="L4" s="1017"/>
      <c r="M4" s="1018"/>
      <c r="N4" s="1012" t="s">
        <v>337</v>
      </c>
      <c r="O4" s="1014" t="s">
        <v>44</v>
      </c>
      <c r="P4" s="1016" t="s">
        <v>336</v>
      </c>
      <c r="Q4" s="1017"/>
      <c r="R4" s="1018"/>
      <c r="S4" s="1012" t="s">
        <v>337</v>
      </c>
      <c r="T4" s="1014" t="s">
        <v>44</v>
      </c>
      <c r="U4" s="1016" t="s">
        <v>336</v>
      </c>
      <c r="V4" s="1017"/>
      <c r="W4" s="1018"/>
      <c r="X4" s="1012" t="s">
        <v>337</v>
      </c>
    </row>
    <row r="5" spans="1:24" s="5" customFormat="1" ht="9.75" customHeight="1" x14ac:dyDescent="0.2">
      <c r="A5" s="1021"/>
      <c r="B5" s="1026"/>
      <c r="C5" s="1027"/>
      <c r="D5" s="1030"/>
      <c r="E5" s="1015"/>
      <c r="F5" s="14" t="s">
        <v>35</v>
      </c>
      <c r="G5" s="15" t="s">
        <v>36</v>
      </c>
      <c r="H5" s="14" t="s">
        <v>37</v>
      </c>
      <c r="I5" s="1013"/>
      <c r="J5" s="1015"/>
      <c r="K5" s="14" t="s">
        <v>35</v>
      </c>
      <c r="L5" s="15" t="s">
        <v>36</v>
      </c>
      <c r="M5" s="14" t="s">
        <v>37</v>
      </c>
      <c r="N5" s="1013"/>
      <c r="O5" s="1015"/>
      <c r="P5" s="14" t="s">
        <v>35</v>
      </c>
      <c r="Q5" s="15" t="s">
        <v>36</v>
      </c>
      <c r="R5" s="14" t="s">
        <v>37</v>
      </c>
      <c r="S5" s="1013"/>
      <c r="T5" s="1015"/>
      <c r="U5" s="14" t="s">
        <v>35</v>
      </c>
      <c r="V5" s="15" t="s">
        <v>36</v>
      </c>
      <c r="W5" s="14" t="s">
        <v>37</v>
      </c>
      <c r="X5" s="1013"/>
    </row>
    <row r="6" spans="1:24" s="3" customFormat="1" ht="9.75" customHeight="1" x14ac:dyDescent="0.2">
      <c r="A6" s="16" t="s">
        <v>0</v>
      </c>
      <c r="B6" s="1007" t="s">
        <v>1</v>
      </c>
      <c r="C6" s="1007"/>
      <c r="D6" s="17" t="s">
        <v>25</v>
      </c>
      <c r="E6" s="52">
        <f>SUM(E7:E9)</f>
        <v>46541100</v>
      </c>
      <c r="F6" s="52">
        <f>SUM(F7:F9)</f>
        <v>49343072</v>
      </c>
      <c r="G6" s="52">
        <f>SUM(G7:G9)</f>
        <v>49342655</v>
      </c>
      <c r="H6" s="18">
        <f t="shared" ref="H6:H36" si="0">G6/F6*100</f>
        <v>99.999154896557712</v>
      </c>
      <c r="I6" s="52">
        <f>SUM(I7:I9)</f>
        <v>45714732</v>
      </c>
      <c r="J6" s="52">
        <f>SUM(J7:J9)</f>
        <v>9977700</v>
      </c>
      <c r="K6" s="52">
        <f t="shared" ref="K6:V6" si="1">SUM(K7:K9)</f>
        <v>10340500</v>
      </c>
      <c r="L6" s="52">
        <f t="shared" si="1"/>
        <v>10370519</v>
      </c>
      <c r="M6" s="18">
        <f t="shared" ref="M6:M32" si="2">L6/K6*100</f>
        <v>100.29030511097143</v>
      </c>
      <c r="N6" s="52">
        <f t="shared" ref="N6" si="3">SUM(N7:N9)</f>
        <v>10284352</v>
      </c>
      <c r="O6" s="52">
        <f t="shared" si="1"/>
        <v>36563400</v>
      </c>
      <c r="P6" s="52">
        <f t="shared" si="1"/>
        <v>39002572</v>
      </c>
      <c r="Q6" s="52">
        <f t="shared" si="1"/>
        <v>38972136</v>
      </c>
      <c r="R6" s="18">
        <f t="shared" ref="R6:R36" si="4">Q6/P6*100</f>
        <v>99.921964120725164</v>
      </c>
      <c r="S6" s="52">
        <f t="shared" ref="S6" si="5">SUM(S7:S9)</f>
        <v>35430380</v>
      </c>
      <c r="T6" s="52">
        <f t="shared" si="1"/>
        <v>800000</v>
      </c>
      <c r="U6" s="52">
        <f t="shared" si="1"/>
        <v>770010</v>
      </c>
      <c r="V6" s="52">
        <f t="shared" si="1"/>
        <v>792934</v>
      </c>
      <c r="W6" s="18">
        <f t="shared" ref="W6:W33" si="6">V6/U6*100</f>
        <v>102.97710419345204</v>
      </c>
      <c r="X6" s="52">
        <f t="shared" ref="X6" si="7">SUM(X7:X9)</f>
        <v>977450</v>
      </c>
    </row>
    <row r="7" spans="1:24" s="3" customFormat="1" ht="9.75" x14ac:dyDescent="0.2">
      <c r="A7" s="19" t="s">
        <v>2</v>
      </c>
      <c r="B7" s="1010" t="s">
        <v>46</v>
      </c>
      <c r="C7" s="1011"/>
      <c r="D7" s="47" t="s">
        <v>25</v>
      </c>
      <c r="E7" s="53">
        <f t="shared" ref="E7:G10" si="8">SUM(J7,O7)</f>
        <v>4448000</v>
      </c>
      <c r="F7" s="54">
        <f t="shared" si="8"/>
        <v>4757456</v>
      </c>
      <c r="G7" s="54">
        <f t="shared" si="8"/>
        <v>4788433</v>
      </c>
      <c r="H7" s="6">
        <f t="shared" si="0"/>
        <v>100.65112530730708</v>
      </c>
      <c r="I7" s="54">
        <f>SUM(N7,S7)</f>
        <v>4718528</v>
      </c>
      <c r="J7" s="61">
        <v>4448000</v>
      </c>
      <c r="K7" s="62">
        <v>4753800</v>
      </c>
      <c r="L7" s="62">
        <f>4632392+152385</f>
        <v>4784777</v>
      </c>
      <c r="M7" s="6">
        <f t="shared" si="2"/>
        <v>100.65162606756699</v>
      </c>
      <c r="N7" s="54">
        <v>4703952</v>
      </c>
      <c r="O7" s="77"/>
      <c r="P7" s="62">
        <v>3656</v>
      </c>
      <c r="Q7" s="62">
        <v>3656</v>
      </c>
      <c r="R7" s="6">
        <f t="shared" si="4"/>
        <v>100</v>
      </c>
      <c r="S7" s="54">
        <v>14576</v>
      </c>
      <c r="T7" s="77">
        <v>800000</v>
      </c>
      <c r="U7" s="62">
        <v>770010</v>
      </c>
      <c r="V7" s="62">
        <f>792934</f>
        <v>792934</v>
      </c>
      <c r="W7" s="6">
        <f t="shared" si="6"/>
        <v>102.97710419345204</v>
      </c>
      <c r="X7" s="571">
        <v>977450</v>
      </c>
    </row>
    <row r="8" spans="1:24" s="3" customFormat="1" ht="9.75" x14ac:dyDescent="0.2">
      <c r="A8" s="20" t="s">
        <v>3</v>
      </c>
      <c r="B8" s="1005" t="s">
        <v>47</v>
      </c>
      <c r="C8" s="1006"/>
      <c r="D8" s="48" t="s">
        <v>25</v>
      </c>
      <c r="E8" s="55">
        <f t="shared" si="8"/>
        <v>2700</v>
      </c>
      <c r="F8" s="56">
        <f t="shared" si="8"/>
        <v>2700</v>
      </c>
      <c r="G8" s="56">
        <f t="shared" si="8"/>
        <v>1742</v>
      </c>
      <c r="H8" s="7">
        <f t="shared" si="0"/>
        <v>64.518518518518519</v>
      </c>
      <c r="I8" s="56">
        <f>SUM(N8,S8)</f>
        <v>2470</v>
      </c>
      <c r="J8" s="64">
        <v>2700</v>
      </c>
      <c r="K8" s="56">
        <v>2700</v>
      </c>
      <c r="L8" s="56">
        <v>1742</v>
      </c>
      <c r="M8" s="7">
        <f t="shared" si="2"/>
        <v>64.518518518518519</v>
      </c>
      <c r="N8" s="56">
        <v>2470</v>
      </c>
      <c r="O8" s="55"/>
      <c r="P8" s="56"/>
      <c r="Q8" s="56"/>
      <c r="R8" s="7">
        <v>0</v>
      </c>
      <c r="S8" s="56"/>
      <c r="T8" s="55"/>
      <c r="U8" s="56"/>
      <c r="V8" s="56"/>
      <c r="W8" s="7">
        <v>0</v>
      </c>
      <c r="X8" s="92"/>
    </row>
    <row r="9" spans="1:24" s="3" customFormat="1" ht="9.75" x14ac:dyDescent="0.2">
      <c r="A9" s="21" t="s">
        <v>4</v>
      </c>
      <c r="B9" s="22" t="s">
        <v>62</v>
      </c>
      <c r="C9" s="23"/>
      <c r="D9" s="50" t="s">
        <v>25</v>
      </c>
      <c r="E9" s="57">
        <f t="shared" si="8"/>
        <v>42090400</v>
      </c>
      <c r="F9" s="58">
        <f t="shared" si="8"/>
        <v>44582916</v>
      </c>
      <c r="G9" s="58">
        <f t="shared" si="8"/>
        <v>44552480</v>
      </c>
      <c r="H9" s="24">
        <f t="shared" si="0"/>
        <v>99.931731697406249</v>
      </c>
      <c r="I9" s="58">
        <f>SUM(N9,S9)</f>
        <v>40993734</v>
      </c>
      <c r="J9" s="66">
        <v>5527000</v>
      </c>
      <c r="K9" s="58">
        <v>5584000</v>
      </c>
      <c r="L9" s="58">
        <v>5584000</v>
      </c>
      <c r="M9" s="24">
        <f t="shared" si="2"/>
        <v>100</v>
      </c>
      <c r="N9" s="58">
        <v>5577930</v>
      </c>
      <c r="O9" s="57">
        <v>36563400</v>
      </c>
      <c r="P9" s="58">
        <v>38998916</v>
      </c>
      <c r="Q9" s="58">
        <v>38968480</v>
      </c>
      <c r="R9" s="24">
        <f t="shared" si="4"/>
        <v>99.921956805158374</v>
      </c>
      <c r="S9" s="58">
        <v>35415804</v>
      </c>
      <c r="T9" s="57"/>
      <c r="U9" s="58"/>
      <c r="V9" s="58"/>
      <c r="W9" s="24">
        <v>0</v>
      </c>
      <c r="X9" s="93"/>
    </row>
    <row r="10" spans="1:24" s="3" customFormat="1" ht="9.75" x14ac:dyDescent="0.2">
      <c r="A10" s="16" t="s">
        <v>5</v>
      </c>
      <c r="B10" s="1007" t="s">
        <v>7</v>
      </c>
      <c r="C10" s="1007"/>
      <c r="D10" s="25" t="s">
        <v>25</v>
      </c>
      <c r="E10" s="59">
        <f t="shared" si="8"/>
        <v>0</v>
      </c>
      <c r="F10" s="59">
        <f t="shared" si="8"/>
        <v>0</v>
      </c>
      <c r="G10" s="59">
        <f t="shared" si="8"/>
        <v>0</v>
      </c>
      <c r="H10" s="18">
        <v>0</v>
      </c>
      <c r="I10" s="59">
        <f>SUM(N10,S10)</f>
        <v>0</v>
      </c>
      <c r="J10" s="68"/>
      <c r="K10" s="59"/>
      <c r="L10" s="59"/>
      <c r="M10" s="18">
        <v>0</v>
      </c>
      <c r="N10" s="59"/>
      <c r="O10" s="59"/>
      <c r="P10" s="59"/>
      <c r="Q10" s="59"/>
      <c r="R10" s="18">
        <v>0</v>
      </c>
      <c r="S10" s="59"/>
      <c r="T10" s="59"/>
      <c r="U10" s="59"/>
      <c r="V10" s="59"/>
      <c r="W10" s="18">
        <v>0</v>
      </c>
      <c r="X10" s="59"/>
    </row>
    <row r="11" spans="1:24" s="3" customFormat="1" ht="9.75" x14ac:dyDescent="0.2">
      <c r="A11" s="16" t="s">
        <v>6</v>
      </c>
      <c r="B11" s="1007" t="s">
        <v>9</v>
      </c>
      <c r="C11" s="1007"/>
      <c r="D11" s="25" t="s">
        <v>25</v>
      </c>
      <c r="E11" s="52">
        <f>SUM(E12:E32)</f>
        <v>46541100</v>
      </c>
      <c r="F11" s="52">
        <f>SUM(F12:F32)</f>
        <v>49343072</v>
      </c>
      <c r="G11" s="52">
        <f>SUM(G12:G32)</f>
        <v>49275028</v>
      </c>
      <c r="H11" s="18">
        <f t="shared" si="0"/>
        <v>99.86210019513986</v>
      </c>
      <c r="I11" s="52">
        <f>SUM(I12:I32)</f>
        <v>45812632</v>
      </c>
      <c r="J11" s="52">
        <f>SUM(J12:J32)</f>
        <v>9977700</v>
      </c>
      <c r="K11" s="52">
        <f>SUM(K12:K32)</f>
        <v>10340500</v>
      </c>
      <c r="L11" s="52">
        <f>SUM(L12:L32)</f>
        <v>10302892</v>
      </c>
      <c r="M11" s="18">
        <f t="shared" si="2"/>
        <v>99.636303853778827</v>
      </c>
      <c r="N11" s="52">
        <f t="shared" ref="N11" si="9">SUM(N12:N32)</f>
        <v>10382252</v>
      </c>
      <c r="O11" s="52">
        <f>SUM(O12:O31)</f>
        <v>36563400</v>
      </c>
      <c r="P11" s="52">
        <f>SUM(P12:P31)</f>
        <v>39002572</v>
      </c>
      <c r="Q11" s="52">
        <f>SUM(Q12:Q31)</f>
        <v>38972136</v>
      </c>
      <c r="R11" s="18">
        <f t="shared" si="4"/>
        <v>99.921964120725164</v>
      </c>
      <c r="S11" s="52">
        <f t="shared" ref="S11" si="10">SUM(S12:S32)</f>
        <v>35430380</v>
      </c>
      <c r="T11" s="52">
        <f>SUM(T12:T32)</f>
        <v>696000</v>
      </c>
      <c r="U11" s="52">
        <f>SUM(U12:U32)</f>
        <v>666010</v>
      </c>
      <c r="V11" s="52">
        <f>SUM(V12:V32)</f>
        <v>648486</v>
      </c>
      <c r="W11" s="18">
        <f t="shared" si="6"/>
        <v>97.368808276152009</v>
      </c>
      <c r="X11" s="52">
        <f>SUM(X12:X32)</f>
        <v>708169</v>
      </c>
    </row>
    <row r="12" spans="1:24" s="3" customFormat="1" ht="9.75" x14ac:dyDescent="0.2">
      <c r="A12" s="26" t="s">
        <v>8</v>
      </c>
      <c r="B12" s="1008" t="s">
        <v>28</v>
      </c>
      <c r="C12" s="1009"/>
      <c r="D12" s="51" t="s">
        <v>25</v>
      </c>
      <c r="E12" s="53">
        <f t="shared" ref="E12:I27" si="11">SUM(J12,O12)</f>
        <v>4776000</v>
      </c>
      <c r="F12" s="54">
        <f t="shared" si="11"/>
        <v>5150780</v>
      </c>
      <c r="G12" s="54">
        <f t="shared" si="11"/>
        <v>5150486</v>
      </c>
      <c r="H12" s="6">
        <f t="shared" si="0"/>
        <v>99.994292126629375</v>
      </c>
      <c r="I12" s="54">
        <f t="shared" si="11"/>
        <v>5076516</v>
      </c>
      <c r="J12" s="70">
        <v>4442000</v>
      </c>
      <c r="K12" s="71">
        <v>4963480</v>
      </c>
      <c r="L12" s="71">
        <v>4963260</v>
      </c>
      <c r="M12" s="6">
        <f t="shared" si="2"/>
        <v>99.995567625939856</v>
      </c>
      <c r="N12" s="54">
        <v>4829705</v>
      </c>
      <c r="O12" s="79">
        <v>334000</v>
      </c>
      <c r="P12" s="71">
        <v>187300</v>
      </c>
      <c r="Q12" s="71">
        <v>187226</v>
      </c>
      <c r="R12" s="6">
        <f t="shared" si="4"/>
        <v>99.960491190603307</v>
      </c>
      <c r="S12" s="54">
        <v>246811</v>
      </c>
      <c r="T12" s="79">
        <v>71914</v>
      </c>
      <c r="U12" s="71">
        <v>50914</v>
      </c>
      <c r="V12" s="71">
        <v>49984</v>
      </c>
      <c r="W12" s="6">
        <f t="shared" si="6"/>
        <v>98.173390423066337</v>
      </c>
      <c r="X12" s="571">
        <v>65732</v>
      </c>
    </row>
    <row r="13" spans="1:24" s="3" customFormat="1" ht="9.75" x14ac:dyDescent="0.2">
      <c r="A13" s="27" t="s">
        <v>10</v>
      </c>
      <c r="B13" s="997" t="s">
        <v>29</v>
      </c>
      <c r="C13" s="998"/>
      <c r="D13" s="48" t="s">
        <v>25</v>
      </c>
      <c r="E13" s="55">
        <f t="shared" si="11"/>
        <v>2544000</v>
      </c>
      <c r="F13" s="56">
        <f t="shared" si="11"/>
        <v>2338000</v>
      </c>
      <c r="G13" s="56">
        <f t="shared" si="11"/>
        <v>2334427</v>
      </c>
      <c r="H13" s="7">
        <f t="shared" si="0"/>
        <v>99.847177074422589</v>
      </c>
      <c r="I13" s="56">
        <f t="shared" si="11"/>
        <v>2463647</v>
      </c>
      <c r="J13" s="72">
        <v>2544000</v>
      </c>
      <c r="K13" s="56">
        <v>2338000</v>
      </c>
      <c r="L13" s="56">
        <v>2334427</v>
      </c>
      <c r="M13" s="7">
        <f t="shared" si="2"/>
        <v>99.847177074422589</v>
      </c>
      <c r="N13" s="56">
        <v>2463647</v>
      </c>
      <c r="O13" s="55"/>
      <c r="P13" s="56"/>
      <c r="Q13" s="56"/>
      <c r="R13" s="7">
        <v>0</v>
      </c>
      <c r="S13" s="56"/>
      <c r="T13" s="55">
        <v>341000</v>
      </c>
      <c r="U13" s="56">
        <v>341000</v>
      </c>
      <c r="V13" s="56">
        <v>331932</v>
      </c>
      <c r="W13" s="7">
        <f t="shared" si="6"/>
        <v>97.340762463343111</v>
      </c>
      <c r="X13" s="92">
        <v>384289</v>
      </c>
    </row>
    <row r="14" spans="1:24" s="3" customFormat="1" ht="9.75" x14ac:dyDescent="0.2">
      <c r="A14" s="27" t="s">
        <v>11</v>
      </c>
      <c r="B14" s="418" t="s">
        <v>63</v>
      </c>
      <c r="C14" s="419"/>
      <c r="D14" s="48" t="s">
        <v>25</v>
      </c>
      <c r="E14" s="55">
        <f t="shared" si="11"/>
        <v>0</v>
      </c>
      <c r="F14" s="56">
        <f t="shared" si="11"/>
        <v>-104380</v>
      </c>
      <c r="G14" s="56">
        <f t="shared" si="11"/>
        <v>-104380</v>
      </c>
      <c r="H14" s="7">
        <f t="shared" si="0"/>
        <v>100</v>
      </c>
      <c r="I14" s="56">
        <f t="shared" si="11"/>
        <v>-115735</v>
      </c>
      <c r="J14" s="72"/>
      <c r="K14" s="56">
        <v>-104380</v>
      </c>
      <c r="L14" s="56">
        <v>-104380</v>
      </c>
      <c r="M14" s="7">
        <f t="shared" si="2"/>
        <v>100</v>
      </c>
      <c r="N14" s="56">
        <v>-115735</v>
      </c>
      <c r="O14" s="55"/>
      <c r="P14" s="56"/>
      <c r="Q14" s="56"/>
      <c r="R14" s="7">
        <v>0</v>
      </c>
      <c r="S14" s="56"/>
      <c r="T14" s="55"/>
      <c r="U14" s="56"/>
      <c r="V14" s="56"/>
      <c r="W14" s="7">
        <v>0</v>
      </c>
      <c r="X14" s="92">
        <v>0</v>
      </c>
    </row>
    <row r="15" spans="1:24" s="3" customFormat="1" ht="9.75" x14ac:dyDescent="0.2">
      <c r="A15" s="27" t="s">
        <v>12</v>
      </c>
      <c r="B15" s="997" t="s">
        <v>64</v>
      </c>
      <c r="C15" s="998"/>
      <c r="D15" s="48" t="s">
        <v>25</v>
      </c>
      <c r="E15" s="55">
        <f t="shared" si="11"/>
        <v>640000</v>
      </c>
      <c r="F15" s="56">
        <f t="shared" si="11"/>
        <v>972000</v>
      </c>
      <c r="G15" s="56">
        <f t="shared" si="11"/>
        <v>971933</v>
      </c>
      <c r="H15" s="7">
        <f t="shared" si="0"/>
        <v>99.993106995884773</v>
      </c>
      <c r="I15" s="56">
        <f t="shared" si="11"/>
        <v>993127</v>
      </c>
      <c r="J15" s="72">
        <v>640000</v>
      </c>
      <c r="K15" s="56">
        <v>972000</v>
      </c>
      <c r="L15" s="56">
        <v>971933</v>
      </c>
      <c r="M15" s="7">
        <f t="shared" si="2"/>
        <v>99.993106995884773</v>
      </c>
      <c r="N15" s="56">
        <v>993127</v>
      </c>
      <c r="O15" s="55"/>
      <c r="P15" s="56"/>
      <c r="Q15" s="56"/>
      <c r="R15" s="7">
        <v>0</v>
      </c>
      <c r="S15" s="56"/>
      <c r="T15" s="55">
        <v>64000</v>
      </c>
      <c r="U15" s="56">
        <v>36000</v>
      </c>
      <c r="V15" s="56">
        <v>35979</v>
      </c>
      <c r="W15" s="7">
        <f t="shared" si="6"/>
        <v>99.941666666666663</v>
      </c>
      <c r="X15" s="92">
        <v>43824</v>
      </c>
    </row>
    <row r="16" spans="1:24" s="3" customFormat="1" ht="9.75" x14ac:dyDescent="0.2">
      <c r="A16" s="27" t="s">
        <v>13</v>
      </c>
      <c r="B16" s="997" t="s">
        <v>30</v>
      </c>
      <c r="C16" s="998"/>
      <c r="D16" s="48" t="s">
        <v>25</v>
      </c>
      <c r="E16" s="55">
        <f t="shared" si="11"/>
        <v>95000</v>
      </c>
      <c r="F16" s="56">
        <f t="shared" si="11"/>
        <v>105800</v>
      </c>
      <c r="G16" s="56">
        <f t="shared" si="11"/>
        <v>105722</v>
      </c>
      <c r="H16" s="7">
        <f t="shared" si="0"/>
        <v>99.926275992438562</v>
      </c>
      <c r="I16" s="56">
        <f t="shared" si="11"/>
        <v>112208</v>
      </c>
      <c r="J16" s="72">
        <v>5000</v>
      </c>
      <c r="K16" s="56">
        <v>10500</v>
      </c>
      <c r="L16" s="56">
        <v>10468</v>
      </c>
      <c r="M16" s="7">
        <f t="shared" si="2"/>
        <v>99.695238095238096</v>
      </c>
      <c r="N16" s="56">
        <v>25352</v>
      </c>
      <c r="O16" s="55">
        <v>90000</v>
      </c>
      <c r="P16" s="56">
        <v>95300</v>
      </c>
      <c r="Q16" s="56">
        <v>95254</v>
      </c>
      <c r="R16" s="7">
        <f t="shared" si="4"/>
        <v>99.951731374606496</v>
      </c>
      <c r="S16" s="56">
        <v>86856</v>
      </c>
      <c r="T16" s="55"/>
      <c r="U16" s="56"/>
      <c r="V16" s="56"/>
      <c r="W16" s="7">
        <v>0</v>
      </c>
      <c r="X16" s="92"/>
    </row>
    <row r="17" spans="1:24" s="3" customFormat="1" ht="9.75" x14ac:dyDescent="0.2">
      <c r="A17" s="27" t="s">
        <v>14</v>
      </c>
      <c r="B17" s="418" t="s">
        <v>48</v>
      </c>
      <c r="C17" s="419"/>
      <c r="D17" s="48" t="s">
        <v>25</v>
      </c>
      <c r="E17" s="55">
        <f t="shared" si="11"/>
        <v>8000</v>
      </c>
      <c r="F17" s="56">
        <f t="shared" si="11"/>
        <v>8000</v>
      </c>
      <c r="G17" s="56">
        <f t="shared" si="11"/>
        <v>7211</v>
      </c>
      <c r="H17" s="7">
        <f t="shared" si="0"/>
        <v>90.137500000000003</v>
      </c>
      <c r="I17" s="56">
        <f t="shared" si="11"/>
        <v>6931</v>
      </c>
      <c r="J17" s="72">
        <v>8000</v>
      </c>
      <c r="K17" s="56">
        <v>8000</v>
      </c>
      <c r="L17" s="56">
        <v>7211</v>
      </c>
      <c r="M17" s="7">
        <f t="shared" si="2"/>
        <v>90.137500000000003</v>
      </c>
      <c r="N17" s="56">
        <v>6931</v>
      </c>
      <c r="O17" s="55"/>
      <c r="P17" s="56"/>
      <c r="Q17" s="56"/>
      <c r="R17" s="7">
        <v>0</v>
      </c>
      <c r="S17" s="56"/>
      <c r="T17" s="55"/>
      <c r="U17" s="56"/>
      <c r="V17" s="56"/>
      <c r="W17" s="7">
        <v>0</v>
      </c>
      <c r="X17" s="92"/>
    </row>
    <row r="18" spans="1:24" s="3" customFormat="1" ht="9.75" x14ac:dyDescent="0.2">
      <c r="A18" s="27" t="s">
        <v>15</v>
      </c>
      <c r="B18" s="997" t="s">
        <v>31</v>
      </c>
      <c r="C18" s="998"/>
      <c r="D18" s="48" t="s">
        <v>25</v>
      </c>
      <c r="E18" s="55">
        <f t="shared" si="11"/>
        <v>651000</v>
      </c>
      <c r="F18" s="56">
        <f t="shared" si="11"/>
        <v>563200</v>
      </c>
      <c r="G18" s="56">
        <f t="shared" si="11"/>
        <v>562755</v>
      </c>
      <c r="H18" s="7">
        <f t="shared" si="0"/>
        <v>99.920987215909093</v>
      </c>
      <c r="I18" s="56">
        <f t="shared" si="11"/>
        <v>563618</v>
      </c>
      <c r="J18" s="72">
        <v>571000</v>
      </c>
      <c r="K18" s="56">
        <v>472000</v>
      </c>
      <c r="L18" s="56">
        <v>471565</v>
      </c>
      <c r="M18" s="7">
        <f t="shared" si="2"/>
        <v>99.907838983050851</v>
      </c>
      <c r="N18" s="56">
        <v>507078</v>
      </c>
      <c r="O18" s="55">
        <v>80000</v>
      </c>
      <c r="P18" s="56">
        <v>91200</v>
      </c>
      <c r="Q18" s="56">
        <v>91190</v>
      </c>
      <c r="R18" s="7">
        <f t="shared" si="4"/>
        <v>99.989035087719301</v>
      </c>
      <c r="S18" s="56">
        <v>56540</v>
      </c>
      <c r="T18" s="55">
        <v>56000</v>
      </c>
      <c r="U18" s="56">
        <v>40347</v>
      </c>
      <c r="V18" s="56">
        <v>40218</v>
      </c>
      <c r="W18" s="7">
        <f t="shared" si="6"/>
        <v>99.680273626291921</v>
      </c>
      <c r="X18" s="92">
        <v>42338</v>
      </c>
    </row>
    <row r="19" spans="1:24" s="8" customFormat="1" ht="9.75" x14ac:dyDescent="0.2">
      <c r="A19" s="27" t="s">
        <v>16</v>
      </c>
      <c r="B19" s="997" t="s">
        <v>32</v>
      </c>
      <c r="C19" s="998"/>
      <c r="D19" s="48" t="s">
        <v>25</v>
      </c>
      <c r="E19" s="55">
        <f t="shared" si="11"/>
        <v>26563100</v>
      </c>
      <c r="F19" s="56">
        <f t="shared" si="11"/>
        <v>28384250</v>
      </c>
      <c r="G19" s="56">
        <f t="shared" si="11"/>
        <v>28354506</v>
      </c>
      <c r="H19" s="7">
        <f t="shared" si="0"/>
        <v>99.895209491179088</v>
      </c>
      <c r="I19" s="56">
        <f t="shared" si="11"/>
        <v>25931305</v>
      </c>
      <c r="J19" s="73">
        <v>264700</v>
      </c>
      <c r="K19" s="56">
        <v>248700</v>
      </c>
      <c r="L19" s="56">
        <v>241300</v>
      </c>
      <c r="M19" s="7">
        <f t="shared" si="2"/>
        <v>97.024527543224764</v>
      </c>
      <c r="N19" s="56">
        <v>289162</v>
      </c>
      <c r="O19" s="55">
        <v>26298400</v>
      </c>
      <c r="P19" s="56">
        <v>28135550</v>
      </c>
      <c r="Q19" s="56">
        <v>28113206</v>
      </c>
      <c r="R19" s="7">
        <f t="shared" si="4"/>
        <v>99.920584456319489</v>
      </c>
      <c r="S19" s="56">
        <v>25642143</v>
      </c>
      <c r="T19" s="84">
        <v>53000</v>
      </c>
      <c r="U19" s="85">
        <v>56000</v>
      </c>
      <c r="V19" s="85">
        <v>54262</v>
      </c>
      <c r="W19" s="7">
        <f t="shared" si="6"/>
        <v>96.896428571428572</v>
      </c>
      <c r="X19" s="92">
        <v>52966</v>
      </c>
    </row>
    <row r="20" spans="1:24" s="3" customFormat="1" ht="9.75" x14ac:dyDescent="0.2">
      <c r="A20" s="27" t="s">
        <v>17</v>
      </c>
      <c r="B20" s="997" t="s">
        <v>49</v>
      </c>
      <c r="C20" s="998"/>
      <c r="D20" s="48" t="s">
        <v>25</v>
      </c>
      <c r="E20" s="55">
        <f t="shared" si="11"/>
        <v>9084810</v>
      </c>
      <c r="F20" s="56">
        <f t="shared" si="11"/>
        <v>9664232</v>
      </c>
      <c r="G20" s="56">
        <f t="shared" si="11"/>
        <v>9642274</v>
      </c>
      <c r="H20" s="7">
        <f t="shared" si="0"/>
        <v>99.772791050545976</v>
      </c>
      <c r="I20" s="56">
        <f t="shared" si="11"/>
        <v>8803482</v>
      </c>
      <c r="J20" s="72">
        <v>33810</v>
      </c>
      <c r="K20" s="56">
        <v>33810</v>
      </c>
      <c r="L20" s="56">
        <f>18872+793</f>
        <v>19665</v>
      </c>
      <c r="M20" s="7">
        <f t="shared" si="2"/>
        <v>58.163265306122447</v>
      </c>
      <c r="N20" s="56">
        <v>41977</v>
      </c>
      <c r="O20" s="55">
        <v>9051000</v>
      </c>
      <c r="P20" s="56">
        <v>9630422</v>
      </c>
      <c r="Q20" s="56">
        <f>9505783+116826</f>
        <v>9622609</v>
      </c>
      <c r="R20" s="7">
        <f t="shared" si="4"/>
        <v>99.918871675612962</v>
      </c>
      <c r="S20" s="56">
        <v>8761505</v>
      </c>
      <c r="T20" s="55"/>
      <c r="U20" s="56">
        <v>40</v>
      </c>
      <c r="V20" s="56">
        <v>37</v>
      </c>
      <c r="W20" s="7">
        <v>0</v>
      </c>
      <c r="X20" s="92">
        <v>482</v>
      </c>
    </row>
    <row r="21" spans="1:24" s="3" customFormat="1" ht="9.75" x14ac:dyDescent="0.2">
      <c r="A21" s="27" t="s">
        <v>18</v>
      </c>
      <c r="B21" s="997" t="s">
        <v>50</v>
      </c>
      <c r="C21" s="998"/>
      <c r="D21" s="48" t="s">
        <v>25</v>
      </c>
      <c r="E21" s="55">
        <f t="shared" si="11"/>
        <v>556500</v>
      </c>
      <c r="F21" s="56">
        <f t="shared" si="11"/>
        <v>634300</v>
      </c>
      <c r="G21" s="56">
        <f t="shared" si="11"/>
        <v>634167</v>
      </c>
      <c r="H21" s="7">
        <f t="shared" si="0"/>
        <v>99.979032003783701</v>
      </c>
      <c r="I21" s="56">
        <f t="shared" si="11"/>
        <v>432408</v>
      </c>
      <c r="J21" s="72">
        <v>6500</v>
      </c>
      <c r="K21" s="56">
        <v>11900</v>
      </c>
      <c r="L21" s="56">
        <v>11843</v>
      </c>
      <c r="M21" s="7">
        <f t="shared" si="2"/>
        <v>99.52100840336135</v>
      </c>
      <c r="N21" s="56">
        <v>11091</v>
      </c>
      <c r="O21" s="55">
        <v>550000</v>
      </c>
      <c r="P21" s="56">
        <v>622400</v>
      </c>
      <c r="Q21" s="56">
        <v>622324</v>
      </c>
      <c r="R21" s="7">
        <f t="shared" si="4"/>
        <v>99.98778920308483</v>
      </c>
      <c r="S21" s="56">
        <v>421317</v>
      </c>
      <c r="T21" s="55"/>
      <c r="U21" s="56">
        <v>3</v>
      </c>
      <c r="V21" s="56">
        <v>2</v>
      </c>
      <c r="W21" s="7">
        <v>0</v>
      </c>
      <c r="X21" s="92">
        <v>1271</v>
      </c>
    </row>
    <row r="22" spans="1:24" s="3" customFormat="1" ht="9.75" x14ac:dyDescent="0.2">
      <c r="A22" s="27" t="s">
        <v>19</v>
      </c>
      <c r="B22" s="997" t="s">
        <v>65</v>
      </c>
      <c r="C22" s="998"/>
      <c r="D22" s="48" t="s">
        <v>25</v>
      </c>
      <c r="E22" s="55">
        <f t="shared" si="11"/>
        <v>0</v>
      </c>
      <c r="F22" s="56">
        <f t="shared" si="11"/>
        <v>0</v>
      </c>
      <c r="G22" s="56">
        <f t="shared" si="11"/>
        <v>0</v>
      </c>
      <c r="H22" s="7">
        <v>0</v>
      </c>
      <c r="I22" s="56">
        <f t="shared" si="11"/>
        <v>0</v>
      </c>
      <c r="J22" s="72"/>
      <c r="K22" s="56"/>
      <c r="L22" s="56"/>
      <c r="M22" s="7">
        <v>0</v>
      </c>
      <c r="N22" s="56"/>
      <c r="O22" s="55"/>
      <c r="P22" s="56"/>
      <c r="Q22" s="56"/>
      <c r="R22" s="7">
        <v>0</v>
      </c>
      <c r="S22" s="56"/>
      <c r="T22" s="55"/>
      <c r="U22" s="56"/>
      <c r="V22" s="56"/>
      <c r="W22" s="7">
        <v>0</v>
      </c>
      <c r="X22" s="92"/>
    </row>
    <row r="23" spans="1:24" s="3" customFormat="1" ht="9.75" x14ac:dyDescent="0.2">
      <c r="A23" s="27" t="s">
        <v>20</v>
      </c>
      <c r="B23" s="418" t="s">
        <v>66</v>
      </c>
      <c r="C23" s="419"/>
      <c r="D23" s="48" t="s">
        <v>25</v>
      </c>
      <c r="E23" s="55">
        <f t="shared" si="11"/>
        <v>0</v>
      </c>
      <c r="F23" s="56">
        <f t="shared" si="11"/>
        <v>0</v>
      </c>
      <c r="G23" s="56">
        <f t="shared" si="11"/>
        <v>0</v>
      </c>
      <c r="H23" s="7">
        <v>0</v>
      </c>
      <c r="I23" s="56">
        <f t="shared" si="11"/>
        <v>0</v>
      </c>
      <c r="J23" s="72"/>
      <c r="K23" s="56"/>
      <c r="L23" s="56"/>
      <c r="M23" s="7">
        <v>0</v>
      </c>
      <c r="N23" s="56"/>
      <c r="O23" s="55"/>
      <c r="P23" s="56"/>
      <c r="Q23" s="56"/>
      <c r="R23" s="7">
        <v>0</v>
      </c>
      <c r="S23" s="56"/>
      <c r="T23" s="55"/>
      <c r="U23" s="56"/>
      <c r="V23" s="56"/>
      <c r="W23" s="7">
        <v>0</v>
      </c>
      <c r="X23" s="92"/>
    </row>
    <row r="24" spans="1:24" s="3" customFormat="1" ht="9.75" x14ac:dyDescent="0.2">
      <c r="A24" s="27" t="s">
        <v>21</v>
      </c>
      <c r="B24" s="418" t="s">
        <v>73</v>
      </c>
      <c r="C24" s="419"/>
      <c r="D24" s="48" t="s">
        <v>25</v>
      </c>
      <c r="E24" s="55">
        <f t="shared" si="11"/>
        <v>0</v>
      </c>
      <c r="F24" s="56">
        <f t="shared" si="11"/>
        <v>0</v>
      </c>
      <c r="G24" s="56">
        <f t="shared" si="11"/>
        <v>0</v>
      </c>
      <c r="H24" s="7">
        <v>0</v>
      </c>
      <c r="I24" s="56">
        <f t="shared" si="11"/>
        <v>0</v>
      </c>
      <c r="J24" s="72"/>
      <c r="K24" s="56"/>
      <c r="L24" s="56"/>
      <c r="M24" s="7">
        <v>0</v>
      </c>
      <c r="N24" s="56"/>
      <c r="O24" s="55"/>
      <c r="P24" s="56"/>
      <c r="Q24" s="56"/>
      <c r="R24" s="7">
        <v>0</v>
      </c>
      <c r="S24" s="56"/>
      <c r="T24" s="55"/>
      <c r="U24" s="56"/>
      <c r="V24" s="56"/>
      <c r="W24" s="7">
        <v>0</v>
      </c>
      <c r="X24" s="92"/>
    </row>
    <row r="25" spans="1:24" s="3" customFormat="1" ht="9.75" x14ac:dyDescent="0.2">
      <c r="A25" s="28" t="s">
        <v>22</v>
      </c>
      <c r="B25" s="29" t="s">
        <v>68</v>
      </c>
      <c r="C25" s="30"/>
      <c r="D25" s="48" t="s">
        <v>25</v>
      </c>
      <c r="E25" s="55">
        <f t="shared" si="11"/>
        <v>25000</v>
      </c>
      <c r="F25" s="56">
        <f t="shared" si="11"/>
        <v>31000</v>
      </c>
      <c r="G25" s="56">
        <f t="shared" si="11"/>
        <v>30970</v>
      </c>
      <c r="H25" s="7">
        <f t="shared" si="0"/>
        <v>99.903225806451616</v>
      </c>
      <c r="I25" s="56">
        <f t="shared" si="11"/>
        <v>25130</v>
      </c>
      <c r="J25" s="72">
        <v>25000</v>
      </c>
      <c r="K25" s="74">
        <v>31000</v>
      </c>
      <c r="L25" s="74">
        <v>30970</v>
      </c>
      <c r="M25" s="7">
        <f t="shared" si="2"/>
        <v>99.903225806451616</v>
      </c>
      <c r="N25" s="56">
        <v>25130</v>
      </c>
      <c r="O25" s="81"/>
      <c r="P25" s="74"/>
      <c r="Q25" s="74"/>
      <c r="R25" s="7">
        <v>0</v>
      </c>
      <c r="S25" s="56"/>
      <c r="T25" s="81"/>
      <c r="U25" s="74"/>
      <c r="V25" s="74"/>
      <c r="W25" s="7">
        <v>0</v>
      </c>
      <c r="X25" s="92"/>
    </row>
    <row r="26" spans="1:24" s="10" customFormat="1" ht="9.75" x14ac:dyDescent="0.2">
      <c r="A26" s="27" t="s">
        <v>23</v>
      </c>
      <c r="B26" s="997" t="s">
        <v>69</v>
      </c>
      <c r="C26" s="998"/>
      <c r="D26" s="48" t="s">
        <v>25</v>
      </c>
      <c r="E26" s="55">
        <f t="shared" si="11"/>
        <v>1080190</v>
      </c>
      <c r="F26" s="56">
        <f t="shared" si="11"/>
        <v>1050190</v>
      </c>
      <c r="G26" s="56">
        <f t="shared" si="11"/>
        <v>1040085</v>
      </c>
      <c r="H26" s="7">
        <f t="shared" si="0"/>
        <v>99.037793161237488</v>
      </c>
      <c r="I26" s="56">
        <f t="shared" si="11"/>
        <v>1033919</v>
      </c>
      <c r="J26" s="72">
        <v>1080190</v>
      </c>
      <c r="K26" s="75">
        <v>1050190</v>
      </c>
      <c r="L26" s="75">
        <v>1040085</v>
      </c>
      <c r="M26" s="7">
        <f t="shared" si="2"/>
        <v>99.037793161237488</v>
      </c>
      <c r="N26" s="56">
        <v>1033919</v>
      </c>
      <c r="O26" s="82"/>
      <c r="P26" s="75"/>
      <c r="Q26" s="75"/>
      <c r="R26" s="7">
        <v>0</v>
      </c>
      <c r="S26" s="56"/>
      <c r="T26" s="572">
        <v>110086</v>
      </c>
      <c r="U26" s="117">
        <v>110086</v>
      </c>
      <c r="V26" s="117">
        <v>104453</v>
      </c>
      <c r="W26" s="7">
        <f t="shared" si="6"/>
        <v>94.883091401268103</v>
      </c>
      <c r="X26" s="92">
        <v>117267</v>
      </c>
    </row>
    <row r="27" spans="1:24" s="12" customFormat="1" ht="9.75" x14ac:dyDescent="0.2">
      <c r="A27" s="27" t="s">
        <v>45</v>
      </c>
      <c r="B27" s="418" t="s">
        <v>70</v>
      </c>
      <c r="C27" s="419"/>
      <c r="D27" s="48" t="s">
        <v>25</v>
      </c>
      <c r="E27" s="55">
        <f t="shared" si="11"/>
        <v>0</v>
      </c>
      <c r="F27" s="56">
        <f t="shared" si="11"/>
        <v>0</v>
      </c>
      <c r="G27" s="56">
        <f t="shared" si="11"/>
        <v>0</v>
      </c>
      <c r="H27" s="7">
        <v>0</v>
      </c>
      <c r="I27" s="56">
        <f t="shared" si="11"/>
        <v>0</v>
      </c>
      <c r="J27" s="72"/>
      <c r="K27" s="75"/>
      <c r="L27" s="75"/>
      <c r="M27" s="7">
        <v>0</v>
      </c>
      <c r="N27" s="56"/>
      <c r="O27" s="82"/>
      <c r="P27" s="75"/>
      <c r="Q27" s="75"/>
      <c r="R27" s="7">
        <v>0</v>
      </c>
      <c r="S27" s="56"/>
      <c r="T27" s="87"/>
      <c r="U27" s="88"/>
      <c r="V27" s="117"/>
      <c r="W27" s="7">
        <v>0</v>
      </c>
      <c r="X27" s="92"/>
    </row>
    <row r="28" spans="1:24" s="12" customFormat="1" ht="9.75" x14ac:dyDescent="0.2">
      <c r="A28" s="27" t="s">
        <v>51</v>
      </c>
      <c r="B28" s="418" t="s">
        <v>74</v>
      </c>
      <c r="C28" s="419"/>
      <c r="D28" s="48" t="s">
        <v>25</v>
      </c>
      <c r="E28" s="55">
        <f t="shared" ref="E28:G31" si="12">SUM(J28,O28)</f>
        <v>516000</v>
      </c>
      <c r="F28" s="56">
        <f t="shared" si="12"/>
        <v>494800</v>
      </c>
      <c r="G28" s="56">
        <f t="shared" si="12"/>
        <v>494106</v>
      </c>
      <c r="H28" s="7">
        <f t="shared" si="0"/>
        <v>99.859741309620048</v>
      </c>
      <c r="I28" s="56">
        <f t="shared" ref="I28:I32" si="13">SUM(N28,S28)</f>
        <v>446019</v>
      </c>
      <c r="J28" s="72">
        <v>356000</v>
      </c>
      <c r="K28" s="75">
        <v>254400</v>
      </c>
      <c r="L28" s="75">
        <v>253779</v>
      </c>
      <c r="M28" s="7">
        <f t="shared" si="2"/>
        <v>99.755896226415103</v>
      </c>
      <c r="N28" s="56">
        <v>230811</v>
      </c>
      <c r="O28" s="82">
        <v>160000</v>
      </c>
      <c r="P28" s="75">
        <v>240400</v>
      </c>
      <c r="Q28" s="75">
        <v>240327</v>
      </c>
      <c r="R28" s="7">
        <f t="shared" si="4"/>
        <v>99.96963394342761</v>
      </c>
      <c r="S28" s="56">
        <v>215208</v>
      </c>
      <c r="T28" s="87"/>
      <c r="U28" s="88"/>
      <c r="V28" s="117"/>
      <c r="W28" s="7">
        <v>0</v>
      </c>
      <c r="X28" s="92"/>
    </row>
    <row r="29" spans="1:24" s="10" customFormat="1" ht="9.75" x14ac:dyDescent="0.2">
      <c r="A29" s="27" t="s">
        <v>52</v>
      </c>
      <c r="B29" s="997" t="s">
        <v>67</v>
      </c>
      <c r="C29" s="998"/>
      <c r="D29" s="48" t="s">
        <v>25</v>
      </c>
      <c r="E29" s="55">
        <f t="shared" si="12"/>
        <v>1500</v>
      </c>
      <c r="F29" s="56">
        <f t="shared" si="12"/>
        <v>50300</v>
      </c>
      <c r="G29" s="56">
        <f t="shared" si="12"/>
        <v>50214</v>
      </c>
      <c r="H29" s="7">
        <f t="shared" si="0"/>
        <v>99.829025844930413</v>
      </c>
      <c r="I29" s="56">
        <f t="shared" si="13"/>
        <v>39055</v>
      </c>
      <c r="J29" s="72">
        <v>1500</v>
      </c>
      <c r="K29" s="75">
        <v>50300</v>
      </c>
      <c r="L29" s="75">
        <v>50214</v>
      </c>
      <c r="M29" s="7">
        <f t="shared" si="2"/>
        <v>99.829025844930413</v>
      </c>
      <c r="N29" s="56">
        <v>39055</v>
      </c>
      <c r="O29" s="82"/>
      <c r="P29" s="75"/>
      <c r="Q29" s="75"/>
      <c r="R29" s="7">
        <v>0</v>
      </c>
      <c r="S29" s="56"/>
      <c r="T29" s="87"/>
      <c r="U29" s="117">
        <v>28610</v>
      </c>
      <c r="V29" s="117">
        <v>28610</v>
      </c>
      <c r="W29" s="7">
        <v>0</v>
      </c>
      <c r="X29" s="92"/>
    </row>
    <row r="30" spans="1:24" s="3" customFormat="1" ht="9.75" x14ac:dyDescent="0.2">
      <c r="A30" s="27" t="s">
        <v>54</v>
      </c>
      <c r="B30" s="418" t="s">
        <v>53</v>
      </c>
      <c r="C30" s="419"/>
      <c r="D30" s="48" t="s">
        <v>25</v>
      </c>
      <c r="E30" s="55">
        <f t="shared" si="12"/>
        <v>0</v>
      </c>
      <c r="F30" s="56">
        <f t="shared" si="12"/>
        <v>0</v>
      </c>
      <c r="G30" s="56">
        <f t="shared" si="12"/>
        <v>0</v>
      </c>
      <c r="H30" s="7">
        <v>0</v>
      </c>
      <c r="I30" s="56">
        <f t="shared" si="13"/>
        <v>558</v>
      </c>
      <c r="J30" s="72"/>
      <c r="K30" s="75"/>
      <c r="L30" s="75"/>
      <c r="M30" s="7">
        <v>0</v>
      </c>
      <c r="N30" s="56">
        <v>558</v>
      </c>
      <c r="O30" s="82"/>
      <c r="P30" s="75"/>
      <c r="Q30" s="75"/>
      <c r="R30" s="7">
        <v>0</v>
      </c>
      <c r="S30" s="56"/>
      <c r="T30" s="87"/>
      <c r="U30" s="88"/>
      <c r="V30" s="117"/>
      <c r="W30" s="7">
        <v>0</v>
      </c>
      <c r="X30" s="92"/>
    </row>
    <row r="31" spans="1:24" s="31" customFormat="1" ht="9.75" x14ac:dyDescent="0.2">
      <c r="A31" s="27" t="s">
        <v>55</v>
      </c>
      <c r="B31" s="102" t="s">
        <v>71</v>
      </c>
      <c r="C31" s="103"/>
      <c r="D31" s="48" t="s">
        <v>25</v>
      </c>
      <c r="E31" s="55">
        <f t="shared" si="12"/>
        <v>0</v>
      </c>
      <c r="F31" s="56">
        <f t="shared" si="12"/>
        <v>0</v>
      </c>
      <c r="G31" s="56">
        <f t="shared" si="12"/>
        <v>0</v>
      </c>
      <c r="H31" s="7">
        <v>0</v>
      </c>
      <c r="I31" s="56">
        <f t="shared" si="13"/>
        <v>0</v>
      </c>
      <c r="J31" s="72"/>
      <c r="K31" s="104"/>
      <c r="L31" s="104"/>
      <c r="M31" s="7">
        <v>0</v>
      </c>
      <c r="N31" s="56"/>
      <c r="O31" s="106"/>
      <c r="P31" s="104"/>
      <c r="Q31" s="104"/>
      <c r="R31" s="7">
        <v>0</v>
      </c>
      <c r="S31" s="56"/>
      <c r="T31" s="107"/>
      <c r="U31" s="108"/>
      <c r="V31" s="108"/>
      <c r="W31" s="7">
        <v>0</v>
      </c>
      <c r="X31" s="92"/>
    </row>
    <row r="32" spans="1:24" s="31" customFormat="1" ht="9.75" x14ac:dyDescent="0.2">
      <c r="A32" s="110" t="s">
        <v>56</v>
      </c>
      <c r="B32" s="111" t="s">
        <v>72</v>
      </c>
      <c r="C32" s="112"/>
      <c r="D32" s="49" t="s">
        <v>25</v>
      </c>
      <c r="E32" s="57">
        <f>SUM(J32,O32)</f>
        <v>0</v>
      </c>
      <c r="F32" s="58">
        <f>SUM(K32,P32)</f>
        <v>600</v>
      </c>
      <c r="G32" s="58">
        <f>SUM(L32,Q32)</f>
        <v>552</v>
      </c>
      <c r="H32" s="24">
        <f t="shared" si="0"/>
        <v>92</v>
      </c>
      <c r="I32" s="56">
        <f t="shared" si="13"/>
        <v>444</v>
      </c>
      <c r="J32" s="113"/>
      <c r="K32" s="90">
        <v>600</v>
      </c>
      <c r="L32" s="90">
        <v>552</v>
      </c>
      <c r="M32" s="24">
        <f t="shared" si="2"/>
        <v>92</v>
      </c>
      <c r="N32" s="58">
        <v>444</v>
      </c>
      <c r="O32" s="89"/>
      <c r="P32" s="90"/>
      <c r="Q32" s="90"/>
      <c r="R32" s="24">
        <v>0</v>
      </c>
      <c r="S32" s="58"/>
      <c r="T32" s="89"/>
      <c r="U32" s="90">
        <v>3010</v>
      </c>
      <c r="V32" s="90">
        <v>3009</v>
      </c>
      <c r="W32" s="24">
        <f t="shared" si="6"/>
        <v>99.966777408637881</v>
      </c>
      <c r="X32" s="93"/>
    </row>
    <row r="33" spans="1:24" s="31" customFormat="1" ht="9.75" x14ac:dyDescent="0.2">
      <c r="A33" s="16" t="s">
        <v>57</v>
      </c>
      <c r="B33" s="34" t="s">
        <v>58</v>
      </c>
      <c r="C33" s="35"/>
      <c r="D33" s="17" t="s">
        <v>25</v>
      </c>
      <c r="E33" s="52">
        <f>E6-E11</f>
        <v>0</v>
      </c>
      <c r="F33" s="52">
        <f t="shared" ref="F33:G33" si="14">F6-F11</f>
        <v>0</v>
      </c>
      <c r="G33" s="52">
        <f t="shared" si="14"/>
        <v>67627</v>
      </c>
      <c r="H33" s="33">
        <v>0</v>
      </c>
      <c r="I33" s="52">
        <f t="shared" ref="I33:L33" si="15">I6-I11</f>
        <v>-97900</v>
      </c>
      <c r="J33" s="52">
        <f t="shared" si="15"/>
        <v>0</v>
      </c>
      <c r="K33" s="52">
        <f t="shared" si="15"/>
        <v>0</v>
      </c>
      <c r="L33" s="52">
        <f t="shared" si="15"/>
        <v>67627</v>
      </c>
      <c r="M33" s="33">
        <v>0</v>
      </c>
      <c r="N33" s="52">
        <f t="shared" ref="N33:Q33" si="16">N6-N11</f>
        <v>-97900</v>
      </c>
      <c r="O33" s="52">
        <f t="shared" si="16"/>
        <v>0</v>
      </c>
      <c r="P33" s="52">
        <f t="shared" si="16"/>
        <v>0</v>
      </c>
      <c r="Q33" s="52">
        <f t="shared" si="16"/>
        <v>0</v>
      </c>
      <c r="R33" s="33">
        <v>0</v>
      </c>
      <c r="S33" s="52">
        <f t="shared" ref="S33:V33" si="17">S6-S11</f>
        <v>0</v>
      </c>
      <c r="T33" s="52">
        <f t="shared" si="17"/>
        <v>104000</v>
      </c>
      <c r="U33" s="52">
        <f t="shared" si="17"/>
        <v>104000</v>
      </c>
      <c r="V33" s="52">
        <f t="shared" si="17"/>
        <v>144448</v>
      </c>
      <c r="W33" s="33">
        <f t="shared" si="6"/>
        <v>138.8923076923077</v>
      </c>
      <c r="X33" s="52">
        <f t="shared" ref="X33" si="18">X6-X11</f>
        <v>269281</v>
      </c>
    </row>
    <row r="34" spans="1:24" s="37" customFormat="1" ht="9.75" x14ac:dyDescent="0.2">
      <c r="A34" s="36" t="s">
        <v>59</v>
      </c>
      <c r="B34" s="999" t="s">
        <v>24</v>
      </c>
      <c r="C34" s="1000"/>
      <c r="D34" s="99" t="s">
        <v>25</v>
      </c>
      <c r="E34" s="40">
        <v>25739</v>
      </c>
      <c r="F34" s="41">
        <f>F19/F35/12</f>
        <v>27187.978927203065</v>
      </c>
      <c r="G34" s="41">
        <f>G19/G35/12</f>
        <v>27159.488505747126</v>
      </c>
      <c r="H34" s="6">
        <f t="shared" si="0"/>
        <v>99.895209491179088</v>
      </c>
      <c r="I34" s="175">
        <f t="shared" ref="I34" si="19">I19/I35/12</f>
        <v>24556.160037878788</v>
      </c>
      <c r="J34" s="444">
        <v>0</v>
      </c>
      <c r="K34" s="444">
        <v>0</v>
      </c>
      <c r="L34" s="444">
        <v>0</v>
      </c>
      <c r="M34" s="178">
        <v>0</v>
      </c>
      <c r="N34" s="444"/>
      <c r="O34" s="444">
        <f>O19/O35/12</f>
        <v>25190.038314176243</v>
      </c>
      <c r="P34" s="444">
        <f t="shared" ref="P34:Q34" si="20">P19/P35/12</f>
        <v>26949.760536398466</v>
      </c>
      <c r="Q34" s="444">
        <f t="shared" si="20"/>
        <v>26928.358237547891</v>
      </c>
      <c r="R34" s="178">
        <f t="shared" si="4"/>
        <v>99.920584456319489</v>
      </c>
      <c r="S34" s="444"/>
      <c r="T34" s="444"/>
      <c r="U34" s="444"/>
      <c r="V34" s="444"/>
      <c r="W34" s="178">
        <v>0</v>
      </c>
      <c r="X34" s="444"/>
    </row>
    <row r="35" spans="1:24" s="37" customFormat="1" ht="9.75" x14ac:dyDescent="0.2">
      <c r="A35" s="38" t="s">
        <v>60</v>
      </c>
      <c r="B35" s="1001" t="s">
        <v>33</v>
      </c>
      <c r="C35" s="1002"/>
      <c r="D35" s="100" t="s">
        <v>26</v>
      </c>
      <c r="E35" s="118">
        <v>87</v>
      </c>
      <c r="F35" s="573">
        <v>87</v>
      </c>
      <c r="G35" s="573">
        <v>87</v>
      </c>
      <c r="H35" s="7">
        <f t="shared" si="0"/>
        <v>100</v>
      </c>
      <c r="I35" s="175">
        <v>88</v>
      </c>
      <c r="J35" s="444">
        <v>0</v>
      </c>
      <c r="K35" s="444">
        <v>0</v>
      </c>
      <c r="L35" s="444">
        <v>0</v>
      </c>
      <c r="M35" s="178">
        <v>0</v>
      </c>
      <c r="N35" s="444"/>
      <c r="O35" s="444">
        <v>87</v>
      </c>
      <c r="P35" s="444">
        <v>87</v>
      </c>
      <c r="Q35" s="444">
        <v>87</v>
      </c>
      <c r="R35" s="178">
        <f t="shared" si="4"/>
        <v>100</v>
      </c>
      <c r="S35" s="444"/>
      <c r="T35" s="444"/>
      <c r="U35" s="574"/>
      <c r="V35" s="444"/>
      <c r="W35" s="178">
        <v>0</v>
      </c>
      <c r="X35" s="444"/>
    </row>
    <row r="36" spans="1:24" s="37" customFormat="1" ht="9.75" x14ac:dyDescent="0.2">
      <c r="A36" s="39" t="s">
        <v>61</v>
      </c>
      <c r="B36" s="1003" t="s">
        <v>27</v>
      </c>
      <c r="C36" s="1004"/>
      <c r="D36" s="101" t="s">
        <v>26</v>
      </c>
      <c r="E36" s="42">
        <v>96</v>
      </c>
      <c r="F36" s="575">
        <v>96</v>
      </c>
      <c r="G36" s="575">
        <v>96</v>
      </c>
      <c r="H36" s="24">
        <f t="shared" si="0"/>
        <v>100</v>
      </c>
      <c r="I36" s="175">
        <v>89</v>
      </c>
      <c r="J36" s="444">
        <v>0</v>
      </c>
      <c r="K36" s="444">
        <v>0</v>
      </c>
      <c r="L36" s="444">
        <v>0</v>
      </c>
      <c r="M36" s="178">
        <v>0</v>
      </c>
      <c r="N36" s="444"/>
      <c r="O36" s="444">
        <v>96</v>
      </c>
      <c r="P36" s="444">
        <v>96</v>
      </c>
      <c r="Q36" s="444">
        <v>96</v>
      </c>
      <c r="R36" s="178">
        <f t="shared" si="4"/>
        <v>100</v>
      </c>
      <c r="S36" s="444"/>
      <c r="T36" s="444"/>
      <c r="U36" s="574"/>
      <c r="V36" s="444"/>
      <c r="W36" s="178">
        <v>0</v>
      </c>
      <c r="X36" s="444"/>
    </row>
    <row r="38" spans="1:24" ht="12.75" x14ac:dyDescent="0.15">
      <c r="M38" s="576"/>
    </row>
  </sheetData>
  <mergeCells count="39">
    <mergeCell ref="A1:X1"/>
    <mergeCell ref="A3:A5"/>
    <mergeCell ref="B3:C5"/>
    <mergeCell ref="D3:D5"/>
    <mergeCell ref="E3:I3"/>
    <mergeCell ref="J3:N3"/>
    <mergeCell ref="O3:S3"/>
    <mergeCell ref="T3:X3"/>
    <mergeCell ref="E4:E5"/>
    <mergeCell ref="F4:H4"/>
    <mergeCell ref="S4:S5"/>
    <mergeCell ref="T4:T5"/>
    <mergeCell ref="U4:W4"/>
    <mergeCell ref="X4:X5"/>
    <mergeCell ref="O4:O5"/>
    <mergeCell ref="P4:R4"/>
    <mergeCell ref="B7:C7"/>
    <mergeCell ref="I4:I5"/>
    <mergeCell ref="J4:J5"/>
    <mergeCell ref="K4:M4"/>
    <mergeCell ref="N4:N5"/>
    <mergeCell ref="B6:C6"/>
    <mergeCell ref="B22:C22"/>
    <mergeCell ref="B8:C8"/>
    <mergeCell ref="B10:C10"/>
    <mergeCell ref="B11:C11"/>
    <mergeCell ref="B12:C12"/>
    <mergeCell ref="B13:C13"/>
    <mergeCell ref="B15:C15"/>
    <mergeCell ref="B16:C16"/>
    <mergeCell ref="B18:C18"/>
    <mergeCell ref="B19:C19"/>
    <mergeCell ref="B20:C20"/>
    <mergeCell ref="B21:C21"/>
    <mergeCell ref="B26:C26"/>
    <mergeCell ref="B29:C29"/>
    <mergeCell ref="B34:C34"/>
    <mergeCell ref="B35:C35"/>
    <mergeCell ref="B36:C36"/>
  </mergeCells>
  <pageMargins left="0.70866141732283472" right="0.70866141732283472" top="0.78740157480314965" bottom="0.78740157480314965" header="0.31496062992125984" footer="0.31496062992125984"/>
  <pageSetup paperSize="9" scale="91" firstPageNumber="116" orientation="landscape" useFirstPageNumber="1" r:id="rId1"/>
  <headerFoot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8"/>
  <sheetViews>
    <sheetView topLeftCell="A103" workbookViewId="0">
      <selection activeCell="A107" sqref="A107:XFD107"/>
    </sheetView>
  </sheetViews>
  <sheetFormatPr defaultRowHeight="12.75" x14ac:dyDescent="0.2"/>
  <cols>
    <col min="1" max="1" width="58" style="240" customWidth="1"/>
    <col min="2" max="2" width="33.5" style="240" customWidth="1"/>
    <col min="3" max="5" width="25.75" style="240" customWidth="1"/>
    <col min="6" max="6" width="22.75" style="240" customWidth="1"/>
    <col min="7" max="16384" width="10" style="240"/>
  </cols>
  <sheetData>
    <row r="1" spans="1:9" s="425" customFormat="1" ht="18.75" x14ac:dyDescent="0.3">
      <c r="A1" s="425" t="s">
        <v>92</v>
      </c>
      <c r="B1" s="425" t="s">
        <v>88</v>
      </c>
    </row>
    <row r="3" spans="1:9" s="180" customFormat="1" ht="10.5" x14ac:dyDescent="0.15">
      <c r="A3" s="1039" t="s">
        <v>354</v>
      </c>
      <c r="B3" s="1039"/>
      <c r="C3" s="1039"/>
      <c r="D3" s="1039"/>
      <c r="E3" s="1039"/>
      <c r="F3" s="1039"/>
      <c r="G3" s="1039"/>
      <c r="H3" s="1039"/>
      <c r="I3" s="1039"/>
    </row>
    <row r="4" spans="1:9" s="181" customFormat="1" ht="11.25" x14ac:dyDescent="0.2"/>
    <row r="5" spans="1:9" s="182" customFormat="1" ht="9.75" x14ac:dyDescent="0.2">
      <c r="A5" s="1040" t="s">
        <v>93</v>
      </c>
      <c r="B5" s="1041"/>
      <c r="C5" s="420" t="s">
        <v>25</v>
      </c>
      <c r="D5" s="1042" t="s">
        <v>355</v>
      </c>
      <c r="E5" s="1042"/>
      <c r="F5" s="1042"/>
      <c r="G5" s="1042"/>
      <c r="H5" s="1042"/>
      <c r="I5" s="1042"/>
    </row>
    <row r="6" spans="1:9" s="181" customFormat="1" ht="15" customHeight="1" x14ac:dyDescent="0.2">
      <c r="A6" s="1043" t="s">
        <v>356</v>
      </c>
      <c r="B6" s="1043"/>
      <c r="C6" s="183">
        <f>SUM(C7:C9)</f>
        <v>212074.37</v>
      </c>
      <c r="D6" s="1044"/>
      <c r="E6" s="1045"/>
      <c r="F6" s="1045"/>
      <c r="G6" s="1045"/>
      <c r="H6" s="1045"/>
      <c r="I6" s="1045"/>
    </row>
    <row r="7" spans="1:9" s="181" customFormat="1" ht="115.5" customHeight="1" x14ac:dyDescent="0.2">
      <c r="A7" s="1046" t="s">
        <v>94</v>
      </c>
      <c r="B7" s="1047"/>
      <c r="C7" s="184">
        <v>67626.53</v>
      </c>
      <c r="D7" s="1048" t="s">
        <v>947</v>
      </c>
      <c r="E7" s="1048"/>
      <c r="F7" s="1048"/>
      <c r="G7" s="1048"/>
      <c r="H7" s="1048"/>
      <c r="I7" s="1048"/>
    </row>
    <row r="8" spans="1:9" s="180" customFormat="1" ht="131.25" customHeight="1" x14ac:dyDescent="0.15">
      <c r="A8" s="1049" t="s">
        <v>95</v>
      </c>
      <c r="B8" s="1050"/>
      <c r="C8" s="185">
        <v>144447.84</v>
      </c>
      <c r="D8" s="1048" t="s">
        <v>948</v>
      </c>
      <c r="E8" s="1048"/>
      <c r="F8" s="1048"/>
      <c r="G8" s="1048"/>
      <c r="H8" s="1048"/>
      <c r="I8" s="1048"/>
    </row>
    <row r="9" spans="1:9" s="180" customFormat="1" ht="15" customHeight="1" x14ac:dyDescent="0.15">
      <c r="A9" s="1049" t="s">
        <v>96</v>
      </c>
      <c r="B9" s="1050"/>
      <c r="C9" s="185"/>
      <c r="D9" s="1051"/>
      <c r="E9" s="1052"/>
      <c r="F9" s="1052"/>
      <c r="G9" s="1052"/>
      <c r="H9" s="1052"/>
      <c r="I9" s="1053"/>
    </row>
    <row r="10" spans="1:9" s="181" customFormat="1" ht="11.25" x14ac:dyDescent="0.2">
      <c r="C10" s="186"/>
    </row>
    <row r="11" spans="1:9" s="181" customFormat="1" ht="11.25" x14ac:dyDescent="0.2">
      <c r="A11" s="1039" t="s">
        <v>359</v>
      </c>
      <c r="B11" s="1039"/>
      <c r="C11" s="1039"/>
      <c r="D11" s="1039"/>
      <c r="E11" s="1039"/>
      <c r="F11" s="1039"/>
      <c r="G11" s="1039"/>
      <c r="H11" s="1039"/>
      <c r="I11" s="1039"/>
    </row>
    <row r="12" spans="1:9" s="181" customFormat="1" ht="11.25" x14ac:dyDescent="0.2">
      <c r="C12" s="186"/>
      <c r="D12" s="187"/>
      <c r="E12" s="187"/>
      <c r="F12" s="187"/>
      <c r="G12" s="187"/>
      <c r="H12" s="187"/>
      <c r="I12" s="187"/>
    </row>
    <row r="13" spans="1:9" s="190" customFormat="1" ht="9.75" x14ac:dyDescent="0.2">
      <c r="A13" s="420" t="s">
        <v>93</v>
      </c>
      <c r="B13" s="420" t="s">
        <v>97</v>
      </c>
      <c r="C13" s="420" t="s">
        <v>25</v>
      </c>
      <c r="D13" s="188"/>
      <c r="E13" s="189"/>
      <c r="F13" s="189"/>
      <c r="G13" s="189"/>
      <c r="H13" s="189"/>
      <c r="I13" s="189"/>
    </row>
    <row r="14" spans="1:9" s="181" customFormat="1" ht="15" customHeight="1" x14ac:dyDescent="0.2">
      <c r="A14" s="191" t="s">
        <v>98</v>
      </c>
      <c r="B14" s="192"/>
      <c r="C14" s="193">
        <v>35280.93</v>
      </c>
      <c r="D14" s="194"/>
      <c r="E14" s="195"/>
      <c r="F14" s="195"/>
      <c r="G14" s="195"/>
      <c r="H14" s="195"/>
      <c r="I14" s="195"/>
    </row>
    <row r="15" spans="1:9" s="181" customFormat="1" ht="27" customHeight="1" x14ac:dyDescent="0.2">
      <c r="A15" s="1037" t="s">
        <v>99</v>
      </c>
      <c r="B15" s="196" t="s">
        <v>100</v>
      </c>
      <c r="C15" s="197">
        <v>32345.599999999999</v>
      </c>
      <c r="D15" s="1406" t="s">
        <v>949</v>
      </c>
      <c r="E15" s="1407"/>
      <c r="F15" s="1407"/>
      <c r="G15" s="1407"/>
      <c r="H15" s="1407"/>
      <c r="I15" s="1407"/>
    </row>
    <row r="16" spans="1:9" s="181" customFormat="1" ht="15" customHeight="1" x14ac:dyDescent="0.2">
      <c r="A16" s="1038"/>
      <c r="B16" s="200" t="s">
        <v>100</v>
      </c>
      <c r="C16" s="201">
        <v>114447.84</v>
      </c>
      <c r="D16" s="198" t="s">
        <v>950</v>
      </c>
      <c r="E16" s="199"/>
      <c r="F16" s="199"/>
      <c r="G16" s="199"/>
      <c r="H16" s="199"/>
      <c r="I16" s="199"/>
    </row>
    <row r="17" spans="1:9" s="181" customFormat="1" ht="15" customHeight="1" x14ac:dyDescent="0.2">
      <c r="A17" s="1038"/>
      <c r="B17" s="200" t="s">
        <v>101</v>
      </c>
      <c r="C17" s="202">
        <v>30000</v>
      </c>
      <c r="D17" s="203"/>
      <c r="E17" s="204"/>
      <c r="F17" s="204"/>
      <c r="G17" s="204"/>
      <c r="H17" s="204"/>
      <c r="I17" s="204"/>
    </row>
    <row r="18" spans="1:9" s="181" customFormat="1" ht="15" customHeight="1" x14ac:dyDescent="0.2">
      <c r="A18" s="421" t="s">
        <v>356</v>
      </c>
      <c r="B18" s="205"/>
      <c r="C18" s="206">
        <f>SUM(C14:C17)</f>
        <v>212074.37</v>
      </c>
      <c r="D18" s="207"/>
      <c r="E18" s="207"/>
      <c r="F18" s="207"/>
      <c r="G18" s="207"/>
      <c r="H18" s="207"/>
      <c r="I18" s="207"/>
    </row>
    <row r="19" spans="1:9" s="209" customFormat="1" ht="11.25" x14ac:dyDescent="0.2">
      <c r="A19" s="208"/>
      <c r="C19" s="210"/>
      <c r="D19" s="211"/>
      <c r="E19" s="211"/>
      <c r="F19" s="211"/>
      <c r="G19" s="211"/>
      <c r="H19" s="211"/>
      <c r="I19" s="211"/>
    </row>
    <row r="20" spans="1:9" s="181" customFormat="1" ht="11.25" x14ac:dyDescent="0.2">
      <c r="A20" s="1039" t="s">
        <v>360</v>
      </c>
      <c r="B20" s="1039"/>
      <c r="C20" s="1039"/>
      <c r="D20" s="1039"/>
      <c r="E20" s="1039"/>
      <c r="F20" s="1039"/>
      <c r="G20" s="1039"/>
      <c r="H20" s="1039"/>
      <c r="I20" s="1039"/>
    </row>
    <row r="21" spans="1:9" s="181" customFormat="1" ht="11.25" x14ac:dyDescent="0.2">
      <c r="C21" s="186"/>
    </row>
    <row r="22" spans="1:9" s="212" customFormat="1" ht="9.75" x14ac:dyDescent="0.2">
      <c r="A22" s="420" t="s">
        <v>97</v>
      </c>
      <c r="B22" s="420" t="s">
        <v>361</v>
      </c>
      <c r="C22" s="423" t="s">
        <v>362</v>
      </c>
      <c r="D22" s="420" t="s">
        <v>363</v>
      </c>
      <c r="E22" s="420" t="s">
        <v>364</v>
      </c>
      <c r="F22" s="1042" t="s">
        <v>365</v>
      </c>
      <c r="G22" s="1042"/>
      <c r="H22" s="1042"/>
      <c r="I22" s="1042"/>
    </row>
    <row r="23" spans="1:9" s="181" customFormat="1" ht="88.5" customHeight="1" x14ac:dyDescent="0.2">
      <c r="A23" s="213" t="s">
        <v>102</v>
      </c>
      <c r="B23" s="374">
        <v>179491.82</v>
      </c>
      <c r="C23" s="374">
        <f>141381.2+962084.19</f>
        <v>1103465.3899999999</v>
      </c>
      <c r="D23" s="374">
        <f>39315.74</f>
        <v>39315.74</v>
      </c>
      <c r="E23" s="374">
        <f>B23+C23-D23</f>
        <v>1243641.47</v>
      </c>
      <c r="F23" s="1054" t="s">
        <v>1345</v>
      </c>
      <c r="G23" s="1055"/>
      <c r="H23" s="1055"/>
      <c r="I23" s="1056"/>
    </row>
    <row r="24" spans="1:9" s="181" customFormat="1" ht="66.75" customHeight="1" x14ac:dyDescent="0.2">
      <c r="A24" s="196" t="s">
        <v>103</v>
      </c>
      <c r="B24" s="375">
        <v>422804.41</v>
      </c>
      <c r="C24" s="375">
        <v>1144538</v>
      </c>
      <c r="D24" s="375">
        <v>948668</v>
      </c>
      <c r="E24" s="374">
        <f>B24+C24-D24</f>
        <v>618674.40999999992</v>
      </c>
      <c r="F24" s="1057" t="s">
        <v>951</v>
      </c>
      <c r="G24" s="1058"/>
      <c r="H24" s="1058"/>
      <c r="I24" s="1059"/>
    </row>
    <row r="25" spans="1:9" s="181" customFormat="1" ht="21.75" customHeight="1" x14ac:dyDescent="0.2">
      <c r="A25" s="196" t="s">
        <v>101</v>
      </c>
      <c r="B25" s="375">
        <v>72584</v>
      </c>
      <c r="C25" s="375">
        <v>30000</v>
      </c>
      <c r="D25" s="375">
        <v>34000</v>
      </c>
      <c r="E25" s="374">
        <f t="shared" ref="E25:E26" si="0">B25+C25-D25</f>
        <v>68584</v>
      </c>
      <c r="F25" s="1057" t="s">
        <v>952</v>
      </c>
      <c r="G25" s="1058"/>
      <c r="H25" s="1058"/>
      <c r="I25" s="1059"/>
    </row>
    <row r="26" spans="1:9" s="181" customFormat="1" ht="40.5" customHeight="1" x14ac:dyDescent="0.2">
      <c r="A26" s="200" t="s">
        <v>104</v>
      </c>
      <c r="B26" s="376">
        <v>309373.02</v>
      </c>
      <c r="C26" s="376">
        <v>561128.88</v>
      </c>
      <c r="D26" s="376">
        <v>475018</v>
      </c>
      <c r="E26" s="374">
        <f t="shared" si="0"/>
        <v>395483.9</v>
      </c>
      <c r="F26" s="1060" t="s">
        <v>953</v>
      </c>
      <c r="G26" s="1061"/>
      <c r="H26" s="1061"/>
      <c r="I26" s="1062"/>
    </row>
    <row r="27" spans="1:9" s="180" customFormat="1" ht="10.5" x14ac:dyDescent="0.15">
      <c r="A27" s="217" t="s">
        <v>34</v>
      </c>
      <c r="B27" s="183">
        <f>SUM(B23:B26)</f>
        <v>984253.25</v>
      </c>
      <c r="C27" s="183">
        <f t="shared" ref="C27:E27" si="1">SUM(C23:C26)</f>
        <v>2839132.2699999996</v>
      </c>
      <c r="D27" s="183">
        <f t="shared" si="1"/>
        <v>1497001.74</v>
      </c>
      <c r="E27" s="183">
        <f t="shared" si="1"/>
        <v>2326383.7799999998</v>
      </c>
      <c r="F27" s="1063"/>
      <c r="G27" s="1063"/>
      <c r="H27" s="1063"/>
      <c r="I27" s="1064"/>
    </row>
    <row r="28" spans="1:9" s="181" customFormat="1" ht="11.25" x14ac:dyDescent="0.2">
      <c r="C28" s="186"/>
    </row>
    <row r="29" spans="1:9" s="181" customFormat="1" ht="11.25" x14ac:dyDescent="0.2">
      <c r="A29" s="1039" t="s">
        <v>370</v>
      </c>
      <c r="B29" s="1039"/>
      <c r="C29" s="1039"/>
      <c r="D29" s="1039"/>
      <c r="E29" s="1039"/>
      <c r="F29" s="1039"/>
      <c r="G29" s="1039"/>
      <c r="H29" s="1039"/>
      <c r="I29" s="1039"/>
    </row>
    <row r="30" spans="1:9" s="181" customFormat="1" ht="18.75" customHeight="1" x14ac:dyDescent="0.2">
      <c r="A30" s="181" t="s">
        <v>954</v>
      </c>
      <c r="C30" s="186"/>
    </row>
    <row r="31" spans="1:9" s="181" customFormat="1" ht="11.25" x14ac:dyDescent="0.2">
      <c r="C31" s="186"/>
    </row>
    <row r="32" spans="1:9" s="181" customFormat="1" ht="11.25" x14ac:dyDescent="0.2">
      <c r="A32" s="1039" t="s">
        <v>372</v>
      </c>
      <c r="B32" s="1039"/>
      <c r="C32" s="1039"/>
      <c r="D32" s="1039"/>
      <c r="E32" s="1039"/>
      <c r="F32" s="1039"/>
      <c r="G32" s="1039"/>
      <c r="H32" s="1039"/>
      <c r="I32" s="1039"/>
    </row>
    <row r="33" spans="1:9" s="181" customFormat="1" ht="11.25" x14ac:dyDescent="0.2">
      <c r="A33" s="181" t="s">
        <v>955</v>
      </c>
      <c r="C33" s="186"/>
    </row>
    <row r="34" spans="1:9" s="181" customFormat="1" ht="11.25" x14ac:dyDescent="0.2">
      <c r="C34" s="186"/>
    </row>
    <row r="35" spans="1:9" s="181" customFormat="1" ht="11.25" x14ac:dyDescent="0.2">
      <c r="A35" s="1039" t="s">
        <v>374</v>
      </c>
      <c r="B35" s="1039"/>
      <c r="C35" s="1039"/>
      <c r="D35" s="1039"/>
      <c r="E35" s="1039"/>
      <c r="F35" s="1039"/>
      <c r="G35" s="1039"/>
      <c r="H35" s="1039"/>
      <c r="I35" s="1039"/>
    </row>
    <row r="36" spans="1:9" s="181" customFormat="1" ht="11.25" x14ac:dyDescent="0.2">
      <c r="C36" s="186"/>
    </row>
    <row r="37" spans="1:9" s="181" customFormat="1" ht="11.25" x14ac:dyDescent="0.2">
      <c r="A37" s="420" t="s">
        <v>25</v>
      </c>
      <c r="B37" s="423" t="s">
        <v>375</v>
      </c>
      <c r="C37" s="1077" t="s">
        <v>108</v>
      </c>
      <c r="D37" s="1077"/>
      <c r="E37" s="1077"/>
      <c r="F37" s="1077"/>
      <c r="G37" s="1077"/>
      <c r="H37" s="1077"/>
      <c r="I37" s="1078"/>
    </row>
    <row r="38" spans="1:9" s="181" customFormat="1" ht="25.5" customHeight="1" x14ac:dyDescent="0.2">
      <c r="A38" s="228">
        <v>15000</v>
      </c>
      <c r="B38" s="228">
        <v>12200</v>
      </c>
      <c r="C38" s="1350" t="s">
        <v>956</v>
      </c>
      <c r="D38" s="1351"/>
      <c r="E38" s="1351"/>
      <c r="F38" s="1351"/>
      <c r="G38" s="1351"/>
      <c r="H38" s="1351"/>
      <c r="I38" s="1352"/>
    </row>
    <row r="39" spans="1:9" s="181" customFormat="1" ht="15" customHeight="1" x14ac:dyDescent="0.2">
      <c r="A39" s="229">
        <v>2000</v>
      </c>
      <c r="B39" s="215">
        <v>2000</v>
      </c>
      <c r="C39" s="1237" t="s">
        <v>957</v>
      </c>
      <c r="D39" s="1238"/>
      <c r="E39" s="1238"/>
      <c r="F39" s="1238"/>
      <c r="G39" s="1238"/>
      <c r="H39" s="1238"/>
      <c r="I39" s="1239"/>
    </row>
    <row r="40" spans="1:9" s="181" customFormat="1" ht="21.75" customHeight="1" x14ac:dyDescent="0.2">
      <c r="A40" s="229">
        <v>15000</v>
      </c>
      <c r="B40" s="215">
        <v>11109</v>
      </c>
      <c r="C40" s="1237" t="s">
        <v>958</v>
      </c>
      <c r="D40" s="1238"/>
      <c r="E40" s="1238"/>
      <c r="F40" s="1238"/>
      <c r="G40" s="1238"/>
      <c r="H40" s="1238"/>
      <c r="I40" s="1239"/>
    </row>
    <row r="41" spans="1:9" s="181" customFormat="1" ht="11.25" x14ac:dyDescent="0.2">
      <c r="A41" s="229">
        <v>8664</v>
      </c>
      <c r="B41" s="215">
        <v>8664</v>
      </c>
      <c r="C41" s="1237" t="s">
        <v>959</v>
      </c>
      <c r="D41" s="1238"/>
      <c r="E41" s="1238"/>
      <c r="F41" s="1238"/>
      <c r="G41" s="1238"/>
      <c r="H41" s="1238"/>
      <c r="I41" s="1239"/>
    </row>
    <row r="42" spans="1:9" s="181" customFormat="1" ht="11.25" x14ac:dyDescent="0.2">
      <c r="A42" s="229">
        <v>0</v>
      </c>
      <c r="B42" s="215">
        <v>12594</v>
      </c>
      <c r="C42" s="1237" t="s">
        <v>960</v>
      </c>
      <c r="D42" s="1238"/>
      <c r="E42" s="1238"/>
      <c r="F42" s="1238"/>
      <c r="G42" s="1238"/>
      <c r="H42" s="1238"/>
      <c r="I42" s="1239"/>
    </row>
    <row r="43" spans="1:9" s="181" customFormat="1" ht="11.25" x14ac:dyDescent="0.2">
      <c r="A43" s="229">
        <v>0</v>
      </c>
      <c r="B43" s="215">
        <v>9540</v>
      </c>
      <c r="C43" s="1237" t="s">
        <v>961</v>
      </c>
      <c r="D43" s="1238"/>
      <c r="E43" s="1238"/>
      <c r="F43" s="1238"/>
      <c r="G43" s="1238"/>
      <c r="H43" s="1238"/>
      <c r="I43" s="1239"/>
    </row>
    <row r="44" spans="1:9" s="181" customFormat="1" ht="11.25" x14ac:dyDescent="0.2">
      <c r="A44" s="229">
        <v>0</v>
      </c>
      <c r="B44" s="215">
        <v>2500</v>
      </c>
      <c r="C44" s="1237" t="s">
        <v>962</v>
      </c>
      <c r="D44" s="1238"/>
      <c r="E44" s="1238"/>
      <c r="F44" s="1238"/>
      <c r="G44" s="1238"/>
      <c r="H44" s="1238"/>
      <c r="I44" s="1239"/>
    </row>
    <row r="45" spans="1:9" s="180" customFormat="1" ht="10.5" x14ac:dyDescent="0.15">
      <c r="A45" s="183">
        <f>SUM(A38:A44)</f>
        <v>40664</v>
      </c>
      <c r="B45" s="183">
        <f>SUM(B38:B44)</f>
        <v>58607</v>
      </c>
      <c r="C45" s="1081" t="s">
        <v>34</v>
      </c>
      <c r="D45" s="1081"/>
      <c r="E45" s="1081"/>
      <c r="F45" s="1081"/>
      <c r="G45" s="1081"/>
      <c r="H45" s="1081"/>
      <c r="I45" s="1082"/>
    </row>
    <row r="46" spans="1:9" s="181" customFormat="1" ht="11.25" x14ac:dyDescent="0.2">
      <c r="C46" s="186"/>
    </row>
    <row r="47" spans="1:9" s="181" customFormat="1" ht="11.25" x14ac:dyDescent="0.2">
      <c r="A47" s="1039" t="s">
        <v>377</v>
      </c>
      <c r="B47" s="1039"/>
      <c r="C47" s="1039"/>
      <c r="D47" s="1039"/>
      <c r="E47" s="1039"/>
      <c r="F47" s="1039"/>
      <c r="G47" s="1039"/>
      <c r="H47" s="1039"/>
      <c r="I47" s="1039"/>
    </row>
    <row r="48" spans="1:9" s="181" customFormat="1" ht="11.25" x14ac:dyDescent="0.2">
      <c r="C48" s="186"/>
    </row>
    <row r="49" spans="1:5" s="232" customFormat="1" ht="11.25" x14ac:dyDescent="0.2">
      <c r="A49" s="1042" t="s">
        <v>109</v>
      </c>
      <c r="B49" s="1042"/>
      <c r="C49" s="423" t="s">
        <v>110</v>
      </c>
      <c r="D49" s="420" t="s">
        <v>111</v>
      </c>
      <c r="E49" s="420" t="s">
        <v>25</v>
      </c>
    </row>
    <row r="50" spans="1:5" s="181" customFormat="1" ht="15" customHeight="1" x14ac:dyDescent="0.2">
      <c r="A50" s="378" t="s">
        <v>216</v>
      </c>
      <c r="B50" s="379"/>
      <c r="C50" s="380"/>
      <c r="D50" s="380"/>
      <c r="E50" s="381"/>
    </row>
    <row r="51" spans="1:5" s="181" customFormat="1" ht="26.25" customHeight="1" x14ac:dyDescent="0.2">
      <c r="A51" s="1416" t="s">
        <v>963</v>
      </c>
      <c r="B51" s="1417"/>
      <c r="C51" s="823">
        <v>42878</v>
      </c>
      <c r="D51" s="823">
        <v>42892</v>
      </c>
      <c r="E51" s="824">
        <v>57000</v>
      </c>
    </row>
    <row r="52" spans="1:5" s="181" customFormat="1" ht="15" customHeight="1" x14ac:dyDescent="0.2">
      <c r="A52" s="1416" t="s">
        <v>964</v>
      </c>
      <c r="B52" s="1417"/>
      <c r="C52" s="823"/>
      <c r="D52" s="823"/>
      <c r="E52" s="824">
        <v>57000</v>
      </c>
    </row>
    <row r="53" spans="1:5" s="181" customFormat="1" ht="26.25" customHeight="1" x14ac:dyDescent="0.2">
      <c r="A53" s="1414" t="s">
        <v>965</v>
      </c>
      <c r="B53" s="1415"/>
      <c r="C53" s="825">
        <v>42826</v>
      </c>
      <c r="D53" s="825">
        <v>42826</v>
      </c>
      <c r="E53" s="826">
        <v>3300</v>
      </c>
    </row>
    <row r="54" spans="1:5" s="181" customFormat="1" ht="26.25" customHeight="1" x14ac:dyDescent="0.2">
      <c r="A54" s="1410" t="s">
        <v>966</v>
      </c>
      <c r="B54" s="1411"/>
      <c r="C54" s="827"/>
      <c r="D54" s="827"/>
      <c r="E54" s="826">
        <v>600</v>
      </c>
    </row>
    <row r="55" spans="1:5" s="181" customFormat="1" ht="26.25" customHeight="1" x14ac:dyDescent="0.2">
      <c r="A55" s="1410" t="s">
        <v>967</v>
      </c>
      <c r="B55" s="1411"/>
      <c r="C55" s="827"/>
      <c r="D55" s="827"/>
      <c r="E55" s="826">
        <v>2700</v>
      </c>
    </row>
    <row r="56" spans="1:5" s="181" customFormat="1" ht="15.75" customHeight="1" x14ac:dyDescent="0.2">
      <c r="A56" s="1408" t="s">
        <v>968</v>
      </c>
      <c r="B56" s="1409"/>
      <c r="C56" s="828">
        <v>42826</v>
      </c>
      <c r="D56" s="828">
        <v>42855</v>
      </c>
      <c r="E56" s="829">
        <v>17000</v>
      </c>
    </row>
    <row r="57" spans="1:5" s="181" customFormat="1" ht="15" customHeight="1" x14ac:dyDescent="0.2">
      <c r="A57" s="1408" t="s">
        <v>969</v>
      </c>
      <c r="B57" s="1409"/>
      <c r="C57" s="830"/>
      <c r="D57" s="830"/>
      <c r="E57" s="831">
        <v>17000</v>
      </c>
    </row>
    <row r="58" spans="1:5" s="181" customFormat="1" ht="26.25" customHeight="1" x14ac:dyDescent="0.2">
      <c r="A58" s="1414" t="s">
        <v>970</v>
      </c>
      <c r="B58" s="1415"/>
      <c r="C58" s="827">
        <v>42887</v>
      </c>
      <c r="D58" s="827">
        <v>42887</v>
      </c>
      <c r="E58" s="826">
        <v>-46000</v>
      </c>
    </row>
    <row r="59" spans="1:5" s="181" customFormat="1" ht="26.25" customHeight="1" x14ac:dyDescent="0.2">
      <c r="A59" s="1414" t="s">
        <v>971</v>
      </c>
      <c r="B59" s="1415"/>
      <c r="C59" s="827"/>
      <c r="D59" s="827"/>
      <c r="E59" s="826">
        <v>46000</v>
      </c>
    </row>
    <row r="60" spans="1:5" s="181" customFormat="1" ht="18.75" customHeight="1" x14ac:dyDescent="0.2">
      <c r="A60" s="1408" t="s">
        <v>972</v>
      </c>
      <c r="B60" s="1409"/>
      <c r="C60" s="830">
        <v>42887</v>
      </c>
      <c r="D60" s="830">
        <v>42887</v>
      </c>
      <c r="E60" s="831">
        <v>-2600</v>
      </c>
    </row>
    <row r="61" spans="1:5" s="181" customFormat="1" ht="18.75" customHeight="1" x14ac:dyDescent="0.2">
      <c r="A61" s="1408" t="s">
        <v>973</v>
      </c>
      <c r="B61" s="1409"/>
      <c r="C61" s="830"/>
      <c r="D61" s="830"/>
      <c r="E61" s="831">
        <v>2600</v>
      </c>
    </row>
    <row r="62" spans="1:5" s="181" customFormat="1" ht="26.25" customHeight="1" x14ac:dyDescent="0.2">
      <c r="A62" s="1410" t="s">
        <v>974</v>
      </c>
      <c r="B62" s="1411"/>
      <c r="C62" s="825">
        <v>42941</v>
      </c>
      <c r="D62" s="825">
        <v>42947</v>
      </c>
      <c r="E62" s="832">
        <v>12500</v>
      </c>
    </row>
    <row r="63" spans="1:5" s="181" customFormat="1" ht="26.25" customHeight="1" x14ac:dyDescent="0.2">
      <c r="A63" s="1410" t="s">
        <v>975</v>
      </c>
      <c r="B63" s="1411"/>
      <c r="C63" s="825"/>
      <c r="D63" s="825"/>
      <c r="E63" s="832">
        <v>12500</v>
      </c>
    </row>
    <row r="64" spans="1:5" s="181" customFormat="1" ht="26.25" customHeight="1" x14ac:dyDescent="0.2">
      <c r="A64" s="1412" t="s">
        <v>976</v>
      </c>
      <c r="B64" s="1413"/>
      <c r="C64" s="828">
        <v>42948</v>
      </c>
      <c r="D64" s="828">
        <v>42978</v>
      </c>
      <c r="E64" s="829">
        <v>320000</v>
      </c>
    </row>
    <row r="65" spans="1:5" s="181" customFormat="1" ht="26.25" customHeight="1" x14ac:dyDescent="0.2">
      <c r="A65" s="1412" t="s">
        <v>977</v>
      </c>
      <c r="B65" s="1413"/>
      <c r="C65" s="828"/>
      <c r="D65" s="828"/>
      <c r="E65" s="829">
        <v>320000</v>
      </c>
    </row>
    <row r="66" spans="1:5" s="181" customFormat="1" ht="18" customHeight="1" x14ac:dyDescent="0.2">
      <c r="A66" s="1414" t="s">
        <v>217</v>
      </c>
      <c r="B66" s="1415"/>
      <c r="C66" s="825"/>
      <c r="D66" s="825"/>
      <c r="E66" s="832">
        <v>-104380</v>
      </c>
    </row>
    <row r="67" spans="1:5" s="181" customFormat="1" ht="26.25" customHeight="1" x14ac:dyDescent="0.2">
      <c r="A67" s="1414" t="s">
        <v>978</v>
      </c>
      <c r="B67" s="1415"/>
      <c r="C67" s="825">
        <v>43008</v>
      </c>
      <c r="D67" s="825">
        <v>43008</v>
      </c>
      <c r="E67" s="832">
        <v>43900</v>
      </c>
    </row>
    <row r="68" spans="1:5" s="181" customFormat="1" ht="26.25" customHeight="1" x14ac:dyDescent="0.2">
      <c r="A68" s="1414" t="s">
        <v>979</v>
      </c>
      <c r="B68" s="1415"/>
      <c r="C68" s="825"/>
      <c r="D68" s="825"/>
      <c r="E68" s="832">
        <v>60480</v>
      </c>
    </row>
    <row r="69" spans="1:5" s="181" customFormat="1" ht="36.75" customHeight="1" x14ac:dyDescent="0.2">
      <c r="A69" s="1418" t="s">
        <v>980</v>
      </c>
      <c r="B69" s="1419"/>
      <c r="C69" s="823">
        <v>43042</v>
      </c>
      <c r="D69" s="823">
        <v>43069</v>
      </c>
      <c r="E69" s="824">
        <v>-130000</v>
      </c>
    </row>
    <row r="70" spans="1:5" s="181" customFormat="1" ht="26.25" customHeight="1" x14ac:dyDescent="0.2">
      <c r="A70" s="1416" t="s">
        <v>981</v>
      </c>
      <c r="B70" s="1417"/>
      <c r="C70" s="823"/>
      <c r="D70" s="823"/>
      <c r="E70" s="824">
        <v>90000</v>
      </c>
    </row>
    <row r="71" spans="1:5" s="181" customFormat="1" ht="35.25" customHeight="1" x14ac:dyDescent="0.2">
      <c r="A71" s="1416" t="s">
        <v>982</v>
      </c>
      <c r="B71" s="1417"/>
      <c r="C71" s="823"/>
      <c r="D71" s="823"/>
      <c r="E71" s="824">
        <v>40000</v>
      </c>
    </row>
    <row r="72" spans="1:5" s="181" customFormat="1" ht="36" customHeight="1" x14ac:dyDescent="0.2">
      <c r="A72" s="1416" t="s">
        <v>983</v>
      </c>
      <c r="B72" s="1417"/>
      <c r="C72" s="823">
        <v>43053</v>
      </c>
      <c r="D72" s="823">
        <v>43069</v>
      </c>
      <c r="E72" s="824">
        <v>-30000</v>
      </c>
    </row>
    <row r="73" spans="1:5" s="181" customFormat="1" ht="26.25" customHeight="1" x14ac:dyDescent="0.2">
      <c r="A73" s="1416" t="s">
        <v>984</v>
      </c>
      <c r="B73" s="1417"/>
      <c r="C73" s="823"/>
      <c r="D73" s="823"/>
      <c r="E73" s="824">
        <v>30000</v>
      </c>
    </row>
    <row r="74" spans="1:5" s="181" customFormat="1" ht="26.25" customHeight="1" x14ac:dyDescent="0.2">
      <c r="A74" s="1414" t="s">
        <v>985</v>
      </c>
      <c r="B74" s="1415"/>
      <c r="C74" s="825">
        <v>43070</v>
      </c>
      <c r="D74" s="825">
        <v>43100</v>
      </c>
      <c r="E74" s="832">
        <v>5400</v>
      </c>
    </row>
    <row r="75" spans="1:5" s="181" customFormat="1" ht="26.25" customHeight="1" x14ac:dyDescent="0.2">
      <c r="A75" s="1410" t="s">
        <v>986</v>
      </c>
      <c r="B75" s="1411"/>
      <c r="C75" s="825"/>
      <c r="D75" s="825"/>
      <c r="E75" s="832">
        <v>5400</v>
      </c>
    </row>
    <row r="76" spans="1:5" s="181" customFormat="1" ht="41.25" customHeight="1" x14ac:dyDescent="0.2">
      <c r="A76" s="1410" t="s">
        <v>987</v>
      </c>
      <c r="B76" s="1411"/>
      <c r="C76" s="825">
        <v>43074</v>
      </c>
      <c r="D76" s="825">
        <v>43100</v>
      </c>
      <c r="E76" s="832">
        <v>12000</v>
      </c>
    </row>
    <row r="77" spans="1:5" s="181" customFormat="1" ht="39" customHeight="1" x14ac:dyDescent="0.2">
      <c r="A77" s="1410" t="s">
        <v>988</v>
      </c>
      <c r="B77" s="1411"/>
      <c r="C77" s="825"/>
      <c r="D77" s="825"/>
      <c r="E77" s="832">
        <v>12000</v>
      </c>
    </row>
    <row r="78" spans="1:5" s="181" customFormat="1" ht="23.25" customHeight="1" x14ac:dyDescent="0.2">
      <c r="A78" s="1414" t="s">
        <v>218</v>
      </c>
      <c r="B78" s="1415"/>
      <c r="C78" s="825">
        <v>43089</v>
      </c>
      <c r="D78" s="825">
        <v>43100</v>
      </c>
      <c r="E78" s="832">
        <v>8600</v>
      </c>
    </row>
    <row r="79" spans="1:5" s="181" customFormat="1" ht="15" customHeight="1" x14ac:dyDescent="0.2">
      <c r="A79" s="1414" t="s">
        <v>219</v>
      </c>
      <c r="B79" s="1415"/>
      <c r="C79" s="825"/>
      <c r="D79" s="825"/>
      <c r="E79" s="832">
        <v>8600</v>
      </c>
    </row>
    <row r="80" spans="1:5" s="181" customFormat="1" ht="42" customHeight="1" x14ac:dyDescent="0.2">
      <c r="A80" s="1414" t="s">
        <v>989</v>
      </c>
      <c r="B80" s="1415"/>
      <c r="C80" s="825">
        <v>43089</v>
      </c>
      <c r="D80" s="825">
        <v>43100</v>
      </c>
      <c r="E80" s="832">
        <v>-72000</v>
      </c>
    </row>
    <row r="81" spans="1:5" s="181" customFormat="1" ht="42" customHeight="1" x14ac:dyDescent="0.2">
      <c r="A81" s="1414" t="s">
        <v>990</v>
      </c>
      <c r="B81" s="1415"/>
      <c r="C81" s="825"/>
      <c r="D81" s="825"/>
      <c r="E81" s="832">
        <v>72000</v>
      </c>
    </row>
    <row r="82" spans="1:5" s="181" customFormat="1" ht="42" customHeight="1" x14ac:dyDescent="0.2">
      <c r="A82" s="1414" t="s">
        <v>989</v>
      </c>
      <c r="B82" s="1415"/>
      <c r="C82" s="825">
        <v>43089</v>
      </c>
      <c r="D82" s="825">
        <v>43100</v>
      </c>
      <c r="E82" s="832">
        <v>-27000</v>
      </c>
    </row>
    <row r="83" spans="1:5" s="181" customFormat="1" ht="25.5" customHeight="1" x14ac:dyDescent="0.2">
      <c r="A83" s="1414" t="s">
        <v>991</v>
      </c>
      <c r="B83" s="1415"/>
      <c r="C83" s="825"/>
      <c r="D83" s="825"/>
      <c r="E83" s="832">
        <v>27000</v>
      </c>
    </row>
    <row r="84" spans="1:5" s="181" customFormat="1" ht="25.5" customHeight="1" x14ac:dyDescent="0.2">
      <c r="A84" s="1414" t="s">
        <v>992</v>
      </c>
      <c r="B84" s="1415"/>
      <c r="C84" s="825">
        <v>43089</v>
      </c>
      <c r="D84" s="825">
        <v>43100</v>
      </c>
      <c r="E84" s="832">
        <v>-57000</v>
      </c>
    </row>
    <row r="85" spans="1:5" s="181" customFormat="1" ht="16.5" customHeight="1" x14ac:dyDescent="0.2">
      <c r="A85" s="1414" t="s">
        <v>993</v>
      </c>
      <c r="B85" s="1415"/>
      <c r="C85" s="827"/>
      <c r="D85" s="827"/>
      <c r="E85" s="826">
        <v>-57000</v>
      </c>
    </row>
    <row r="86" spans="1:5" s="181" customFormat="1" ht="16.5" customHeight="1" x14ac:dyDescent="0.2">
      <c r="A86" s="1414" t="s">
        <v>994</v>
      </c>
      <c r="B86" s="1415"/>
      <c r="C86" s="825">
        <v>43089</v>
      </c>
      <c r="D86" s="825">
        <v>43100</v>
      </c>
      <c r="E86" s="832">
        <v>-16000</v>
      </c>
    </row>
    <row r="87" spans="1:5" s="181" customFormat="1" ht="16.5" customHeight="1" x14ac:dyDescent="0.2">
      <c r="A87" s="1414" t="s">
        <v>995</v>
      </c>
      <c r="B87" s="1415"/>
      <c r="C87" s="827"/>
      <c r="D87" s="827"/>
      <c r="E87" s="826">
        <v>-16000</v>
      </c>
    </row>
    <row r="88" spans="1:5" s="181" customFormat="1" ht="16.5" customHeight="1" x14ac:dyDescent="0.2">
      <c r="A88" s="1410" t="s">
        <v>996</v>
      </c>
      <c r="B88" s="1411"/>
      <c r="C88" s="825">
        <v>43089</v>
      </c>
      <c r="D88" s="825">
        <v>43100</v>
      </c>
      <c r="E88" s="832">
        <v>-3000</v>
      </c>
    </row>
    <row r="89" spans="1:5" s="181" customFormat="1" ht="25.5" customHeight="1" x14ac:dyDescent="0.2">
      <c r="A89" s="1410" t="s">
        <v>997</v>
      </c>
      <c r="B89" s="1411"/>
      <c r="C89" s="825"/>
      <c r="D89" s="825"/>
      <c r="E89" s="832">
        <v>2800</v>
      </c>
    </row>
    <row r="90" spans="1:5" s="181" customFormat="1" ht="17.25" customHeight="1" x14ac:dyDescent="0.2">
      <c r="A90" s="1410" t="s">
        <v>998</v>
      </c>
      <c r="B90" s="1411"/>
      <c r="C90" s="825"/>
      <c r="D90" s="825"/>
      <c r="E90" s="832">
        <v>200</v>
      </c>
    </row>
    <row r="91" spans="1:5" s="181" customFormat="1" ht="17.25" customHeight="1" x14ac:dyDescent="0.2">
      <c r="A91" s="1410" t="s">
        <v>996</v>
      </c>
      <c r="B91" s="1411"/>
      <c r="C91" s="825">
        <v>43089</v>
      </c>
      <c r="D91" s="825">
        <v>43100</v>
      </c>
      <c r="E91" s="832">
        <v>-69000</v>
      </c>
    </row>
    <row r="92" spans="1:5" s="181" customFormat="1" ht="25.5" customHeight="1" x14ac:dyDescent="0.2">
      <c r="A92" s="1410" t="s">
        <v>999</v>
      </c>
      <c r="B92" s="1411"/>
      <c r="C92" s="825"/>
      <c r="D92" s="825"/>
      <c r="E92" s="832">
        <v>69000</v>
      </c>
    </row>
    <row r="93" spans="1:5" s="181" customFormat="1" ht="44.25" customHeight="1" x14ac:dyDescent="0.2">
      <c r="A93" s="1418" t="s">
        <v>1000</v>
      </c>
      <c r="B93" s="1419"/>
      <c r="C93" s="823">
        <v>43096</v>
      </c>
      <c r="D93" s="823">
        <v>43100</v>
      </c>
      <c r="E93" s="824">
        <v>-76000</v>
      </c>
    </row>
    <row r="94" spans="1:5" s="181" customFormat="1" ht="27" customHeight="1" x14ac:dyDescent="0.2">
      <c r="A94" s="1418" t="s">
        <v>1001</v>
      </c>
      <c r="B94" s="1419"/>
      <c r="C94" s="823"/>
      <c r="D94" s="823"/>
      <c r="E94" s="824">
        <v>76000</v>
      </c>
    </row>
    <row r="95" spans="1:5" s="181" customFormat="1" ht="11.25" x14ac:dyDescent="0.2">
      <c r="A95" s="243"/>
      <c r="B95" s="242"/>
      <c r="C95" s="249"/>
      <c r="D95" s="249"/>
      <c r="E95" s="250"/>
    </row>
    <row r="96" spans="1:5" s="181" customFormat="1" ht="11.25" x14ac:dyDescent="0.2">
      <c r="A96" s="378" t="s">
        <v>220</v>
      </c>
      <c r="B96" s="379"/>
      <c r="C96" s="380"/>
      <c r="D96" s="380"/>
      <c r="E96" s="381"/>
    </row>
    <row r="97" spans="1:5" s="181" customFormat="1" ht="13.5" customHeight="1" x14ac:dyDescent="0.2">
      <c r="A97" s="1232" t="s">
        <v>1002</v>
      </c>
      <c r="B97" s="1233"/>
      <c r="C97" s="667">
        <v>42826</v>
      </c>
      <c r="D97" s="667">
        <v>42826</v>
      </c>
      <c r="E97" s="833">
        <v>10000</v>
      </c>
    </row>
    <row r="98" spans="1:5" s="181" customFormat="1" ht="11.25" x14ac:dyDescent="0.2">
      <c r="A98" s="1232" t="s">
        <v>1003</v>
      </c>
      <c r="B98" s="1233"/>
      <c r="C98" s="667"/>
      <c r="D98" s="667"/>
      <c r="E98" s="833">
        <v>4000</v>
      </c>
    </row>
    <row r="99" spans="1:5" s="181" customFormat="1" ht="12" customHeight="1" x14ac:dyDescent="0.2">
      <c r="A99" s="1232" t="s">
        <v>1004</v>
      </c>
      <c r="B99" s="1233"/>
      <c r="C99" s="667"/>
      <c r="D99" s="667"/>
      <c r="E99" s="833">
        <v>10000</v>
      </c>
    </row>
    <row r="100" spans="1:5" s="181" customFormat="1" ht="11.25" x14ac:dyDescent="0.2">
      <c r="A100" s="1232" t="s">
        <v>1005</v>
      </c>
      <c r="B100" s="1233"/>
      <c r="C100" s="667"/>
      <c r="D100" s="667"/>
      <c r="E100" s="833">
        <v>4000</v>
      </c>
    </row>
    <row r="101" spans="1:5" s="181" customFormat="1" ht="15" customHeight="1" x14ac:dyDescent="0.2">
      <c r="A101" s="1404" t="s">
        <v>1006</v>
      </c>
      <c r="B101" s="1405"/>
      <c r="C101" s="834">
        <v>42826</v>
      </c>
      <c r="D101" s="834">
        <v>42826</v>
      </c>
      <c r="E101" s="835">
        <v>3010</v>
      </c>
    </row>
    <row r="102" spans="1:5" s="181" customFormat="1" ht="15" customHeight="1" x14ac:dyDescent="0.2">
      <c r="A102" s="1404" t="s">
        <v>1007</v>
      </c>
      <c r="B102" s="1405"/>
      <c r="C102" s="834"/>
      <c r="D102" s="834"/>
      <c r="E102" s="835">
        <v>3010</v>
      </c>
    </row>
    <row r="103" spans="1:5" s="181" customFormat="1" ht="26.25" customHeight="1" x14ac:dyDescent="0.2">
      <c r="A103" s="1232" t="s">
        <v>1008</v>
      </c>
      <c r="B103" s="1233"/>
      <c r="C103" s="667">
        <v>43089</v>
      </c>
      <c r="D103" s="667">
        <v>43089</v>
      </c>
      <c r="E103" s="836">
        <v>-28000</v>
      </c>
    </row>
    <row r="104" spans="1:5" s="181" customFormat="1" ht="25.5" customHeight="1" x14ac:dyDescent="0.2">
      <c r="A104" s="1232" t="s">
        <v>1009</v>
      </c>
      <c r="B104" s="1233"/>
      <c r="C104" s="667">
        <v>43089</v>
      </c>
      <c r="D104" s="667">
        <v>43089</v>
      </c>
      <c r="E104" s="836">
        <v>-653</v>
      </c>
    </row>
    <row r="105" spans="1:5" s="181" customFormat="1" ht="12" customHeight="1" x14ac:dyDescent="0.2">
      <c r="A105" s="1232" t="s">
        <v>1010</v>
      </c>
      <c r="B105" s="1233"/>
      <c r="C105" s="667">
        <v>43089</v>
      </c>
      <c r="D105" s="667">
        <v>43089</v>
      </c>
      <c r="E105" s="833">
        <v>28610</v>
      </c>
    </row>
    <row r="106" spans="1:5" s="181" customFormat="1" ht="15.75" customHeight="1" x14ac:dyDescent="0.2">
      <c r="A106" s="1232" t="s">
        <v>1011</v>
      </c>
      <c r="B106" s="1233"/>
      <c r="C106" s="667">
        <v>43089</v>
      </c>
      <c r="D106" s="667">
        <v>43089</v>
      </c>
      <c r="E106" s="833">
        <v>40</v>
      </c>
    </row>
    <row r="107" spans="1:5" s="181" customFormat="1" ht="15.75" customHeight="1" x14ac:dyDescent="0.2">
      <c r="A107" s="1232" t="s">
        <v>1012</v>
      </c>
      <c r="B107" s="1233"/>
      <c r="C107" s="667">
        <v>43089</v>
      </c>
      <c r="D107" s="667">
        <v>43089</v>
      </c>
      <c r="E107" s="833">
        <v>3</v>
      </c>
    </row>
    <row r="108" spans="1:5" s="181" customFormat="1" ht="15.75" customHeight="1" x14ac:dyDescent="0.2">
      <c r="A108" s="1404" t="s">
        <v>1013</v>
      </c>
      <c r="B108" s="1405"/>
      <c r="C108" s="834"/>
      <c r="D108" s="834"/>
      <c r="E108" s="837">
        <v>-32000</v>
      </c>
    </row>
    <row r="109" spans="1:5" s="181" customFormat="1" ht="15.75" customHeight="1" x14ac:dyDescent="0.2">
      <c r="A109" s="1404" t="s">
        <v>1014</v>
      </c>
      <c r="B109" s="1405"/>
      <c r="C109" s="834">
        <v>43089</v>
      </c>
      <c r="D109" s="834">
        <v>43089</v>
      </c>
      <c r="E109" s="837">
        <v>-21000</v>
      </c>
    </row>
    <row r="110" spans="1:5" s="181" customFormat="1" ht="26.25" customHeight="1" x14ac:dyDescent="0.2">
      <c r="A110" s="1404" t="s">
        <v>1015</v>
      </c>
      <c r="B110" s="1405"/>
      <c r="C110" s="834">
        <v>43089</v>
      </c>
      <c r="D110" s="834">
        <v>43089</v>
      </c>
      <c r="E110" s="837">
        <v>-11000</v>
      </c>
    </row>
    <row r="111" spans="1:5" s="181" customFormat="1" ht="15.75" customHeight="1" x14ac:dyDescent="0.2">
      <c r="A111" s="1232" t="s">
        <v>1013</v>
      </c>
      <c r="B111" s="1233"/>
      <c r="C111" s="667"/>
      <c r="D111" s="667"/>
      <c r="E111" s="836">
        <v>-15000</v>
      </c>
    </row>
    <row r="112" spans="1:5" s="181" customFormat="1" ht="15.75" customHeight="1" x14ac:dyDescent="0.2">
      <c r="A112" s="1232" t="s">
        <v>1016</v>
      </c>
      <c r="B112" s="1233"/>
      <c r="C112" s="667">
        <v>43089</v>
      </c>
      <c r="D112" s="667">
        <v>43089</v>
      </c>
      <c r="E112" s="836">
        <v>-15000</v>
      </c>
    </row>
    <row r="113" spans="1:9" s="181" customFormat="1" ht="11.25" x14ac:dyDescent="0.2">
      <c r="A113" s="1083" t="s">
        <v>397</v>
      </c>
      <c r="B113" s="1083"/>
      <c r="C113" s="1083"/>
      <c r="D113" s="1083"/>
      <c r="E113" s="1083"/>
      <c r="F113" s="1083"/>
      <c r="G113" s="1083"/>
      <c r="H113" s="1083"/>
      <c r="I113" s="1083"/>
    </row>
    <row r="114" spans="1:9" s="181" customFormat="1" ht="24.75" customHeight="1" x14ac:dyDescent="0.2">
      <c r="A114" s="1117" t="s">
        <v>1017</v>
      </c>
      <c r="B114" s="1117"/>
      <c r="C114" s="1117"/>
      <c r="D114" s="1117"/>
      <c r="E114" s="1117"/>
      <c r="F114" s="1117"/>
      <c r="G114" s="1117"/>
      <c r="H114" s="1117"/>
      <c r="I114" s="1117"/>
    </row>
    <row r="115" spans="1:9" s="181" customFormat="1" ht="11.25" x14ac:dyDescent="0.2">
      <c r="A115" s="1034"/>
      <c r="B115" s="1035"/>
      <c r="C115" s="1035"/>
      <c r="D115" s="1035"/>
      <c r="E115" s="1035"/>
      <c r="F115" s="1035"/>
      <c r="G115" s="1035"/>
      <c r="H115" s="1035"/>
      <c r="I115" s="1036"/>
    </row>
    <row r="116" spans="1:9" s="181" customFormat="1" ht="0.75" customHeight="1" x14ac:dyDescent="0.2">
      <c r="A116" s="1034"/>
      <c r="B116" s="1035"/>
      <c r="C116" s="1035"/>
      <c r="D116" s="1035"/>
      <c r="E116" s="1035"/>
      <c r="F116" s="1035"/>
      <c r="G116" s="1035"/>
      <c r="H116" s="1035"/>
      <c r="I116" s="1036"/>
    </row>
    <row r="117" spans="1:9" s="181" customFormat="1" ht="11.25" hidden="1" x14ac:dyDescent="0.2"/>
    <row r="118" spans="1:9" s="180" customFormat="1" ht="10.5" x14ac:dyDescent="0.15">
      <c r="A118" s="1039" t="s">
        <v>399</v>
      </c>
      <c r="B118" s="1039"/>
      <c r="C118" s="1039"/>
      <c r="D118" s="1039"/>
      <c r="E118" s="1039"/>
      <c r="F118" s="1039"/>
      <c r="G118" s="1039"/>
      <c r="H118" s="1039"/>
      <c r="I118" s="1039"/>
    </row>
    <row r="119" spans="1:9" s="181" customFormat="1" ht="19.5" customHeight="1" x14ac:dyDescent="0.2">
      <c r="A119" s="181" t="s">
        <v>112</v>
      </c>
    </row>
    <row r="120" spans="1:9" s="377" customFormat="1" ht="52.5" customHeight="1" x14ac:dyDescent="0.2">
      <c r="A120" s="1213" t="s">
        <v>1018</v>
      </c>
      <c r="B120" s="1214"/>
      <c r="C120" s="1214"/>
      <c r="D120" s="1214"/>
      <c r="E120" s="1214"/>
      <c r="F120" s="1214"/>
      <c r="G120" s="1214"/>
      <c r="H120" s="1214"/>
      <c r="I120" s="1215"/>
    </row>
    <row r="121" spans="1:9" s="377" customFormat="1" ht="37.5" customHeight="1" x14ac:dyDescent="0.2">
      <c r="A121" s="1213" t="s">
        <v>1019</v>
      </c>
      <c r="B121" s="1214"/>
      <c r="C121" s="1214"/>
      <c r="D121" s="1214"/>
      <c r="E121" s="1214"/>
      <c r="F121" s="1214"/>
      <c r="G121" s="1214"/>
      <c r="H121" s="1214"/>
      <c r="I121" s="1215"/>
    </row>
    <row r="122" spans="1:9" s="377" customFormat="1" ht="30.75" customHeight="1" x14ac:dyDescent="0.2">
      <c r="A122" s="1213" t="s">
        <v>1020</v>
      </c>
      <c r="B122" s="1214"/>
      <c r="C122" s="1214"/>
      <c r="D122" s="1214"/>
      <c r="E122" s="1214"/>
      <c r="F122" s="1214"/>
      <c r="G122" s="1214"/>
      <c r="H122" s="1214"/>
      <c r="I122" s="1215"/>
    </row>
    <row r="123" spans="1:9" ht="93.75" customHeight="1" x14ac:dyDescent="0.2">
      <c r="A123" s="1420" t="s">
        <v>1021</v>
      </c>
      <c r="B123" s="1420"/>
      <c r="C123" s="1420"/>
      <c r="D123" s="1420"/>
      <c r="E123" s="1420"/>
      <c r="F123" s="1420"/>
      <c r="G123" s="1420"/>
      <c r="H123" s="1420"/>
      <c r="I123" s="1420"/>
    </row>
    <row r="124" spans="1:9" ht="49.5" customHeight="1" x14ac:dyDescent="0.2">
      <c r="A124" s="240" t="s">
        <v>221</v>
      </c>
      <c r="E124" s="240" t="s">
        <v>222</v>
      </c>
    </row>
    <row r="127" spans="1:9" x14ac:dyDescent="0.2">
      <c r="A127" s="239"/>
    </row>
    <row r="128" spans="1:9" x14ac:dyDescent="0.2">
      <c r="A128" s="239"/>
    </row>
  </sheetData>
  <mergeCells count="104">
    <mergeCell ref="A118:I118"/>
    <mergeCell ref="A120:I120"/>
    <mergeCell ref="A121:I121"/>
    <mergeCell ref="A123:I123"/>
    <mergeCell ref="A110:B110"/>
    <mergeCell ref="A111:B111"/>
    <mergeCell ref="A112:B112"/>
    <mergeCell ref="A104:B104"/>
    <mergeCell ref="A105:B105"/>
    <mergeCell ref="A106:B106"/>
    <mergeCell ref="A107:B107"/>
    <mergeCell ref="A108:B108"/>
    <mergeCell ref="A109:B109"/>
    <mergeCell ref="A97:B97"/>
    <mergeCell ref="A98:B98"/>
    <mergeCell ref="A99:B99"/>
    <mergeCell ref="A100:B100"/>
    <mergeCell ref="A101:B101"/>
    <mergeCell ref="A90:B90"/>
    <mergeCell ref="A91:B91"/>
    <mergeCell ref="A92:B92"/>
    <mergeCell ref="A93:B93"/>
    <mergeCell ref="A94:B94"/>
    <mergeCell ref="A84:B84"/>
    <mergeCell ref="A85:B85"/>
    <mergeCell ref="A86:B86"/>
    <mergeCell ref="A87:B87"/>
    <mergeCell ref="A88:B88"/>
    <mergeCell ref="A89:B89"/>
    <mergeCell ref="A78:B78"/>
    <mergeCell ref="A79:B79"/>
    <mergeCell ref="A80:B80"/>
    <mergeCell ref="A81:B81"/>
    <mergeCell ref="A82:B82"/>
    <mergeCell ref="A83:B83"/>
    <mergeCell ref="A72:B72"/>
    <mergeCell ref="A73:B73"/>
    <mergeCell ref="A74:B74"/>
    <mergeCell ref="A75:B75"/>
    <mergeCell ref="A76:B76"/>
    <mergeCell ref="A77:B77"/>
    <mergeCell ref="A66:B66"/>
    <mergeCell ref="A67:B67"/>
    <mergeCell ref="A68:B68"/>
    <mergeCell ref="A69:B69"/>
    <mergeCell ref="A70:B70"/>
    <mergeCell ref="A71:B71"/>
    <mergeCell ref="A60:B60"/>
    <mergeCell ref="A61:B61"/>
    <mergeCell ref="A62:B62"/>
    <mergeCell ref="A63:B63"/>
    <mergeCell ref="A64:B64"/>
    <mergeCell ref="A65:B65"/>
    <mergeCell ref="C43:I43"/>
    <mergeCell ref="C44:I44"/>
    <mergeCell ref="C45:I45"/>
    <mergeCell ref="A54:B54"/>
    <mergeCell ref="A55:B55"/>
    <mergeCell ref="A56:B56"/>
    <mergeCell ref="A57:B57"/>
    <mergeCell ref="A58:B58"/>
    <mergeCell ref="A59:B59"/>
    <mergeCell ref="A49:B49"/>
    <mergeCell ref="A51:B51"/>
    <mergeCell ref="A52:B52"/>
    <mergeCell ref="A53:B53"/>
    <mergeCell ref="A47:I47"/>
    <mergeCell ref="D9:I9"/>
    <mergeCell ref="A11:I11"/>
    <mergeCell ref="A15:A17"/>
    <mergeCell ref="C39:I39"/>
    <mergeCell ref="C40:I40"/>
    <mergeCell ref="C41:I41"/>
    <mergeCell ref="C42:I42"/>
    <mergeCell ref="F27:I27"/>
    <mergeCell ref="A29:I29"/>
    <mergeCell ref="A32:I32"/>
    <mergeCell ref="A35:I35"/>
    <mergeCell ref="C37:I37"/>
    <mergeCell ref="C38:I38"/>
    <mergeCell ref="A102:B102"/>
    <mergeCell ref="A103:B103"/>
    <mergeCell ref="A113:I113"/>
    <mergeCell ref="A114:I114"/>
    <mergeCell ref="A115:I115"/>
    <mergeCell ref="A116:I116"/>
    <mergeCell ref="A122:I122"/>
    <mergeCell ref="A3:I3"/>
    <mergeCell ref="A5:B5"/>
    <mergeCell ref="D5:I5"/>
    <mergeCell ref="A6:B6"/>
    <mergeCell ref="D6:I6"/>
    <mergeCell ref="A7:B7"/>
    <mergeCell ref="D7:I7"/>
    <mergeCell ref="A20:I20"/>
    <mergeCell ref="F22:I22"/>
    <mergeCell ref="D15:I15"/>
    <mergeCell ref="F23:I23"/>
    <mergeCell ref="F24:I24"/>
    <mergeCell ref="F25:I25"/>
    <mergeCell ref="F26:I26"/>
    <mergeCell ref="A8:B8"/>
    <mergeCell ref="D8:I8"/>
    <mergeCell ref="A9:B9"/>
  </mergeCells>
  <pageMargins left="0.70866141732283472" right="0.70866141732283472" top="0.78740157480314965" bottom="0.78740157480314965" header="0.31496062992125984" footer="0.31496062992125984"/>
  <pageSetup paperSize="9" scale="73" firstPageNumber="117" fitToHeight="11" orientation="portrait" useFirstPageNumber="1" r:id="rId1"/>
  <headerFoot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topLeftCell="A84" zoomScale="150" zoomScaleNormal="150" workbookViewId="0">
      <selection activeCell="A107" sqref="A107:XFD107"/>
    </sheetView>
  </sheetViews>
  <sheetFormatPr defaultColWidth="6.5" defaultRowHeight="8.25" x14ac:dyDescent="0.15"/>
  <cols>
    <col min="1" max="1" width="5.5" style="1" customWidth="1"/>
    <col min="2" max="2" width="6.5" customWidth="1"/>
    <col min="3" max="3" width="36.75" customWidth="1"/>
    <col min="4" max="4" width="9.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2" customFormat="1" ht="15.75" x14ac:dyDescent="0.25">
      <c r="A1" s="1019" t="s">
        <v>223</v>
      </c>
      <c r="B1" s="1019"/>
      <c r="C1" s="1019"/>
      <c r="D1" s="1019"/>
      <c r="E1" s="1019"/>
      <c r="F1" s="1019"/>
      <c r="G1" s="1019"/>
      <c r="H1" s="1019"/>
      <c r="I1" s="1019"/>
      <c r="J1" s="1019"/>
      <c r="K1" s="1019"/>
      <c r="L1" s="1019"/>
      <c r="M1" s="1019"/>
      <c r="N1" s="1019"/>
      <c r="O1" s="1019"/>
      <c r="P1" s="1019"/>
      <c r="Q1" s="1019"/>
      <c r="R1" s="1019"/>
      <c r="S1" s="1019"/>
      <c r="T1" s="1019"/>
      <c r="U1" s="1019"/>
      <c r="V1" s="1019"/>
      <c r="W1" s="1019"/>
      <c r="X1" s="1019"/>
    </row>
    <row r="3" spans="1:24" s="3" customFormat="1" ht="9.75" customHeight="1" x14ac:dyDescent="0.2">
      <c r="A3" s="1012" t="s">
        <v>40</v>
      </c>
      <c r="B3" s="1022" t="s">
        <v>41</v>
      </c>
      <c r="C3" s="1023"/>
      <c r="D3" s="1028" t="s">
        <v>42</v>
      </c>
      <c r="E3" s="1031" t="s">
        <v>34</v>
      </c>
      <c r="F3" s="1032"/>
      <c r="G3" s="1032"/>
      <c r="H3" s="1032"/>
      <c r="I3" s="1033"/>
      <c r="J3" s="1031" t="s">
        <v>39</v>
      </c>
      <c r="K3" s="1032"/>
      <c r="L3" s="1032"/>
      <c r="M3" s="1032"/>
      <c r="N3" s="1033"/>
      <c r="O3" s="1031" t="s">
        <v>43</v>
      </c>
      <c r="P3" s="1032"/>
      <c r="Q3" s="1032"/>
      <c r="R3" s="1032"/>
      <c r="S3" s="1033"/>
      <c r="T3" s="1031" t="s">
        <v>38</v>
      </c>
      <c r="U3" s="1032"/>
      <c r="V3" s="1032"/>
      <c r="W3" s="1032"/>
      <c r="X3" s="1033"/>
    </row>
    <row r="4" spans="1:24" s="4" customFormat="1" ht="9.75" customHeight="1" x14ac:dyDescent="0.2">
      <c r="A4" s="1020"/>
      <c r="B4" s="1024"/>
      <c r="C4" s="1025"/>
      <c r="D4" s="1029"/>
      <c r="E4" s="1014" t="s">
        <v>44</v>
      </c>
      <c r="F4" s="1016" t="s">
        <v>336</v>
      </c>
      <c r="G4" s="1017"/>
      <c r="H4" s="1018"/>
      <c r="I4" s="1012" t="s">
        <v>337</v>
      </c>
      <c r="J4" s="1014" t="s">
        <v>44</v>
      </c>
      <c r="K4" s="1016" t="s">
        <v>336</v>
      </c>
      <c r="L4" s="1017"/>
      <c r="M4" s="1018"/>
      <c r="N4" s="1012" t="s">
        <v>337</v>
      </c>
      <c r="O4" s="1014" t="s">
        <v>44</v>
      </c>
      <c r="P4" s="1016" t="s">
        <v>336</v>
      </c>
      <c r="Q4" s="1017"/>
      <c r="R4" s="1018"/>
      <c r="S4" s="1012" t="s">
        <v>337</v>
      </c>
      <c r="T4" s="1014" t="s">
        <v>44</v>
      </c>
      <c r="U4" s="1016" t="s">
        <v>336</v>
      </c>
      <c r="V4" s="1017"/>
      <c r="W4" s="1018"/>
      <c r="X4" s="1012" t="s">
        <v>337</v>
      </c>
    </row>
    <row r="5" spans="1:24" s="5" customFormat="1" ht="9.75" customHeight="1" x14ac:dyDescent="0.2">
      <c r="A5" s="1021"/>
      <c r="B5" s="1026"/>
      <c r="C5" s="1027"/>
      <c r="D5" s="1030"/>
      <c r="E5" s="1015"/>
      <c r="F5" s="14" t="s">
        <v>35</v>
      </c>
      <c r="G5" s="15" t="s">
        <v>36</v>
      </c>
      <c r="H5" s="14" t="s">
        <v>37</v>
      </c>
      <c r="I5" s="1013"/>
      <c r="J5" s="1015"/>
      <c r="K5" s="14" t="s">
        <v>35</v>
      </c>
      <c r="L5" s="15" t="s">
        <v>36</v>
      </c>
      <c r="M5" s="14" t="s">
        <v>37</v>
      </c>
      <c r="N5" s="1013"/>
      <c r="O5" s="1015"/>
      <c r="P5" s="14" t="s">
        <v>35</v>
      </c>
      <c r="Q5" s="15" t="s">
        <v>36</v>
      </c>
      <c r="R5" s="14" t="s">
        <v>37</v>
      </c>
      <c r="S5" s="1013"/>
      <c r="T5" s="1015"/>
      <c r="U5" s="14" t="s">
        <v>35</v>
      </c>
      <c r="V5" s="15" t="s">
        <v>36</v>
      </c>
      <c r="W5" s="14" t="s">
        <v>37</v>
      </c>
      <c r="X5" s="1013"/>
    </row>
    <row r="6" spans="1:24" s="3" customFormat="1" ht="9.75" customHeight="1" x14ac:dyDescent="0.2">
      <c r="A6" s="16" t="s">
        <v>0</v>
      </c>
      <c r="B6" s="1007" t="s">
        <v>1</v>
      </c>
      <c r="C6" s="1007"/>
      <c r="D6" s="17" t="s">
        <v>25</v>
      </c>
      <c r="E6" s="52">
        <f>SUM(E7:E9)</f>
        <v>32293590</v>
      </c>
      <c r="F6" s="52">
        <f>SUM(F7:F9)</f>
        <v>32956076</v>
      </c>
      <c r="G6" s="52">
        <f>SUM(G7:G9)</f>
        <v>33003573</v>
      </c>
      <c r="H6" s="18">
        <f t="shared" ref="H6:H36" si="0">G6/F6*100</f>
        <v>100.14412213395794</v>
      </c>
      <c r="I6" s="52">
        <f>SUM(I7:I9)</f>
        <v>31292620</v>
      </c>
      <c r="J6" s="52">
        <f>SUM(J7:J9)</f>
        <v>5158500</v>
      </c>
      <c r="K6" s="52">
        <f t="shared" ref="K6:X6" si="1">SUM(K7:K9)</f>
        <v>5434727</v>
      </c>
      <c r="L6" s="52">
        <f t="shared" si="1"/>
        <v>5482224</v>
      </c>
      <c r="M6" s="18">
        <f t="shared" ref="M6:M30" si="2">L6/K6*100</f>
        <v>100.87395374229469</v>
      </c>
      <c r="N6" s="69">
        <f t="shared" si="1"/>
        <v>5545136</v>
      </c>
      <c r="O6" s="52">
        <f t="shared" si="1"/>
        <v>27135090</v>
      </c>
      <c r="P6" s="52">
        <f t="shared" si="1"/>
        <v>27521349</v>
      </c>
      <c r="Q6" s="52">
        <f t="shared" si="1"/>
        <v>27521349</v>
      </c>
      <c r="R6" s="18">
        <f t="shared" ref="R6:R21" si="3">Q6/P6*100</f>
        <v>100</v>
      </c>
      <c r="S6" s="52">
        <f t="shared" si="1"/>
        <v>25747484</v>
      </c>
      <c r="T6" s="52">
        <f t="shared" si="1"/>
        <v>93517</v>
      </c>
      <c r="U6" s="52">
        <f t="shared" si="1"/>
        <v>93517</v>
      </c>
      <c r="V6" s="52">
        <f t="shared" si="1"/>
        <v>94799.29</v>
      </c>
      <c r="W6" s="18">
        <f t="shared" ref="W6:W33" si="4">V6/U6*100</f>
        <v>101.37118384892585</v>
      </c>
      <c r="X6" s="52">
        <f t="shared" si="1"/>
        <v>95832</v>
      </c>
    </row>
    <row r="7" spans="1:24" s="3" customFormat="1" ht="9.75" x14ac:dyDescent="0.2">
      <c r="A7" s="19" t="s">
        <v>2</v>
      </c>
      <c r="B7" s="1010" t="s">
        <v>46</v>
      </c>
      <c r="C7" s="1011"/>
      <c r="D7" s="47" t="s">
        <v>25</v>
      </c>
      <c r="E7" s="53">
        <f t="shared" ref="E7:G10" si="5">SUM(J7,O7)</f>
        <v>3631000</v>
      </c>
      <c r="F7" s="54">
        <f t="shared" si="5"/>
        <v>3908727</v>
      </c>
      <c r="G7" s="54">
        <f t="shared" si="5"/>
        <v>3956226</v>
      </c>
      <c r="H7" s="6">
        <f t="shared" si="0"/>
        <v>101.21520382467233</v>
      </c>
      <c r="I7" s="60">
        <v>3971708</v>
      </c>
      <c r="J7" s="61">
        <v>3631000</v>
      </c>
      <c r="K7" s="62">
        <v>3908727</v>
      </c>
      <c r="L7" s="62">
        <v>3956226</v>
      </c>
      <c r="M7" s="6">
        <f t="shared" si="2"/>
        <v>101.21520382467233</v>
      </c>
      <c r="N7" s="76">
        <v>3971708</v>
      </c>
      <c r="O7" s="77"/>
      <c r="P7" s="62"/>
      <c r="Q7" s="62"/>
      <c r="R7" s="6">
        <v>0</v>
      </c>
      <c r="S7" s="76">
        <v>0</v>
      </c>
      <c r="T7" s="77">
        <v>93517</v>
      </c>
      <c r="U7" s="62">
        <v>93517</v>
      </c>
      <c r="V7" s="62">
        <v>94799.29</v>
      </c>
      <c r="W7" s="6">
        <f t="shared" si="4"/>
        <v>101.37118384892585</v>
      </c>
      <c r="X7" s="91">
        <v>95832</v>
      </c>
    </row>
    <row r="8" spans="1:24" s="3" customFormat="1" ht="9.75" x14ac:dyDescent="0.2">
      <c r="A8" s="20" t="s">
        <v>3</v>
      </c>
      <c r="B8" s="1005" t="s">
        <v>47</v>
      </c>
      <c r="C8" s="1006"/>
      <c r="D8" s="48" t="s">
        <v>25</v>
      </c>
      <c r="E8" s="55">
        <f t="shared" si="5"/>
        <v>2500</v>
      </c>
      <c r="F8" s="56">
        <f t="shared" si="5"/>
        <v>1000</v>
      </c>
      <c r="G8" s="56">
        <f t="shared" si="5"/>
        <v>998</v>
      </c>
      <c r="H8" s="7">
        <f t="shared" si="0"/>
        <v>99.8</v>
      </c>
      <c r="I8" s="63">
        <f>SUM(N8,S8)</f>
        <v>1878</v>
      </c>
      <c r="J8" s="64">
        <v>2500</v>
      </c>
      <c r="K8" s="56">
        <v>1000</v>
      </c>
      <c r="L8" s="56">
        <v>998</v>
      </c>
      <c r="M8" s="7">
        <f t="shared" si="2"/>
        <v>99.8</v>
      </c>
      <c r="N8" s="63">
        <v>1878</v>
      </c>
      <c r="O8" s="55"/>
      <c r="P8" s="56"/>
      <c r="Q8" s="56"/>
      <c r="R8" s="7">
        <v>0</v>
      </c>
      <c r="S8" s="63"/>
      <c r="T8" s="55"/>
      <c r="U8" s="56"/>
      <c r="V8" s="56"/>
      <c r="W8" s="7">
        <v>0</v>
      </c>
      <c r="X8" s="92"/>
    </row>
    <row r="9" spans="1:24" s="3" customFormat="1" ht="9.75" x14ac:dyDescent="0.2">
      <c r="A9" s="21" t="s">
        <v>4</v>
      </c>
      <c r="B9" s="22" t="s">
        <v>62</v>
      </c>
      <c r="C9" s="23"/>
      <c r="D9" s="50" t="s">
        <v>25</v>
      </c>
      <c r="E9" s="57">
        <f t="shared" si="5"/>
        <v>28660090</v>
      </c>
      <c r="F9" s="58">
        <f t="shared" si="5"/>
        <v>29046349</v>
      </c>
      <c r="G9" s="58">
        <f t="shared" si="5"/>
        <v>29046349</v>
      </c>
      <c r="H9" s="24">
        <f t="shared" si="0"/>
        <v>100</v>
      </c>
      <c r="I9" s="65">
        <v>27319034</v>
      </c>
      <c r="J9" s="66">
        <v>1525000</v>
      </c>
      <c r="K9" s="58">
        <v>1525000</v>
      </c>
      <c r="L9" s="58">
        <v>1525000</v>
      </c>
      <c r="M9" s="24">
        <f t="shared" si="2"/>
        <v>100</v>
      </c>
      <c r="N9" s="65">
        <v>1571550</v>
      </c>
      <c r="O9" s="57">
        <v>27135090</v>
      </c>
      <c r="P9" s="58">
        <v>27521349</v>
      </c>
      <c r="Q9" s="58">
        <v>27521349</v>
      </c>
      <c r="R9" s="24">
        <f t="shared" si="3"/>
        <v>100</v>
      </c>
      <c r="S9" s="65">
        <v>25747484</v>
      </c>
      <c r="T9" s="57"/>
      <c r="U9" s="58"/>
      <c r="V9" s="58"/>
      <c r="W9" s="24">
        <v>0</v>
      </c>
      <c r="X9" s="93"/>
    </row>
    <row r="10" spans="1:24" s="3" customFormat="1" ht="9.75" x14ac:dyDescent="0.2">
      <c r="A10" s="16" t="s">
        <v>5</v>
      </c>
      <c r="B10" s="1007" t="s">
        <v>7</v>
      </c>
      <c r="C10" s="1007"/>
      <c r="D10" s="25" t="s">
        <v>25</v>
      </c>
      <c r="E10" s="59">
        <f t="shared" si="5"/>
        <v>0</v>
      </c>
      <c r="F10" s="59">
        <f t="shared" si="5"/>
        <v>0</v>
      </c>
      <c r="G10" s="59">
        <f t="shared" si="5"/>
        <v>0</v>
      </c>
      <c r="H10" s="18">
        <v>0</v>
      </c>
      <c r="I10" s="67">
        <f>SUM(N10,S10)</f>
        <v>0</v>
      </c>
      <c r="J10" s="68"/>
      <c r="K10" s="59"/>
      <c r="L10" s="59"/>
      <c r="M10" s="18">
        <v>0</v>
      </c>
      <c r="N10" s="67"/>
      <c r="O10" s="59"/>
      <c r="P10" s="59"/>
      <c r="Q10" s="59"/>
      <c r="R10" s="18">
        <v>0</v>
      </c>
      <c r="S10" s="67"/>
      <c r="T10" s="59"/>
      <c r="U10" s="59"/>
      <c r="V10" s="59"/>
      <c r="W10" s="18">
        <v>0</v>
      </c>
      <c r="X10" s="59"/>
    </row>
    <row r="11" spans="1:24" s="3" customFormat="1" ht="9.75" x14ac:dyDescent="0.2">
      <c r="A11" s="16" t="s">
        <v>6</v>
      </c>
      <c r="B11" s="1007" t="s">
        <v>9</v>
      </c>
      <c r="C11" s="1007"/>
      <c r="D11" s="25" t="s">
        <v>25</v>
      </c>
      <c r="E11" s="52">
        <f>SUM(E12:E31)</f>
        <v>32293590</v>
      </c>
      <c r="F11" s="52">
        <f>SUM(F12:F31)</f>
        <v>32956076</v>
      </c>
      <c r="G11" s="52">
        <f>SUM(G12:G31)</f>
        <v>32868143</v>
      </c>
      <c r="H11" s="18">
        <f t="shared" si="0"/>
        <v>99.733181219754442</v>
      </c>
      <c r="I11" s="69">
        <v>31147569</v>
      </c>
      <c r="J11" s="52">
        <f>SUM(J12:J31)</f>
        <v>5158500</v>
      </c>
      <c r="K11" s="52">
        <f>SUM(K12:K31)</f>
        <v>5434727</v>
      </c>
      <c r="L11" s="52">
        <f>SUM(L12:L31)</f>
        <v>5346794</v>
      </c>
      <c r="M11" s="18">
        <f t="shared" si="2"/>
        <v>98.382016244790222</v>
      </c>
      <c r="N11" s="69">
        <f>SUM(N12:N31)</f>
        <v>5400085</v>
      </c>
      <c r="O11" s="52">
        <f>SUM(O12:O31)</f>
        <v>27135090</v>
      </c>
      <c r="P11" s="52">
        <f>SUM(P12:P31)</f>
        <v>27521349</v>
      </c>
      <c r="Q11" s="52">
        <f>SUM(Q12:Q31)</f>
        <v>27521349</v>
      </c>
      <c r="R11" s="18">
        <f t="shared" si="3"/>
        <v>100</v>
      </c>
      <c r="S11" s="69">
        <f>SUM(S12:S31)</f>
        <v>25747484</v>
      </c>
      <c r="T11" s="52">
        <f>SUM(T12:T31)</f>
        <v>60000</v>
      </c>
      <c r="U11" s="52">
        <f>SUM(U12:U31)</f>
        <v>60000</v>
      </c>
      <c r="V11" s="52">
        <f>SUM(V12:V31)</f>
        <v>56336</v>
      </c>
      <c r="W11" s="18">
        <f t="shared" si="4"/>
        <v>93.893333333333331</v>
      </c>
      <c r="X11" s="52">
        <f>SUM(X12:X31)</f>
        <v>54832</v>
      </c>
    </row>
    <row r="12" spans="1:24" s="3" customFormat="1" ht="9.75" x14ac:dyDescent="0.2">
      <c r="A12" s="26" t="s">
        <v>8</v>
      </c>
      <c r="B12" s="1008" t="s">
        <v>28</v>
      </c>
      <c r="C12" s="1009"/>
      <c r="D12" s="51" t="s">
        <v>25</v>
      </c>
      <c r="E12" s="53">
        <f t="shared" ref="E12:I27" si="6">SUM(J12,O12)</f>
        <v>999500</v>
      </c>
      <c r="F12" s="54">
        <f t="shared" si="6"/>
        <v>849785</v>
      </c>
      <c r="G12" s="54">
        <f t="shared" si="6"/>
        <v>834304</v>
      </c>
      <c r="H12" s="6">
        <f t="shared" si="0"/>
        <v>98.178245085521638</v>
      </c>
      <c r="I12" s="60">
        <f t="shared" si="6"/>
        <v>976073</v>
      </c>
      <c r="J12" s="70">
        <v>999500</v>
      </c>
      <c r="K12" s="71">
        <v>749750</v>
      </c>
      <c r="L12" s="71">
        <v>734269</v>
      </c>
      <c r="M12" s="6">
        <f t="shared" si="2"/>
        <v>97.935178392797596</v>
      </c>
      <c r="N12" s="78">
        <v>867407</v>
      </c>
      <c r="O12" s="79"/>
      <c r="P12" s="71">
        <v>100035</v>
      </c>
      <c r="Q12" s="71">
        <v>100035</v>
      </c>
      <c r="R12" s="6">
        <f t="shared" si="3"/>
        <v>100</v>
      </c>
      <c r="S12" s="83">
        <v>108666</v>
      </c>
      <c r="T12" s="79">
        <v>2000</v>
      </c>
      <c r="U12" s="71">
        <v>500</v>
      </c>
      <c r="V12" s="71">
        <v>266</v>
      </c>
      <c r="W12" s="6">
        <f t="shared" si="4"/>
        <v>53.2</v>
      </c>
      <c r="X12" s="94">
        <v>4600</v>
      </c>
    </row>
    <row r="13" spans="1:24" s="3" customFormat="1" ht="9.75" x14ac:dyDescent="0.2">
      <c r="A13" s="27" t="s">
        <v>10</v>
      </c>
      <c r="B13" s="997" t="s">
        <v>29</v>
      </c>
      <c r="C13" s="998"/>
      <c r="D13" s="48" t="s">
        <v>25</v>
      </c>
      <c r="E13" s="55">
        <f t="shared" si="6"/>
        <v>840000</v>
      </c>
      <c r="F13" s="56">
        <f t="shared" si="6"/>
        <v>840000</v>
      </c>
      <c r="G13" s="56">
        <f t="shared" si="6"/>
        <v>807429</v>
      </c>
      <c r="H13" s="7">
        <f t="shared" si="0"/>
        <v>96.122500000000002</v>
      </c>
      <c r="I13" s="63">
        <f t="shared" si="6"/>
        <v>967792</v>
      </c>
      <c r="J13" s="72">
        <v>840000</v>
      </c>
      <c r="K13" s="56">
        <v>840000</v>
      </c>
      <c r="L13" s="56">
        <v>807429</v>
      </c>
      <c r="M13" s="7">
        <f t="shared" si="2"/>
        <v>96.122500000000002</v>
      </c>
      <c r="N13" s="63">
        <v>967792</v>
      </c>
      <c r="O13" s="55"/>
      <c r="P13" s="56"/>
      <c r="Q13" s="56"/>
      <c r="R13" s="7">
        <v>0</v>
      </c>
      <c r="S13" s="63"/>
      <c r="T13" s="55">
        <v>51000</v>
      </c>
      <c r="U13" s="56">
        <v>55000</v>
      </c>
      <c r="V13" s="56">
        <v>53953</v>
      </c>
      <c r="W13" s="7">
        <f t="shared" si="4"/>
        <v>98.096363636363634</v>
      </c>
      <c r="X13" s="92">
        <v>33152</v>
      </c>
    </row>
    <row r="14" spans="1:24" s="3" customFormat="1" ht="9.75" x14ac:dyDescent="0.2">
      <c r="A14" s="27" t="s">
        <v>11</v>
      </c>
      <c r="B14" s="418" t="s">
        <v>63</v>
      </c>
      <c r="C14" s="419"/>
      <c r="D14" s="48" t="s">
        <v>25</v>
      </c>
      <c r="E14" s="55">
        <f t="shared" si="6"/>
        <v>0</v>
      </c>
      <c r="F14" s="56">
        <f t="shared" si="6"/>
        <v>0</v>
      </c>
      <c r="G14" s="56">
        <f t="shared" si="6"/>
        <v>0</v>
      </c>
      <c r="H14" s="7">
        <v>0</v>
      </c>
      <c r="I14" s="63">
        <f t="shared" si="6"/>
        <v>0</v>
      </c>
      <c r="J14" s="72"/>
      <c r="K14" s="56"/>
      <c r="L14" s="56"/>
      <c r="M14" s="7">
        <v>0</v>
      </c>
      <c r="N14" s="63"/>
      <c r="O14" s="55"/>
      <c r="P14" s="56"/>
      <c r="Q14" s="56"/>
      <c r="R14" s="7">
        <v>0</v>
      </c>
      <c r="S14" s="63"/>
      <c r="T14" s="55"/>
      <c r="U14" s="56"/>
      <c r="V14" s="56"/>
      <c r="W14" s="7">
        <v>0</v>
      </c>
      <c r="X14" s="92"/>
    </row>
    <row r="15" spans="1:24" s="3" customFormat="1" ht="9.75" x14ac:dyDescent="0.2">
      <c r="A15" s="27" t="s">
        <v>12</v>
      </c>
      <c r="B15" s="997" t="s">
        <v>64</v>
      </c>
      <c r="C15" s="998"/>
      <c r="D15" s="48" t="s">
        <v>25</v>
      </c>
      <c r="E15" s="55">
        <f t="shared" si="6"/>
        <v>560000</v>
      </c>
      <c r="F15" s="56">
        <f t="shared" si="6"/>
        <v>627654</v>
      </c>
      <c r="G15" s="56">
        <f t="shared" si="6"/>
        <v>625410</v>
      </c>
      <c r="H15" s="7">
        <f t="shared" si="0"/>
        <v>99.642478180653669</v>
      </c>
      <c r="I15" s="63">
        <f t="shared" si="6"/>
        <v>573156</v>
      </c>
      <c r="J15" s="72">
        <v>560000</v>
      </c>
      <c r="K15" s="56">
        <v>627654</v>
      </c>
      <c r="L15" s="56">
        <v>625410</v>
      </c>
      <c r="M15" s="7">
        <f t="shared" si="2"/>
        <v>99.642478180653669</v>
      </c>
      <c r="N15" s="63">
        <v>573156</v>
      </c>
      <c r="O15" s="55"/>
      <c r="P15" s="56"/>
      <c r="Q15" s="56"/>
      <c r="R15" s="7">
        <v>0</v>
      </c>
      <c r="S15" s="63"/>
      <c r="T15" s="55">
        <v>5000</v>
      </c>
      <c r="U15" s="56">
        <v>2000</v>
      </c>
      <c r="V15" s="56">
        <v>0</v>
      </c>
      <c r="W15" s="7">
        <f t="shared" si="4"/>
        <v>0</v>
      </c>
      <c r="X15" s="92">
        <v>7478</v>
      </c>
    </row>
    <row r="16" spans="1:24" s="3" customFormat="1" ht="9.75" x14ac:dyDescent="0.2">
      <c r="A16" s="27" t="s">
        <v>13</v>
      </c>
      <c r="B16" s="997" t="s">
        <v>30</v>
      </c>
      <c r="C16" s="998"/>
      <c r="D16" s="48" t="s">
        <v>25</v>
      </c>
      <c r="E16" s="55">
        <f t="shared" si="6"/>
        <v>30000</v>
      </c>
      <c r="F16" s="56">
        <f t="shared" si="6"/>
        <v>62000</v>
      </c>
      <c r="G16" s="56">
        <f t="shared" si="6"/>
        <v>59818</v>
      </c>
      <c r="H16" s="7">
        <f t="shared" si="0"/>
        <v>96.480645161290326</v>
      </c>
      <c r="I16" s="63">
        <f t="shared" si="6"/>
        <v>28929</v>
      </c>
      <c r="J16" s="72">
        <v>30000</v>
      </c>
      <c r="K16" s="56">
        <v>62000</v>
      </c>
      <c r="L16" s="56">
        <v>59818</v>
      </c>
      <c r="M16" s="7">
        <f t="shared" si="2"/>
        <v>96.480645161290326</v>
      </c>
      <c r="N16" s="63">
        <v>28929</v>
      </c>
      <c r="O16" s="55"/>
      <c r="P16" s="56"/>
      <c r="Q16" s="56"/>
      <c r="R16" s="7">
        <v>0</v>
      </c>
      <c r="S16" s="63"/>
      <c r="T16" s="55"/>
      <c r="U16" s="56"/>
      <c r="V16" s="56"/>
      <c r="W16" s="7">
        <v>0</v>
      </c>
      <c r="X16" s="92"/>
    </row>
    <row r="17" spans="1:24" s="3" customFormat="1" ht="9.75" x14ac:dyDescent="0.2">
      <c r="A17" s="27" t="s">
        <v>14</v>
      </c>
      <c r="B17" s="418" t="s">
        <v>48</v>
      </c>
      <c r="C17" s="419"/>
      <c r="D17" s="48" t="s">
        <v>25</v>
      </c>
      <c r="E17" s="55">
        <f t="shared" si="6"/>
        <v>25000</v>
      </c>
      <c r="F17" s="56">
        <f t="shared" si="6"/>
        <v>19000</v>
      </c>
      <c r="G17" s="56">
        <f t="shared" si="6"/>
        <v>18702</v>
      </c>
      <c r="H17" s="7">
        <f t="shared" si="0"/>
        <v>98.431578947368422</v>
      </c>
      <c r="I17" s="63">
        <f t="shared" si="6"/>
        <v>23359</v>
      </c>
      <c r="J17" s="72">
        <v>25000</v>
      </c>
      <c r="K17" s="56">
        <v>19000</v>
      </c>
      <c r="L17" s="56">
        <v>18702</v>
      </c>
      <c r="M17" s="7">
        <f t="shared" si="2"/>
        <v>98.431578947368422</v>
      </c>
      <c r="N17" s="63">
        <v>23359</v>
      </c>
      <c r="O17" s="55"/>
      <c r="P17" s="56"/>
      <c r="Q17" s="56"/>
      <c r="R17" s="7">
        <v>0</v>
      </c>
      <c r="S17" s="63"/>
      <c r="T17" s="55"/>
      <c r="U17" s="56"/>
      <c r="V17" s="56"/>
      <c r="W17" s="7">
        <v>0</v>
      </c>
      <c r="X17" s="92"/>
    </row>
    <row r="18" spans="1:24" s="3" customFormat="1" ht="9.75" x14ac:dyDescent="0.2">
      <c r="A18" s="27" t="s">
        <v>15</v>
      </c>
      <c r="B18" s="997" t="s">
        <v>31</v>
      </c>
      <c r="C18" s="998"/>
      <c r="D18" s="48" t="s">
        <v>25</v>
      </c>
      <c r="E18" s="55">
        <f t="shared" si="6"/>
        <v>950000</v>
      </c>
      <c r="F18" s="56">
        <f t="shared" si="6"/>
        <v>1281000</v>
      </c>
      <c r="G18" s="56">
        <f t="shared" si="6"/>
        <v>1270185</v>
      </c>
      <c r="H18" s="7">
        <f t="shared" si="0"/>
        <v>99.155737704918039</v>
      </c>
      <c r="I18" s="63">
        <f t="shared" si="6"/>
        <v>954426</v>
      </c>
      <c r="J18" s="72">
        <v>950000</v>
      </c>
      <c r="K18" s="56">
        <v>1281000</v>
      </c>
      <c r="L18" s="56">
        <v>1270185</v>
      </c>
      <c r="M18" s="7">
        <f t="shared" si="2"/>
        <v>99.155737704918039</v>
      </c>
      <c r="N18" s="63">
        <v>954426</v>
      </c>
      <c r="O18" s="55"/>
      <c r="P18" s="56"/>
      <c r="Q18" s="56"/>
      <c r="R18" s="7">
        <v>0</v>
      </c>
      <c r="S18" s="63"/>
      <c r="T18" s="55">
        <v>2000</v>
      </c>
      <c r="U18" s="56">
        <v>2500</v>
      </c>
      <c r="V18" s="56">
        <v>2117</v>
      </c>
      <c r="W18" s="7">
        <f t="shared" si="4"/>
        <v>84.68</v>
      </c>
      <c r="X18" s="92">
        <v>420</v>
      </c>
    </row>
    <row r="19" spans="1:24" s="8" customFormat="1" ht="9.75" x14ac:dyDescent="0.2">
      <c r="A19" s="27" t="s">
        <v>16</v>
      </c>
      <c r="B19" s="997" t="s">
        <v>32</v>
      </c>
      <c r="C19" s="998"/>
      <c r="D19" s="48" t="s">
        <v>25</v>
      </c>
      <c r="E19" s="55">
        <f t="shared" si="6"/>
        <v>19874300</v>
      </c>
      <c r="F19" s="56">
        <f t="shared" si="6"/>
        <v>20217666</v>
      </c>
      <c r="G19" s="56">
        <f t="shared" si="6"/>
        <v>20217666</v>
      </c>
      <c r="H19" s="7">
        <f t="shared" si="0"/>
        <v>100</v>
      </c>
      <c r="I19" s="63">
        <f t="shared" si="6"/>
        <v>18990828</v>
      </c>
      <c r="J19" s="73"/>
      <c r="K19" s="56">
        <v>33300</v>
      </c>
      <c r="L19" s="56">
        <v>33300</v>
      </c>
      <c r="M19" s="7">
        <f t="shared" si="2"/>
        <v>100</v>
      </c>
      <c r="N19" s="63">
        <v>45140</v>
      </c>
      <c r="O19" s="55">
        <v>19874300</v>
      </c>
      <c r="P19" s="56">
        <v>20184366</v>
      </c>
      <c r="Q19" s="56">
        <v>20184366</v>
      </c>
      <c r="R19" s="7">
        <f t="shared" si="3"/>
        <v>100</v>
      </c>
      <c r="S19" s="63">
        <v>18945688</v>
      </c>
      <c r="T19" s="84"/>
      <c r="U19" s="85"/>
      <c r="V19" s="85"/>
      <c r="W19" s="7">
        <v>0</v>
      </c>
      <c r="X19" s="95"/>
    </row>
    <row r="20" spans="1:24" s="3" customFormat="1" ht="9.75" x14ac:dyDescent="0.2">
      <c r="A20" s="27" t="s">
        <v>17</v>
      </c>
      <c r="B20" s="997" t="s">
        <v>49</v>
      </c>
      <c r="C20" s="998"/>
      <c r="D20" s="48" t="s">
        <v>25</v>
      </c>
      <c r="E20" s="55">
        <f t="shared" si="6"/>
        <v>6865104</v>
      </c>
      <c r="F20" s="56">
        <f t="shared" si="6"/>
        <v>6930683</v>
      </c>
      <c r="G20" s="56">
        <f t="shared" si="6"/>
        <v>6930463</v>
      </c>
      <c r="H20" s="7">
        <f t="shared" si="0"/>
        <v>99.996825709673914</v>
      </c>
      <c r="I20" s="63">
        <f t="shared" si="6"/>
        <v>6426108</v>
      </c>
      <c r="J20" s="72"/>
      <c r="K20" s="56">
        <v>95462</v>
      </c>
      <c r="L20" s="56">
        <v>95242</v>
      </c>
      <c r="M20" s="7">
        <f t="shared" si="2"/>
        <v>99.769541807211255</v>
      </c>
      <c r="N20" s="63">
        <v>15348</v>
      </c>
      <c r="O20" s="55">
        <v>6865104</v>
      </c>
      <c r="P20" s="56">
        <v>6835221</v>
      </c>
      <c r="Q20" s="56">
        <v>6835221</v>
      </c>
      <c r="R20" s="7">
        <f t="shared" si="3"/>
        <v>100</v>
      </c>
      <c r="S20" s="63">
        <v>6410760</v>
      </c>
      <c r="T20" s="55"/>
      <c r="U20" s="56"/>
      <c r="V20" s="56"/>
      <c r="W20" s="7">
        <v>0</v>
      </c>
      <c r="X20" s="92"/>
    </row>
    <row r="21" spans="1:24" s="3" customFormat="1" ht="9.75" x14ac:dyDescent="0.2">
      <c r="A21" s="27" t="s">
        <v>18</v>
      </c>
      <c r="B21" s="997" t="s">
        <v>50</v>
      </c>
      <c r="C21" s="998"/>
      <c r="D21" s="48" t="s">
        <v>25</v>
      </c>
      <c r="E21" s="55">
        <f t="shared" si="6"/>
        <v>490686</v>
      </c>
      <c r="F21" s="56">
        <f t="shared" si="6"/>
        <v>427393</v>
      </c>
      <c r="G21" s="56">
        <f t="shared" si="6"/>
        <v>420870</v>
      </c>
      <c r="H21" s="7">
        <f t="shared" si="0"/>
        <v>98.47377004302831</v>
      </c>
      <c r="I21" s="63">
        <f t="shared" si="6"/>
        <v>375688</v>
      </c>
      <c r="J21" s="72">
        <v>95000</v>
      </c>
      <c r="K21" s="56">
        <v>25666</v>
      </c>
      <c r="L21" s="56">
        <v>19143</v>
      </c>
      <c r="M21" s="7">
        <f t="shared" si="2"/>
        <v>74.585054157250838</v>
      </c>
      <c r="N21" s="63">
        <v>93318</v>
      </c>
      <c r="O21" s="55">
        <v>395686</v>
      </c>
      <c r="P21" s="56">
        <v>401727</v>
      </c>
      <c r="Q21" s="56">
        <v>401727</v>
      </c>
      <c r="R21" s="7">
        <f t="shared" si="3"/>
        <v>100</v>
      </c>
      <c r="S21" s="63">
        <v>282370</v>
      </c>
      <c r="T21" s="55"/>
      <c r="U21" s="56"/>
      <c r="V21" s="56"/>
      <c r="W21" s="7">
        <v>0</v>
      </c>
      <c r="X21" s="92"/>
    </row>
    <row r="22" spans="1:24" s="3" customFormat="1" ht="9.75" x14ac:dyDescent="0.2">
      <c r="A22" s="27" t="s">
        <v>19</v>
      </c>
      <c r="B22" s="997" t="s">
        <v>65</v>
      </c>
      <c r="C22" s="998"/>
      <c r="D22" s="48" t="s">
        <v>25</v>
      </c>
      <c r="E22" s="55">
        <f t="shared" si="6"/>
        <v>0</v>
      </c>
      <c r="F22" s="56">
        <f t="shared" si="6"/>
        <v>0</v>
      </c>
      <c r="G22" s="56">
        <f t="shared" si="6"/>
        <v>0</v>
      </c>
      <c r="H22" s="7">
        <v>0</v>
      </c>
      <c r="I22" s="63">
        <f t="shared" si="6"/>
        <v>0</v>
      </c>
      <c r="J22" s="72"/>
      <c r="K22" s="56"/>
      <c r="L22" s="56"/>
      <c r="M22" s="7">
        <v>0</v>
      </c>
      <c r="N22" s="63"/>
      <c r="O22" s="55"/>
      <c r="P22" s="56"/>
      <c r="Q22" s="56"/>
      <c r="R22" s="7">
        <v>0</v>
      </c>
      <c r="S22" s="63"/>
      <c r="T22" s="55"/>
      <c r="U22" s="56"/>
      <c r="V22" s="56"/>
      <c r="W22" s="7">
        <v>0</v>
      </c>
      <c r="X22" s="92"/>
    </row>
    <row r="23" spans="1:24" s="3" customFormat="1" ht="9.75" x14ac:dyDescent="0.2">
      <c r="A23" s="27" t="s">
        <v>20</v>
      </c>
      <c r="B23" s="418" t="s">
        <v>66</v>
      </c>
      <c r="C23" s="419"/>
      <c r="D23" s="48" t="s">
        <v>25</v>
      </c>
      <c r="E23" s="55">
        <f t="shared" si="6"/>
        <v>0</v>
      </c>
      <c r="F23" s="56">
        <f t="shared" si="6"/>
        <v>0</v>
      </c>
      <c r="G23" s="56">
        <f t="shared" si="6"/>
        <v>0</v>
      </c>
      <c r="H23" s="7">
        <v>0</v>
      </c>
      <c r="I23" s="63">
        <f t="shared" si="6"/>
        <v>0</v>
      </c>
      <c r="J23" s="72"/>
      <c r="K23" s="56"/>
      <c r="L23" s="56"/>
      <c r="M23" s="7">
        <v>0</v>
      </c>
      <c r="N23" s="63"/>
      <c r="O23" s="55"/>
      <c r="P23" s="56"/>
      <c r="Q23" s="56"/>
      <c r="R23" s="7">
        <v>0</v>
      </c>
      <c r="S23" s="63"/>
      <c r="T23" s="55"/>
      <c r="U23" s="56"/>
      <c r="V23" s="56"/>
      <c r="W23" s="7">
        <v>0</v>
      </c>
      <c r="X23" s="92"/>
    </row>
    <row r="24" spans="1:24" s="3" customFormat="1" ht="9.75" x14ac:dyDescent="0.2">
      <c r="A24" s="27" t="s">
        <v>21</v>
      </c>
      <c r="B24" s="418" t="s">
        <v>73</v>
      </c>
      <c r="C24" s="419"/>
      <c r="D24" s="48" t="s">
        <v>25</v>
      </c>
      <c r="E24" s="55">
        <f t="shared" si="6"/>
        <v>0</v>
      </c>
      <c r="F24" s="56">
        <f t="shared" si="6"/>
        <v>0</v>
      </c>
      <c r="G24" s="56">
        <f t="shared" si="6"/>
        <v>0</v>
      </c>
      <c r="H24" s="7">
        <v>0</v>
      </c>
      <c r="I24" s="63">
        <f t="shared" si="6"/>
        <v>0</v>
      </c>
      <c r="J24" s="72"/>
      <c r="K24" s="56"/>
      <c r="L24" s="56"/>
      <c r="M24" s="7">
        <v>0</v>
      </c>
      <c r="N24" s="63"/>
      <c r="O24" s="55"/>
      <c r="P24" s="56"/>
      <c r="Q24" s="56"/>
      <c r="R24" s="7">
        <v>0</v>
      </c>
      <c r="S24" s="63"/>
      <c r="T24" s="55"/>
      <c r="U24" s="56"/>
      <c r="V24" s="56"/>
      <c r="W24" s="7">
        <v>0</v>
      </c>
      <c r="X24" s="92"/>
    </row>
    <row r="25" spans="1:24" s="3" customFormat="1" ht="9.75" x14ac:dyDescent="0.2">
      <c r="A25" s="28" t="s">
        <v>22</v>
      </c>
      <c r="B25" s="29" t="s">
        <v>68</v>
      </c>
      <c r="C25" s="30"/>
      <c r="D25" s="48" t="s">
        <v>25</v>
      </c>
      <c r="E25" s="55">
        <f t="shared" si="6"/>
        <v>0</v>
      </c>
      <c r="F25" s="56">
        <f t="shared" si="6"/>
        <v>0</v>
      </c>
      <c r="G25" s="56">
        <f t="shared" si="6"/>
        <v>0</v>
      </c>
      <c r="H25" s="7">
        <v>0</v>
      </c>
      <c r="I25" s="63">
        <f t="shared" si="6"/>
        <v>0</v>
      </c>
      <c r="J25" s="72"/>
      <c r="K25" s="74"/>
      <c r="L25" s="74"/>
      <c r="M25" s="7">
        <v>0</v>
      </c>
      <c r="N25" s="80"/>
      <c r="O25" s="81"/>
      <c r="P25" s="74"/>
      <c r="Q25" s="74"/>
      <c r="R25" s="7">
        <v>0</v>
      </c>
      <c r="S25" s="86"/>
      <c r="T25" s="81"/>
      <c r="U25" s="74"/>
      <c r="V25" s="74"/>
      <c r="W25" s="7">
        <v>0</v>
      </c>
      <c r="X25" s="96"/>
    </row>
    <row r="26" spans="1:24" s="10" customFormat="1" ht="9.75" x14ac:dyDescent="0.2">
      <c r="A26" s="27" t="s">
        <v>23</v>
      </c>
      <c r="B26" s="997" t="s">
        <v>69</v>
      </c>
      <c r="C26" s="998"/>
      <c r="D26" s="48" t="s">
        <v>25</v>
      </c>
      <c r="E26" s="55">
        <f t="shared" si="6"/>
        <v>740000</v>
      </c>
      <c r="F26" s="56">
        <f t="shared" si="6"/>
        <v>740000</v>
      </c>
      <c r="G26" s="56">
        <f t="shared" si="6"/>
        <v>727511</v>
      </c>
      <c r="H26" s="11">
        <f t="shared" si="0"/>
        <v>98.312297297297306</v>
      </c>
      <c r="I26" s="63">
        <f t="shared" si="6"/>
        <v>889992</v>
      </c>
      <c r="J26" s="72">
        <v>740000</v>
      </c>
      <c r="K26" s="75">
        <v>740000</v>
      </c>
      <c r="L26" s="75">
        <v>727511</v>
      </c>
      <c r="M26" s="7">
        <f t="shared" si="2"/>
        <v>98.312297297297306</v>
      </c>
      <c r="N26" s="63">
        <v>889992</v>
      </c>
      <c r="O26" s="82"/>
      <c r="P26" s="75"/>
      <c r="Q26" s="75"/>
      <c r="R26" s="7">
        <v>0</v>
      </c>
      <c r="S26" s="80"/>
      <c r="T26" s="87"/>
      <c r="U26" s="88"/>
      <c r="V26" s="88"/>
      <c r="W26" s="7">
        <v>0</v>
      </c>
      <c r="X26" s="97"/>
    </row>
    <row r="27" spans="1:24" s="12" customFormat="1" ht="9.75" x14ac:dyDescent="0.2">
      <c r="A27" s="27" t="s">
        <v>45</v>
      </c>
      <c r="B27" s="418" t="s">
        <v>70</v>
      </c>
      <c r="C27" s="419"/>
      <c r="D27" s="48" t="s">
        <v>25</v>
      </c>
      <c r="E27" s="55">
        <f t="shared" si="6"/>
        <v>0</v>
      </c>
      <c r="F27" s="56">
        <f t="shared" si="6"/>
        <v>0</v>
      </c>
      <c r="G27" s="56">
        <f t="shared" si="6"/>
        <v>0</v>
      </c>
      <c r="H27" s="11">
        <v>0</v>
      </c>
      <c r="I27" s="63">
        <f t="shared" si="6"/>
        <v>0</v>
      </c>
      <c r="J27" s="72"/>
      <c r="K27" s="75"/>
      <c r="L27" s="75"/>
      <c r="M27" s="7">
        <v>0</v>
      </c>
      <c r="N27" s="80"/>
      <c r="O27" s="82"/>
      <c r="P27" s="75"/>
      <c r="Q27" s="75"/>
      <c r="R27" s="7">
        <v>0</v>
      </c>
      <c r="S27" s="80"/>
      <c r="T27" s="87"/>
      <c r="U27" s="88"/>
      <c r="V27" s="88"/>
      <c r="W27" s="7">
        <v>0</v>
      </c>
      <c r="X27" s="97"/>
    </row>
    <row r="28" spans="1:24" s="12" customFormat="1" ht="9.75" x14ac:dyDescent="0.2">
      <c r="A28" s="27" t="s">
        <v>51</v>
      </c>
      <c r="B28" s="418" t="s">
        <v>74</v>
      </c>
      <c r="C28" s="419"/>
      <c r="D28" s="48" t="s">
        <v>25</v>
      </c>
      <c r="E28" s="55">
        <v>719000</v>
      </c>
      <c r="F28" s="56">
        <v>904645</v>
      </c>
      <c r="G28" s="56">
        <v>900638</v>
      </c>
      <c r="H28" s="11">
        <f t="shared" si="0"/>
        <v>99.557063820614715</v>
      </c>
      <c r="I28" s="63">
        <v>807678</v>
      </c>
      <c r="J28" s="72">
        <v>719000</v>
      </c>
      <c r="K28" s="75">
        <v>904645</v>
      </c>
      <c r="L28" s="75">
        <v>900638</v>
      </c>
      <c r="M28" s="7">
        <f t="shared" si="2"/>
        <v>99.557063820614715</v>
      </c>
      <c r="N28" s="80">
        <v>807678</v>
      </c>
      <c r="O28" s="82"/>
      <c r="P28" s="75" t="s">
        <v>194</v>
      </c>
      <c r="Q28" s="75"/>
      <c r="R28" s="7">
        <v>0</v>
      </c>
      <c r="S28" s="80"/>
      <c r="T28" s="87"/>
      <c r="U28" s="88"/>
      <c r="V28" s="88"/>
      <c r="W28" s="7">
        <v>0</v>
      </c>
      <c r="X28" s="97">
        <v>9182</v>
      </c>
    </row>
    <row r="29" spans="1:24" s="10" customFormat="1" ht="9.75" x14ac:dyDescent="0.2">
      <c r="A29" s="27" t="s">
        <v>52</v>
      </c>
      <c r="B29" s="997" t="s">
        <v>67</v>
      </c>
      <c r="C29" s="998"/>
      <c r="D29" s="48" t="s">
        <v>25</v>
      </c>
      <c r="E29" s="55">
        <f t="shared" ref="E29:G31" si="7">SUM(J29,O29)</f>
        <v>200000</v>
      </c>
      <c r="F29" s="56">
        <f t="shared" si="7"/>
        <v>56000</v>
      </c>
      <c r="G29" s="56">
        <f t="shared" si="7"/>
        <v>54984</v>
      </c>
      <c r="H29" s="11">
        <f t="shared" si="0"/>
        <v>98.185714285714283</v>
      </c>
      <c r="I29" s="63">
        <f>SUM(N29,S29)</f>
        <v>133540</v>
      </c>
      <c r="J29" s="72">
        <v>200000</v>
      </c>
      <c r="K29" s="75">
        <v>56000</v>
      </c>
      <c r="L29" s="75">
        <v>54984</v>
      </c>
      <c r="M29" s="7">
        <f t="shared" si="2"/>
        <v>98.185714285714283</v>
      </c>
      <c r="N29" s="80">
        <v>133540</v>
      </c>
      <c r="O29" s="82"/>
      <c r="P29" s="75"/>
      <c r="Q29" s="75"/>
      <c r="R29" s="7">
        <v>0</v>
      </c>
      <c r="S29" s="80"/>
      <c r="T29" s="87"/>
      <c r="U29" s="88"/>
      <c r="V29" s="88"/>
      <c r="W29" s="7">
        <v>0</v>
      </c>
      <c r="X29" s="97"/>
    </row>
    <row r="30" spans="1:24" s="3" customFormat="1" ht="9.75" x14ac:dyDescent="0.2">
      <c r="A30" s="27" t="s">
        <v>54</v>
      </c>
      <c r="B30" s="418" t="s">
        <v>53</v>
      </c>
      <c r="C30" s="419"/>
      <c r="D30" s="48" t="s">
        <v>25</v>
      </c>
      <c r="E30" s="55">
        <f t="shared" si="7"/>
        <v>0</v>
      </c>
      <c r="F30" s="56">
        <f t="shared" si="7"/>
        <v>250</v>
      </c>
      <c r="G30" s="56">
        <f t="shared" si="7"/>
        <v>163</v>
      </c>
      <c r="H30" s="11">
        <f t="shared" si="0"/>
        <v>65.2</v>
      </c>
      <c r="I30" s="63">
        <f>SUM(N30,S30)</f>
        <v>0</v>
      </c>
      <c r="J30" s="72"/>
      <c r="K30" s="75">
        <v>250</v>
      </c>
      <c r="L30" s="75">
        <v>163</v>
      </c>
      <c r="M30" s="7">
        <f t="shared" si="2"/>
        <v>65.2</v>
      </c>
      <c r="N30" s="80"/>
      <c r="O30" s="82"/>
      <c r="P30" s="75"/>
      <c r="Q30" s="75"/>
      <c r="R30" s="7">
        <v>0</v>
      </c>
      <c r="S30" s="80"/>
      <c r="T30" s="87"/>
      <c r="U30" s="88"/>
      <c r="V30" s="88"/>
      <c r="W30" s="7">
        <v>0</v>
      </c>
      <c r="X30" s="97"/>
    </row>
    <row r="31" spans="1:24" s="31" customFormat="1" ht="9.75" x14ac:dyDescent="0.2">
      <c r="A31" s="27" t="s">
        <v>55</v>
      </c>
      <c r="B31" s="102" t="s">
        <v>71</v>
      </c>
      <c r="C31" s="103"/>
      <c r="D31" s="48" t="s">
        <v>25</v>
      </c>
      <c r="E31" s="55">
        <f t="shared" si="7"/>
        <v>0</v>
      </c>
      <c r="F31" s="56">
        <f t="shared" si="7"/>
        <v>0</v>
      </c>
      <c r="G31" s="56">
        <f t="shared" si="7"/>
        <v>0</v>
      </c>
      <c r="H31" s="11">
        <v>0</v>
      </c>
      <c r="I31" s="63">
        <f>SUM(N31,S31)</f>
        <v>0</v>
      </c>
      <c r="J31" s="72"/>
      <c r="K31" s="104"/>
      <c r="L31" s="104"/>
      <c r="M31" s="7">
        <v>0</v>
      </c>
      <c r="N31" s="105"/>
      <c r="O31" s="106"/>
      <c r="P31" s="104"/>
      <c r="Q31" s="104"/>
      <c r="R31" s="7">
        <v>0</v>
      </c>
      <c r="S31" s="105"/>
      <c r="T31" s="107"/>
      <c r="U31" s="108"/>
      <c r="V31" s="108"/>
      <c r="W31" s="7">
        <v>0</v>
      </c>
      <c r="X31" s="109"/>
    </row>
    <row r="32" spans="1:24" s="31" customFormat="1" ht="9.75" x14ac:dyDescent="0.2">
      <c r="A32" s="110" t="s">
        <v>56</v>
      </c>
      <c r="B32" s="111" t="s">
        <v>72</v>
      </c>
      <c r="C32" s="112"/>
      <c r="D32" s="49" t="s">
        <v>25</v>
      </c>
      <c r="E32" s="57">
        <f>SUM(J32,O32)</f>
        <v>0</v>
      </c>
      <c r="F32" s="58">
        <f>SUM(K32,P32)</f>
        <v>0</v>
      </c>
      <c r="G32" s="58">
        <f>SUM(L32,Q32)</f>
        <v>0</v>
      </c>
      <c r="H32" s="13">
        <v>0</v>
      </c>
      <c r="I32" s="65">
        <f>SUM(N32,S32)</f>
        <v>0</v>
      </c>
      <c r="J32" s="113"/>
      <c r="K32" s="90"/>
      <c r="L32" s="90"/>
      <c r="M32" s="24">
        <v>0</v>
      </c>
      <c r="N32" s="114"/>
      <c r="O32" s="89"/>
      <c r="P32" s="90"/>
      <c r="Q32" s="90"/>
      <c r="R32" s="24">
        <v>0</v>
      </c>
      <c r="S32" s="114"/>
      <c r="T32" s="89"/>
      <c r="U32" s="90"/>
      <c r="V32" s="90"/>
      <c r="W32" s="24">
        <v>0</v>
      </c>
      <c r="X32" s="98"/>
    </row>
    <row r="33" spans="1:24" s="31" customFormat="1" ht="9.75" x14ac:dyDescent="0.2">
      <c r="A33" s="16" t="s">
        <v>57</v>
      </c>
      <c r="B33" s="34" t="s">
        <v>58</v>
      </c>
      <c r="C33" s="35"/>
      <c r="D33" s="17" t="s">
        <v>25</v>
      </c>
      <c r="E33" s="52">
        <f>E6-E11</f>
        <v>0</v>
      </c>
      <c r="F33" s="52">
        <f t="shared" ref="F33:G33" si="8">F6-F11</f>
        <v>0</v>
      </c>
      <c r="G33" s="52">
        <f t="shared" si="8"/>
        <v>135430</v>
      </c>
      <c r="H33" s="32">
        <v>0</v>
      </c>
      <c r="I33" s="52">
        <v>145051</v>
      </c>
      <c r="J33" s="52">
        <f t="shared" ref="J33:L33" si="9">J6-J11</f>
        <v>0</v>
      </c>
      <c r="K33" s="52">
        <f t="shared" si="9"/>
        <v>0</v>
      </c>
      <c r="L33" s="52">
        <f t="shared" si="9"/>
        <v>135430</v>
      </c>
      <c r="M33" s="33">
        <v>0</v>
      </c>
      <c r="N33" s="52">
        <f t="shared" ref="N33:Q33" si="10">N6-N11</f>
        <v>145051</v>
      </c>
      <c r="O33" s="52">
        <f t="shared" si="10"/>
        <v>0</v>
      </c>
      <c r="P33" s="52">
        <f t="shared" si="10"/>
        <v>0</v>
      </c>
      <c r="Q33" s="52">
        <f t="shared" si="10"/>
        <v>0</v>
      </c>
      <c r="R33" s="33">
        <v>0</v>
      </c>
      <c r="S33" s="52">
        <f t="shared" ref="S33:V33" si="11">S6-S11</f>
        <v>0</v>
      </c>
      <c r="T33" s="52">
        <f t="shared" si="11"/>
        <v>33517</v>
      </c>
      <c r="U33" s="52">
        <f t="shared" si="11"/>
        <v>33517</v>
      </c>
      <c r="V33" s="52">
        <f t="shared" si="11"/>
        <v>38463.289999999994</v>
      </c>
      <c r="W33" s="178">
        <f t="shared" si="4"/>
        <v>114.75755586717187</v>
      </c>
      <c r="X33" s="52">
        <f>X6-X11</f>
        <v>41000</v>
      </c>
    </row>
    <row r="34" spans="1:24" s="37" customFormat="1" ht="9.75" x14ac:dyDescent="0.2">
      <c r="A34" s="36" t="s">
        <v>59</v>
      </c>
      <c r="B34" s="999" t="s">
        <v>24</v>
      </c>
      <c r="C34" s="1000"/>
      <c r="D34" s="99" t="s">
        <v>25</v>
      </c>
      <c r="E34" s="40">
        <v>29800</v>
      </c>
      <c r="F34" s="41">
        <v>32500</v>
      </c>
      <c r="G34" s="41">
        <v>32500</v>
      </c>
      <c r="H34" s="9">
        <f t="shared" si="0"/>
        <v>100</v>
      </c>
      <c r="I34" s="44">
        <v>29800</v>
      </c>
      <c r="J34" s="444"/>
      <c r="K34" s="444"/>
      <c r="L34" s="444"/>
      <c r="M34" s="178">
        <v>0</v>
      </c>
      <c r="N34" s="444"/>
      <c r="O34" s="444">
        <v>29800</v>
      </c>
      <c r="P34" s="444">
        <v>32500</v>
      </c>
      <c r="Q34" s="444">
        <v>32500</v>
      </c>
      <c r="R34" s="178">
        <v>100</v>
      </c>
      <c r="S34" s="444">
        <v>29800</v>
      </c>
      <c r="T34" s="444"/>
      <c r="U34" s="444"/>
      <c r="V34" s="444"/>
      <c r="W34" s="178">
        <v>0</v>
      </c>
      <c r="X34" s="444"/>
    </row>
    <row r="35" spans="1:24" s="37" customFormat="1" ht="9.75" x14ac:dyDescent="0.2">
      <c r="A35" s="38" t="s">
        <v>60</v>
      </c>
      <c r="B35" s="1001" t="s">
        <v>33</v>
      </c>
      <c r="C35" s="1002"/>
      <c r="D35" s="100" t="s">
        <v>26</v>
      </c>
      <c r="E35" s="118">
        <v>47.75</v>
      </c>
      <c r="F35" s="119">
        <v>47</v>
      </c>
      <c r="G35" s="119">
        <v>47</v>
      </c>
      <c r="H35" s="11">
        <f t="shared" si="0"/>
        <v>100</v>
      </c>
      <c r="I35" s="45">
        <v>48</v>
      </c>
      <c r="J35" s="444"/>
      <c r="K35" s="444"/>
      <c r="L35" s="444"/>
      <c r="M35" s="178">
        <v>0</v>
      </c>
      <c r="N35" s="444"/>
      <c r="O35" s="444">
        <v>48</v>
      </c>
      <c r="P35" s="444">
        <v>47</v>
      </c>
      <c r="Q35" s="444">
        <v>47</v>
      </c>
      <c r="R35" s="178">
        <v>100</v>
      </c>
      <c r="S35" s="444">
        <v>48</v>
      </c>
      <c r="T35" s="444"/>
      <c r="U35" s="444"/>
      <c r="V35" s="444"/>
      <c r="W35" s="178">
        <v>0</v>
      </c>
      <c r="X35" s="444"/>
    </row>
    <row r="36" spans="1:24" s="37" customFormat="1" ht="9.75" x14ac:dyDescent="0.2">
      <c r="A36" s="39" t="s">
        <v>61</v>
      </c>
      <c r="B36" s="1003" t="s">
        <v>27</v>
      </c>
      <c r="C36" s="1004"/>
      <c r="D36" s="101" t="s">
        <v>26</v>
      </c>
      <c r="E36" s="42">
        <v>51</v>
      </c>
      <c r="F36" s="43">
        <v>51</v>
      </c>
      <c r="G36" s="43">
        <v>51</v>
      </c>
      <c r="H36" s="13">
        <f t="shared" si="0"/>
        <v>100</v>
      </c>
      <c r="I36" s="46">
        <v>52</v>
      </c>
      <c r="J36" s="444"/>
      <c r="K36" s="444"/>
      <c r="L36" s="444"/>
      <c r="M36" s="178">
        <v>0</v>
      </c>
      <c r="N36" s="444"/>
      <c r="O36" s="444">
        <v>51</v>
      </c>
      <c r="P36" s="444">
        <v>51</v>
      </c>
      <c r="Q36" s="444">
        <v>51</v>
      </c>
      <c r="R36" s="178">
        <v>100</v>
      </c>
      <c r="S36" s="444">
        <v>52</v>
      </c>
      <c r="T36" s="444"/>
      <c r="U36" s="444"/>
      <c r="V36" s="444"/>
      <c r="W36" s="178">
        <v>0</v>
      </c>
      <c r="X36" s="444"/>
    </row>
  </sheetData>
  <mergeCells count="39">
    <mergeCell ref="A1:X1"/>
    <mergeCell ref="A3:A5"/>
    <mergeCell ref="B3:C5"/>
    <mergeCell ref="D3:D5"/>
    <mergeCell ref="E3:I3"/>
    <mergeCell ref="J3:N3"/>
    <mergeCell ref="O3:S3"/>
    <mergeCell ref="T3:X3"/>
    <mergeCell ref="E4:E5"/>
    <mergeCell ref="F4:H4"/>
    <mergeCell ref="S4:S5"/>
    <mergeCell ref="T4:T5"/>
    <mergeCell ref="U4:W4"/>
    <mergeCell ref="X4:X5"/>
    <mergeCell ref="O4:O5"/>
    <mergeCell ref="P4:R4"/>
    <mergeCell ref="B7:C7"/>
    <mergeCell ref="I4:I5"/>
    <mergeCell ref="J4:J5"/>
    <mergeCell ref="K4:M4"/>
    <mergeCell ref="N4:N5"/>
    <mergeCell ref="B6:C6"/>
    <mergeCell ref="B22:C22"/>
    <mergeCell ref="B8:C8"/>
    <mergeCell ref="B10:C10"/>
    <mergeCell ref="B11:C11"/>
    <mergeCell ref="B12:C12"/>
    <mergeCell ref="B13:C13"/>
    <mergeCell ref="B15:C15"/>
    <mergeCell ref="B16:C16"/>
    <mergeCell ref="B18:C18"/>
    <mergeCell ref="B19:C19"/>
    <mergeCell ref="B20:C20"/>
    <mergeCell ref="B21:C21"/>
    <mergeCell ref="B26:C26"/>
    <mergeCell ref="B29:C29"/>
    <mergeCell ref="B34:C34"/>
    <mergeCell ref="B35:C35"/>
    <mergeCell ref="B36:C36"/>
  </mergeCells>
  <pageMargins left="0.70866141732283472" right="0.70866141732283472" top="0.78740157480314965" bottom="0.78740157480314965" header="0.31496062992125984" footer="0.31496062992125984"/>
  <pageSetup paperSize="9" scale="91" firstPageNumber="120" orientation="landscape" useFirstPageNumber="1" r:id="rId1"/>
  <headerFoot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1"/>
  <sheetViews>
    <sheetView topLeftCell="A64" workbookViewId="0">
      <selection activeCell="A107" sqref="A107:XFD107"/>
    </sheetView>
  </sheetViews>
  <sheetFormatPr defaultColWidth="16" defaultRowHeight="12.75" x14ac:dyDescent="0.2"/>
  <cols>
    <col min="1" max="1" width="58" style="240" customWidth="1"/>
    <col min="2" max="2" width="33.5" style="240" customWidth="1"/>
    <col min="3" max="4" width="25.75" style="240" customWidth="1"/>
    <col min="5" max="5" width="26.75" style="240" customWidth="1"/>
    <col min="6" max="6" width="29" style="240" customWidth="1"/>
    <col min="7" max="16384" width="16" style="240"/>
  </cols>
  <sheetData>
    <row r="1" spans="1:9" s="425" customFormat="1" ht="18.75" x14ac:dyDescent="0.3">
      <c r="A1" s="425" t="s">
        <v>92</v>
      </c>
      <c r="B1" s="1427" t="s">
        <v>223</v>
      </c>
      <c r="C1" s="1427"/>
      <c r="D1" s="1427"/>
      <c r="E1" s="1427"/>
      <c r="F1" s="1427"/>
      <c r="G1" s="1427"/>
      <c r="H1" s="1427"/>
      <c r="I1" s="1427"/>
    </row>
    <row r="2" spans="1:9" x14ac:dyDescent="0.2">
      <c r="A2" s="1384" t="s">
        <v>1022</v>
      </c>
      <c r="B2" s="1384"/>
      <c r="C2" s="1384"/>
      <c r="D2" s="1384"/>
      <c r="E2" s="1384"/>
      <c r="F2" s="1384"/>
      <c r="G2" s="1384"/>
      <c r="H2" s="1384"/>
      <c r="I2" s="1384"/>
    </row>
    <row r="3" spans="1:9" s="180" customFormat="1" ht="10.5" x14ac:dyDescent="0.15">
      <c r="A3" s="1039" t="s">
        <v>354</v>
      </c>
      <c r="B3" s="1039"/>
      <c r="C3" s="1039"/>
      <c r="D3" s="1039"/>
      <c r="E3" s="1039"/>
      <c r="F3" s="1039"/>
      <c r="G3" s="1039"/>
      <c r="H3" s="1039"/>
      <c r="I3" s="1039"/>
    </row>
    <row r="4" spans="1:9" s="181" customFormat="1" ht="11.25" x14ac:dyDescent="0.2"/>
    <row r="5" spans="1:9" s="182" customFormat="1" ht="9.75" x14ac:dyDescent="0.2">
      <c r="A5" s="1040" t="s">
        <v>93</v>
      </c>
      <c r="B5" s="1041"/>
      <c r="C5" s="420" t="s">
        <v>25</v>
      </c>
      <c r="D5" s="1042" t="s">
        <v>355</v>
      </c>
      <c r="E5" s="1042"/>
      <c r="F5" s="1042"/>
      <c r="G5" s="1042"/>
      <c r="H5" s="1042"/>
      <c r="I5" s="1042"/>
    </row>
    <row r="6" spans="1:9" s="181" customFormat="1" ht="15" customHeight="1" x14ac:dyDescent="0.2">
      <c r="A6" s="1043" t="s">
        <v>356</v>
      </c>
      <c r="B6" s="1043"/>
      <c r="C6" s="183">
        <f>SUM(C7:C9)</f>
        <v>173893.91</v>
      </c>
      <c r="D6" s="1044"/>
      <c r="E6" s="1045"/>
      <c r="F6" s="1045"/>
      <c r="G6" s="1045"/>
      <c r="H6" s="1045"/>
      <c r="I6" s="1045"/>
    </row>
    <row r="7" spans="1:9" s="181" customFormat="1" ht="33.75" customHeight="1" x14ac:dyDescent="0.2">
      <c r="A7" s="1046" t="s">
        <v>94</v>
      </c>
      <c r="B7" s="1047"/>
      <c r="C7" s="184">
        <v>135430.66</v>
      </c>
      <c r="D7" s="1048" t="s">
        <v>224</v>
      </c>
      <c r="E7" s="1048"/>
      <c r="F7" s="1048"/>
      <c r="G7" s="1048"/>
      <c r="H7" s="1048"/>
      <c r="I7" s="1048"/>
    </row>
    <row r="8" spans="1:9" s="180" customFormat="1" ht="16.5" customHeight="1" x14ac:dyDescent="0.15">
      <c r="A8" s="1049" t="s">
        <v>95</v>
      </c>
      <c r="B8" s="1050"/>
      <c r="C8" s="185">
        <v>38463.25</v>
      </c>
      <c r="D8" s="1048" t="s">
        <v>1023</v>
      </c>
      <c r="E8" s="1048"/>
      <c r="F8" s="1048"/>
      <c r="G8" s="1048"/>
      <c r="H8" s="1048"/>
      <c r="I8" s="1048"/>
    </row>
    <row r="9" spans="1:9" s="180" customFormat="1" ht="15" customHeight="1" x14ac:dyDescent="0.15">
      <c r="A9" s="1049" t="s">
        <v>96</v>
      </c>
      <c r="B9" s="1050"/>
      <c r="C9" s="185"/>
      <c r="D9" s="1051"/>
      <c r="E9" s="1052"/>
      <c r="F9" s="1052"/>
      <c r="G9" s="1052"/>
      <c r="H9" s="1052"/>
      <c r="I9" s="1053"/>
    </row>
    <row r="10" spans="1:9" s="181" customFormat="1" ht="11.25" x14ac:dyDescent="0.2">
      <c r="C10" s="186"/>
    </row>
    <row r="11" spans="1:9" s="181" customFormat="1" ht="11.25" x14ac:dyDescent="0.2">
      <c r="A11" s="1039" t="s">
        <v>359</v>
      </c>
      <c r="B11" s="1039"/>
      <c r="C11" s="1039"/>
      <c r="D11" s="1039"/>
      <c r="E11" s="1039"/>
      <c r="F11" s="1039"/>
      <c r="G11" s="1039"/>
      <c r="H11" s="1039"/>
      <c r="I11" s="1039"/>
    </row>
    <row r="12" spans="1:9" s="181" customFormat="1" ht="11.25" x14ac:dyDescent="0.2">
      <c r="C12" s="186"/>
      <c r="D12" s="187"/>
      <c r="E12" s="187"/>
      <c r="F12" s="187"/>
      <c r="G12" s="187"/>
      <c r="H12" s="187"/>
      <c r="I12" s="187"/>
    </row>
    <row r="13" spans="1:9" s="190" customFormat="1" ht="9.75" x14ac:dyDescent="0.2">
      <c r="A13" s="420" t="s">
        <v>93</v>
      </c>
      <c r="B13" s="420" t="s">
        <v>97</v>
      </c>
      <c r="C13" s="420" t="s">
        <v>25</v>
      </c>
      <c r="D13" s="188"/>
      <c r="E13" s="189"/>
      <c r="F13" s="189"/>
      <c r="G13" s="189"/>
      <c r="H13" s="189"/>
      <c r="I13" s="189"/>
    </row>
    <row r="14" spans="1:9" s="181" customFormat="1" ht="15" customHeight="1" x14ac:dyDescent="0.2">
      <c r="A14" s="191" t="s">
        <v>98</v>
      </c>
      <c r="B14" s="192"/>
      <c r="C14" s="193"/>
      <c r="D14" s="194"/>
      <c r="E14" s="195"/>
      <c r="F14" s="195"/>
      <c r="G14" s="195"/>
      <c r="H14" s="195"/>
      <c r="I14" s="195"/>
    </row>
    <row r="15" spans="1:9" s="181" customFormat="1" ht="15" customHeight="1" x14ac:dyDescent="0.2">
      <c r="A15" s="1037" t="s">
        <v>99</v>
      </c>
      <c r="B15" s="196" t="s">
        <v>100</v>
      </c>
      <c r="C15" s="197">
        <v>100430.66</v>
      </c>
      <c r="D15" s="198"/>
      <c r="E15" s="199"/>
      <c r="F15" s="199"/>
      <c r="G15" s="199"/>
      <c r="H15" s="199"/>
      <c r="I15" s="199"/>
    </row>
    <row r="16" spans="1:9" s="181" customFormat="1" ht="15" customHeight="1" x14ac:dyDescent="0.2">
      <c r="A16" s="1038"/>
      <c r="B16" s="200" t="s">
        <v>100</v>
      </c>
      <c r="C16" s="201">
        <v>38463.25</v>
      </c>
      <c r="D16" s="198"/>
      <c r="E16" s="199"/>
      <c r="F16" s="199"/>
      <c r="G16" s="199"/>
      <c r="H16" s="199"/>
      <c r="I16" s="199"/>
    </row>
    <row r="17" spans="1:9" s="181" customFormat="1" ht="15" customHeight="1" x14ac:dyDescent="0.2">
      <c r="A17" s="1038"/>
      <c r="B17" s="200" t="s">
        <v>101</v>
      </c>
      <c r="C17" s="202">
        <v>35000</v>
      </c>
      <c r="D17" s="203"/>
      <c r="E17" s="204"/>
      <c r="F17" s="204"/>
      <c r="G17" s="204"/>
      <c r="H17" s="204"/>
      <c r="I17" s="204"/>
    </row>
    <row r="18" spans="1:9" s="181" customFormat="1" ht="15" customHeight="1" x14ac:dyDescent="0.2">
      <c r="A18" s="421" t="s">
        <v>356</v>
      </c>
      <c r="B18" s="205"/>
      <c r="C18" s="206">
        <f>SUM(C14:C17)</f>
        <v>173893.91</v>
      </c>
      <c r="D18" s="207"/>
      <c r="E18" s="207"/>
      <c r="F18" s="207"/>
      <c r="G18" s="207"/>
      <c r="H18" s="207"/>
      <c r="I18" s="207"/>
    </row>
    <row r="19" spans="1:9" s="209" customFormat="1" ht="11.25" x14ac:dyDescent="0.2">
      <c r="A19" s="208"/>
      <c r="C19" s="210"/>
      <c r="D19" s="211"/>
      <c r="E19" s="211"/>
      <c r="F19" s="211"/>
      <c r="G19" s="211"/>
      <c r="H19" s="211"/>
      <c r="I19" s="211"/>
    </row>
    <row r="20" spans="1:9" s="181" customFormat="1" ht="11.25" x14ac:dyDescent="0.2">
      <c r="A20" s="1039" t="s">
        <v>360</v>
      </c>
      <c r="B20" s="1039"/>
      <c r="C20" s="1039"/>
      <c r="D20" s="1039"/>
      <c r="E20" s="1039"/>
      <c r="F20" s="1039"/>
      <c r="G20" s="1039"/>
      <c r="H20" s="1039"/>
      <c r="I20" s="1039"/>
    </row>
    <row r="21" spans="1:9" s="181" customFormat="1" ht="11.25" x14ac:dyDescent="0.2">
      <c r="C21" s="186"/>
    </row>
    <row r="22" spans="1:9" s="212" customFormat="1" ht="9.75" x14ac:dyDescent="0.2">
      <c r="A22" s="420" t="s">
        <v>97</v>
      </c>
      <c r="B22" s="420" t="s">
        <v>361</v>
      </c>
      <c r="C22" s="423" t="s">
        <v>362</v>
      </c>
      <c r="D22" s="420" t="s">
        <v>363</v>
      </c>
      <c r="E22" s="420" t="s">
        <v>364</v>
      </c>
      <c r="F22" s="1042" t="s">
        <v>365</v>
      </c>
      <c r="G22" s="1042"/>
      <c r="H22" s="1042"/>
      <c r="I22" s="1042"/>
    </row>
    <row r="23" spans="1:9" s="181" customFormat="1" ht="41.25" customHeight="1" x14ac:dyDescent="0.2">
      <c r="A23" s="213" t="s">
        <v>102</v>
      </c>
      <c r="B23" s="214">
        <v>44646.92</v>
      </c>
      <c r="C23" s="214">
        <v>156050.84</v>
      </c>
      <c r="D23" s="214">
        <v>59427</v>
      </c>
      <c r="E23" s="214">
        <f>B23+C23-D23</f>
        <v>141270.76</v>
      </c>
      <c r="F23" s="1054" t="s">
        <v>1024</v>
      </c>
      <c r="G23" s="1055"/>
      <c r="H23" s="1055"/>
      <c r="I23" s="1056"/>
    </row>
    <row r="24" spans="1:9" s="181" customFormat="1" ht="15.75" customHeight="1" x14ac:dyDescent="0.2">
      <c r="A24" s="196" t="s">
        <v>103</v>
      </c>
      <c r="B24" s="215">
        <v>110000.76</v>
      </c>
      <c r="C24" s="215">
        <v>745165</v>
      </c>
      <c r="D24" s="215">
        <v>665978</v>
      </c>
      <c r="E24" s="215">
        <f t="shared" ref="E24:E26" si="0">B24+C24-D24</f>
        <v>189187.76</v>
      </c>
      <c r="F24" s="1057" t="s">
        <v>1025</v>
      </c>
      <c r="G24" s="1058"/>
      <c r="H24" s="1058"/>
      <c r="I24" s="1059"/>
    </row>
    <row r="25" spans="1:9" s="181" customFormat="1" ht="17.25" customHeight="1" x14ac:dyDescent="0.2">
      <c r="A25" s="196" t="s">
        <v>101</v>
      </c>
      <c r="B25" s="215">
        <v>6800.77</v>
      </c>
      <c r="C25" s="215">
        <v>30000</v>
      </c>
      <c r="D25" s="215">
        <v>33300</v>
      </c>
      <c r="E25" s="215">
        <f t="shared" si="0"/>
        <v>3500.7700000000041</v>
      </c>
      <c r="F25" s="1057" t="s">
        <v>1026</v>
      </c>
      <c r="G25" s="1058"/>
      <c r="H25" s="1058"/>
      <c r="I25" s="1059"/>
    </row>
    <row r="26" spans="1:9" s="181" customFormat="1" ht="35.25" customHeight="1" x14ac:dyDescent="0.2">
      <c r="A26" s="200" t="s">
        <v>104</v>
      </c>
      <c r="B26" s="216">
        <v>170924.12</v>
      </c>
      <c r="C26" s="216">
        <v>402393</v>
      </c>
      <c r="D26" s="216">
        <v>337884</v>
      </c>
      <c r="E26" s="215">
        <f t="shared" si="0"/>
        <v>235433.12</v>
      </c>
      <c r="F26" s="1060" t="s">
        <v>1027</v>
      </c>
      <c r="G26" s="1061"/>
      <c r="H26" s="1061"/>
      <c r="I26" s="1062"/>
    </row>
    <row r="27" spans="1:9" s="180" customFormat="1" ht="10.5" x14ac:dyDescent="0.15">
      <c r="A27" s="217" t="s">
        <v>34</v>
      </c>
      <c r="B27" s="183">
        <f>SUM(B23:B26)</f>
        <v>332372.56999999995</v>
      </c>
      <c r="C27" s="183">
        <f t="shared" ref="C27:E27" si="1">SUM(C23:C26)</f>
        <v>1333608.8399999999</v>
      </c>
      <c r="D27" s="183">
        <f t="shared" si="1"/>
        <v>1096589</v>
      </c>
      <c r="E27" s="183">
        <f t="shared" si="1"/>
        <v>569392.41</v>
      </c>
      <c r="F27" s="1063"/>
      <c r="G27" s="1063"/>
      <c r="H27" s="1063"/>
      <c r="I27" s="1064"/>
    </row>
    <row r="28" spans="1:9" s="181" customFormat="1" ht="11.25" x14ac:dyDescent="0.2">
      <c r="C28" s="186"/>
    </row>
    <row r="29" spans="1:9" s="181" customFormat="1" ht="11.25" x14ac:dyDescent="0.2">
      <c r="A29" s="1039" t="s">
        <v>370</v>
      </c>
      <c r="B29" s="1039"/>
      <c r="C29" s="1039"/>
      <c r="D29" s="1039"/>
      <c r="E29" s="1039"/>
      <c r="F29" s="1039"/>
      <c r="G29" s="1039"/>
      <c r="H29" s="1039"/>
      <c r="I29" s="1039"/>
    </row>
    <row r="30" spans="1:9" s="181" customFormat="1" ht="11.25" x14ac:dyDescent="0.2">
      <c r="C30" s="186"/>
    </row>
    <row r="31" spans="1:9" s="181" customFormat="1" ht="11.25" x14ac:dyDescent="0.2">
      <c r="A31" s="420" t="s">
        <v>105</v>
      </c>
      <c r="B31" s="420" t="s">
        <v>25</v>
      </c>
      <c r="C31" s="423" t="s">
        <v>106</v>
      </c>
      <c r="D31" s="1042" t="s">
        <v>107</v>
      </c>
      <c r="E31" s="1042"/>
      <c r="F31" s="1042"/>
      <c r="G31" s="1042"/>
      <c r="H31" s="1042"/>
      <c r="I31" s="1042"/>
    </row>
    <row r="32" spans="1:9" s="181" customFormat="1" ht="15" customHeight="1" x14ac:dyDescent="0.2">
      <c r="A32" s="218" t="s">
        <v>517</v>
      </c>
      <c r="B32" s="214"/>
      <c r="C32" s="219"/>
      <c r="D32" s="1065"/>
      <c r="E32" s="1066"/>
      <c r="F32" s="1066"/>
      <c r="G32" s="1066"/>
      <c r="H32" s="1066"/>
      <c r="I32" s="1067"/>
    </row>
    <row r="33" spans="1:9" s="180" customFormat="1" ht="11.25" x14ac:dyDescent="0.2">
      <c r="A33" s="217" t="s">
        <v>34</v>
      </c>
      <c r="B33" s="183">
        <f>SUM(B32:B32)</f>
        <v>0</v>
      </c>
      <c r="C33" s="1068"/>
      <c r="D33" s="1069"/>
      <c r="E33" s="1069"/>
      <c r="F33" s="1069"/>
      <c r="G33" s="1069"/>
      <c r="H33" s="1069"/>
      <c r="I33" s="1070"/>
    </row>
    <row r="34" spans="1:9" s="181" customFormat="1" ht="11.25" x14ac:dyDescent="0.2">
      <c r="C34" s="186"/>
    </row>
    <row r="35" spans="1:9" s="181" customFormat="1" ht="11.25" x14ac:dyDescent="0.2">
      <c r="A35" s="1039" t="s">
        <v>372</v>
      </c>
      <c r="B35" s="1039"/>
      <c r="C35" s="1039"/>
      <c r="D35" s="1039"/>
      <c r="E35" s="1039"/>
      <c r="F35" s="1039"/>
      <c r="G35" s="1039"/>
      <c r="H35" s="1039"/>
      <c r="I35" s="1039"/>
    </row>
    <row r="36" spans="1:9" s="181" customFormat="1" ht="11.25" x14ac:dyDescent="0.2">
      <c r="C36" s="186"/>
    </row>
    <row r="37" spans="1:9" s="181" customFormat="1" ht="11.25" x14ac:dyDescent="0.2">
      <c r="A37" s="420" t="s">
        <v>105</v>
      </c>
      <c r="B37" s="420" t="s">
        <v>25</v>
      </c>
      <c r="C37" s="423" t="s">
        <v>106</v>
      </c>
      <c r="D37" s="1071" t="s">
        <v>107</v>
      </c>
      <c r="E37" s="1071"/>
      <c r="F37" s="1071"/>
      <c r="G37" s="1071"/>
      <c r="H37" s="1071"/>
      <c r="I37" s="1072"/>
    </row>
    <row r="38" spans="1:9" s="181" customFormat="1" ht="15" customHeight="1" x14ac:dyDescent="0.2">
      <c r="A38" s="218" t="s">
        <v>225</v>
      </c>
      <c r="B38" s="214"/>
      <c r="C38" s="219"/>
      <c r="D38" s="1057"/>
      <c r="E38" s="1073"/>
      <c r="F38" s="1073"/>
      <c r="G38" s="1073"/>
      <c r="H38" s="1073"/>
      <c r="I38" s="1074"/>
    </row>
    <row r="39" spans="1:9" s="180" customFormat="1" ht="10.5" x14ac:dyDescent="0.15">
      <c r="A39" s="217" t="s">
        <v>34</v>
      </c>
      <c r="B39" s="183">
        <f>SUM(B38:B38)</f>
        <v>0</v>
      </c>
      <c r="C39" s="1075"/>
      <c r="D39" s="1076"/>
      <c r="E39" s="1076"/>
      <c r="F39" s="1076"/>
      <c r="G39" s="1076"/>
      <c r="H39" s="1076"/>
      <c r="I39" s="1076"/>
    </row>
    <row r="40" spans="1:9" s="181" customFormat="1" ht="11.25" x14ac:dyDescent="0.2">
      <c r="C40" s="186"/>
    </row>
    <row r="41" spans="1:9" s="181" customFormat="1" ht="11.25" x14ac:dyDescent="0.2">
      <c r="A41" s="1039" t="s">
        <v>374</v>
      </c>
      <c r="B41" s="1039"/>
      <c r="C41" s="1039"/>
      <c r="D41" s="1039"/>
      <c r="E41" s="1039"/>
      <c r="F41" s="1039"/>
      <c r="G41" s="1039"/>
      <c r="H41" s="1039"/>
      <c r="I41" s="1039"/>
    </row>
    <row r="42" spans="1:9" s="181" customFormat="1" ht="11.25" x14ac:dyDescent="0.2">
      <c r="C42" s="186"/>
    </row>
    <row r="43" spans="1:9" s="181" customFormat="1" ht="11.25" x14ac:dyDescent="0.2">
      <c r="A43" s="420" t="s">
        <v>25</v>
      </c>
      <c r="B43" s="423" t="s">
        <v>375</v>
      </c>
      <c r="C43" s="1077" t="s">
        <v>108</v>
      </c>
      <c r="D43" s="1077"/>
      <c r="E43" s="1077"/>
      <c r="F43" s="1077"/>
      <c r="G43" s="1077"/>
      <c r="H43" s="1077"/>
      <c r="I43" s="1078"/>
    </row>
    <row r="44" spans="1:9" s="181" customFormat="1" ht="11.25" x14ac:dyDescent="0.2">
      <c r="A44" s="228" t="s">
        <v>1028</v>
      </c>
      <c r="B44" s="228"/>
      <c r="C44" s="1079"/>
      <c r="D44" s="1079"/>
      <c r="E44" s="1079"/>
      <c r="F44" s="1079"/>
      <c r="G44" s="1079"/>
      <c r="H44" s="1079"/>
      <c r="I44" s="1080"/>
    </row>
    <row r="45" spans="1:9" s="180" customFormat="1" ht="10.5" x14ac:dyDescent="0.15">
      <c r="A45" s="183"/>
      <c r="B45" s="183">
        <f>SUM(B44)</f>
        <v>0</v>
      </c>
      <c r="C45" s="1081" t="s">
        <v>34</v>
      </c>
      <c r="D45" s="1081"/>
      <c r="E45" s="1081"/>
      <c r="F45" s="1081"/>
      <c r="G45" s="1081"/>
      <c r="H45" s="1081"/>
      <c r="I45" s="1082"/>
    </row>
    <row r="46" spans="1:9" s="181" customFormat="1" ht="11.25" x14ac:dyDescent="0.2">
      <c r="C46" s="186"/>
    </row>
    <row r="47" spans="1:9" s="181" customFormat="1" ht="11.25" x14ac:dyDescent="0.2">
      <c r="A47" s="1039" t="s">
        <v>377</v>
      </c>
      <c r="B47" s="1039"/>
      <c r="C47" s="1039"/>
      <c r="D47" s="1039"/>
      <c r="E47" s="1039"/>
      <c r="F47" s="1039"/>
      <c r="G47" s="1039"/>
      <c r="H47" s="1039"/>
      <c r="I47" s="1039"/>
    </row>
    <row r="48" spans="1:9" s="181" customFormat="1" ht="11.25" x14ac:dyDescent="0.2">
      <c r="A48" s="838"/>
      <c r="B48" s="838"/>
      <c r="C48" s="838"/>
      <c r="D48" s="838"/>
      <c r="E48" s="838"/>
      <c r="F48" s="838"/>
      <c r="G48" s="838"/>
      <c r="H48" s="838"/>
      <c r="I48" s="838"/>
    </row>
    <row r="49" spans="1:9" s="181" customFormat="1" ht="31.5" x14ac:dyDescent="0.2">
      <c r="A49" s="1201" t="s">
        <v>114</v>
      </c>
      <c r="B49" s="1430"/>
      <c r="C49" s="382" t="s">
        <v>115</v>
      </c>
      <c r="D49" s="382" t="s">
        <v>116</v>
      </c>
      <c r="E49" s="382" t="s">
        <v>117</v>
      </c>
      <c r="F49" s="382" t="s">
        <v>118</v>
      </c>
      <c r="G49" s="382" t="s">
        <v>119</v>
      </c>
      <c r="H49" s="838"/>
      <c r="I49" s="838"/>
    </row>
    <row r="50" spans="1:9" s="181" customFormat="1" ht="11.45" customHeight="1" x14ac:dyDescent="0.2">
      <c r="A50" s="1428" t="s">
        <v>1029</v>
      </c>
      <c r="B50" s="1429"/>
      <c r="C50" s="383">
        <v>649</v>
      </c>
      <c r="D50" s="384">
        <v>185000</v>
      </c>
      <c r="E50" s="385"/>
      <c r="F50" s="241">
        <v>42822</v>
      </c>
      <c r="G50" s="241">
        <v>42822</v>
      </c>
      <c r="H50" s="838"/>
      <c r="I50" s="838"/>
    </row>
    <row r="51" spans="1:9" s="181" customFormat="1" ht="11.45" customHeight="1" x14ac:dyDescent="0.2">
      <c r="A51" s="1431" t="s">
        <v>1030</v>
      </c>
      <c r="B51" s="1432"/>
      <c r="C51" s="839">
        <v>518</v>
      </c>
      <c r="D51" s="840"/>
      <c r="E51" s="387">
        <v>185000</v>
      </c>
      <c r="F51" s="244">
        <v>42822</v>
      </c>
      <c r="G51" s="244">
        <v>42822</v>
      </c>
      <c r="H51" s="838"/>
      <c r="I51" s="838"/>
    </row>
    <row r="52" spans="1:9" s="181" customFormat="1" ht="12" x14ac:dyDescent="0.2">
      <c r="A52" s="1422" t="s">
        <v>1031</v>
      </c>
      <c r="B52" s="1097"/>
      <c r="C52" s="386"/>
      <c r="D52" s="387"/>
      <c r="E52" s="841"/>
      <c r="F52" s="842"/>
      <c r="G52" s="842"/>
      <c r="H52" s="838"/>
      <c r="I52" s="838"/>
    </row>
    <row r="53" spans="1:9" s="181" customFormat="1" ht="12" x14ac:dyDescent="0.2">
      <c r="A53" s="843"/>
      <c r="B53" s="844"/>
      <c r="C53" s="839"/>
      <c r="D53" s="845"/>
      <c r="E53" s="841"/>
      <c r="F53" s="842"/>
      <c r="G53" s="842"/>
      <c r="H53" s="838"/>
      <c r="I53" s="838"/>
    </row>
    <row r="54" spans="1:9" s="181" customFormat="1" ht="11.45" customHeight="1" x14ac:dyDescent="0.2">
      <c r="A54" s="1422" t="s">
        <v>1032</v>
      </c>
      <c r="B54" s="1097"/>
      <c r="C54" s="386">
        <v>512</v>
      </c>
      <c r="D54" s="845"/>
      <c r="E54" s="845">
        <v>32000</v>
      </c>
      <c r="F54" s="846">
        <v>42907</v>
      </c>
      <c r="G54" s="842">
        <v>42907</v>
      </c>
      <c r="H54" s="838"/>
      <c r="I54" s="838"/>
    </row>
    <row r="55" spans="1:9" s="181" customFormat="1" ht="11.45" customHeight="1" x14ac:dyDescent="0.2">
      <c r="A55" s="1422" t="s">
        <v>1032</v>
      </c>
      <c r="B55" s="1097"/>
      <c r="C55" s="847">
        <v>501</v>
      </c>
      <c r="D55" s="845"/>
      <c r="E55" s="840">
        <v>-32000</v>
      </c>
      <c r="F55" s="846">
        <v>42907</v>
      </c>
      <c r="G55" s="846">
        <v>42907</v>
      </c>
      <c r="H55" s="838"/>
      <c r="I55" s="838"/>
    </row>
    <row r="56" spans="1:9" s="181" customFormat="1" ht="12" x14ac:dyDescent="0.2">
      <c r="A56" s="434"/>
      <c r="B56" s="435"/>
      <c r="C56" s="847"/>
      <c r="D56" s="840"/>
      <c r="E56" s="387"/>
      <c r="F56" s="244"/>
      <c r="G56" s="244"/>
      <c r="H56" s="838"/>
      <c r="I56" s="838"/>
    </row>
    <row r="57" spans="1:9" s="181" customFormat="1" ht="11.45" customHeight="1" x14ac:dyDescent="0.2">
      <c r="A57" s="1422" t="s">
        <v>1033</v>
      </c>
      <c r="B57" s="1097"/>
      <c r="C57" s="848" t="s">
        <v>1034</v>
      </c>
      <c r="D57" s="384">
        <v>47299</v>
      </c>
      <c r="E57" s="845"/>
      <c r="F57" s="846">
        <v>42941</v>
      </c>
      <c r="G57" s="842">
        <v>42951</v>
      </c>
      <c r="H57" s="838"/>
      <c r="I57" s="838"/>
    </row>
    <row r="58" spans="1:9" s="181" customFormat="1" ht="11.45" customHeight="1" x14ac:dyDescent="0.2">
      <c r="A58" s="1423" t="s">
        <v>1035</v>
      </c>
      <c r="B58" s="1424"/>
      <c r="C58" s="847">
        <v>511</v>
      </c>
      <c r="D58" s="840"/>
      <c r="E58" s="840">
        <v>17654</v>
      </c>
      <c r="F58" s="846">
        <v>42941</v>
      </c>
      <c r="G58" s="846">
        <v>42951</v>
      </c>
      <c r="H58" s="838"/>
      <c r="I58" s="838"/>
    </row>
    <row r="59" spans="1:9" s="181" customFormat="1" ht="11.45" customHeight="1" x14ac:dyDescent="0.2">
      <c r="A59" s="1431" t="s">
        <v>1036</v>
      </c>
      <c r="B59" s="1432"/>
      <c r="C59" s="839">
        <v>558</v>
      </c>
      <c r="D59" s="840"/>
      <c r="E59" s="387">
        <v>29645</v>
      </c>
      <c r="F59" s="846">
        <v>42941</v>
      </c>
      <c r="G59" s="244">
        <v>42951</v>
      </c>
      <c r="H59" s="838"/>
      <c r="I59" s="838"/>
    </row>
    <row r="60" spans="1:9" s="181" customFormat="1" ht="12" x14ac:dyDescent="0.2">
      <c r="A60" s="843"/>
      <c r="B60" s="435"/>
      <c r="C60" s="386"/>
      <c r="D60" s="840"/>
      <c r="E60" s="845"/>
      <c r="F60" s="244"/>
      <c r="G60" s="842"/>
      <c r="H60" s="838"/>
      <c r="I60" s="838"/>
    </row>
    <row r="61" spans="1:9" s="181" customFormat="1" ht="11.45" customHeight="1" x14ac:dyDescent="0.2">
      <c r="A61" s="1422" t="s">
        <v>1037</v>
      </c>
      <c r="B61" s="1097"/>
      <c r="C61" s="849" t="s">
        <v>1038</v>
      </c>
      <c r="D61" s="840">
        <v>33300</v>
      </c>
      <c r="E61" s="840"/>
      <c r="F61" s="846">
        <v>42941</v>
      </c>
      <c r="G61" s="842">
        <v>42941</v>
      </c>
      <c r="H61" s="838"/>
      <c r="I61" s="838"/>
    </row>
    <row r="62" spans="1:9" s="181" customFormat="1" ht="12" x14ac:dyDescent="0.2">
      <c r="A62" s="1422" t="s">
        <v>1039</v>
      </c>
      <c r="B62" s="1097"/>
      <c r="C62" s="849">
        <v>521</v>
      </c>
      <c r="D62" s="840"/>
      <c r="E62" s="840">
        <v>33300</v>
      </c>
      <c r="F62" s="846">
        <v>42941</v>
      </c>
      <c r="G62" s="842">
        <v>42941</v>
      </c>
      <c r="H62" s="838"/>
      <c r="I62" s="838"/>
    </row>
    <row r="63" spans="1:9" s="181" customFormat="1" ht="11.45" customHeight="1" x14ac:dyDescent="0.2">
      <c r="A63" s="1422" t="s">
        <v>1040</v>
      </c>
      <c r="B63" s="1097"/>
      <c r="C63" s="849" t="s">
        <v>1034</v>
      </c>
      <c r="D63" s="387">
        <v>12128</v>
      </c>
      <c r="E63" s="840"/>
      <c r="F63" s="846">
        <v>42941</v>
      </c>
      <c r="G63" s="842">
        <v>42941</v>
      </c>
      <c r="H63" s="838"/>
      <c r="I63" s="838"/>
    </row>
    <row r="64" spans="1:9" s="181" customFormat="1" ht="11.45" customHeight="1" x14ac:dyDescent="0.2">
      <c r="A64" s="1422" t="s">
        <v>1040</v>
      </c>
      <c r="B64" s="1097"/>
      <c r="C64" s="386">
        <v>527</v>
      </c>
      <c r="D64" s="840"/>
      <c r="E64" s="387">
        <v>666</v>
      </c>
      <c r="F64" s="842">
        <v>42941</v>
      </c>
      <c r="G64" s="842">
        <v>39288</v>
      </c>
      <c r="H64" s="838"/>
      <c r="I64" s="838"/>
    </row>
    <row r="65" spans="1:9" s="181" customFormat="1" ht="11.45" customHeight="1" x14ac:dyDescent="0.2">
      <c r="A65" s="1422" t="s">
        <v>1040</v>
      </c>
      <c r="B65" s="1097"/>
      <c r="C65" s="848" t="s">
        <v>1041</v>
      </c>
      <c r="D65" s="845"/>
      <c r="E65" s="845">
        <v>11462</v>
      </c>
      <c r="F65" s="846">
        <v>42941</v>
      </c>
      <c r="G65" s="842">
        <v>42941</v>
      </c>
      <c r="H65" s="838"/>
      <c r="I65" s="838"/>
    </row>
    <row r="66" spans="1:9" s="181" customFormat="1" ht="12" x14ac:dyDescent="0.2">
      <c r="A66" s="850"/>
      <c r="B66" s="851"/>
      <c r="C66" s="848"/>
      <c r="D66" s="840"/>
      <c r="E66" s="845"/>
      <c r="F66" s="846"/>
      <c r="G66" s="842"/>
      <c r="H66" s="838"/>
      <c r="I66" s="838"/>
    </row>
    <row r="67" spans="1:9" s="181" customFormat="1" ht="12" x14ac:dyDescent="0.2">
      <c r="A67" s="1425" t="s">
        <v>1042</v>
      </c>
      <c r="B67" s="1426"/>
      <c r="C67" s="848">
        <v>501</v>
      </c>
      <c r="D67" s="840"/>
      <c r="E67" s="845">
        <v>-176000</v>
      </c>
      <c r="F67" s="846">
        <v>42919</v>
      </c>
      <c r="G67" s="842">
        <v>42919</v>
      </c>
      <c r="H67" s="838"/>
      <c r="I67" s="838"/>
    </row>
    <row r="68" spans="1:9" s="181" customFormat="1" ht="11.45" customHeight="1" x14ac:dyDescent="0.2">
      <c r="A68" s="1422" t="s">
        <v>1043</v>
      </c>
      <c r="B68" s="1097"/>
      <c r="C68" s="849">
        <v>558</v>
      </c>
      <c r="D68" s="840"/>
      <c r="E68" s="387">
        <v>126000</v>
      </c>
      <c r="F68" s="846">
        <v>42919</v>
      </c>
      <c r="G68" s="842">
        <v>42919</v>
      </c>
      <c r="H68" s="838"/>
      <c r="I68" s="838"/>
    </row>
    <row r="69" spans="1:9" s="181" customFormat="1" ht="12" x14ac:dyDescent="0.2">
      <c r="A69" s="1422" t="s">
        <v>1044</v>
      </c>
      <c r="B69" s="1097"/>
      <c r="C69" s="392">
        <v>511</v>
      </c>
      <c r="D69" s="840"/>
      <c r="E69" s="840">
        <v>50000</v>
      </c>
      <c r="F69" s="846">
        <v>42919</v>
      </c>
      <c r="G69" s="846">
        <v>42919</v>
      </c>
      <c r="H69" s="838"/>
      <c r="I69" s="838"/>
    </row>
    <row r="70" spans="1:9" s="181" customFormat="1" ht="12" x14ac:dyDescent="0.2">
      <c r="A70" s="850"/>
      <c r="B70" s="851"/>
      <c r="C70" s="848"/>
      <c r="D70" s="840"/>
      <c r="E70" s="387"/>
      <c r="F70" s="846"/>
      <c r="G70" s="244"/>
      <c r="H70" s="838"/>
      <c r="I70" s="838"/>
    </row>
    <row r="71" spans="1:9" s="181" customFormat="1" ht="11.45" customHeight="1" x14ac:dyDescent="0.2">
      <c r="A71" s="1422" t="s">
        <v>1045</v>
      </c>
      <c r="B71" s="1097"/>
      <c r="C71" s="847">
        <v>513</v>
      </c>
      <c r="D71" s="840"/>
      <c r="E71" s="845">
        <v>-6000</v>
      </c>
      <c r="F71" s="846">
        <v>43026</v>
      </c>
      <c r="G71" s="842">
        <v>43026</v>
      </c>
      <c r="H71" s="838"/>
      <c r="I71" s="838"/>
    </row>
    <row r="72" spans="1:9" s="181" customFormat="1" ht="11.45" customHeight="1" x14ac:dyDescent="0.2">
      <c r="A72" s="1422" t="s">
        <v>1046</v>
      </c>
      <c r="B72" s="1097"/>
      <c r="C72" s="847">
        <v>518</v>
      </c>
      <c r="D72" s="387"/>
      <c r="E72" s="840">
        <v>6000</v>
      </c>
      <c r="F72" s="846">
        <v>43026</v>
      </c>
      <c r="G72" s="846">
        <v>43026</v>
      </c>
      <c r="H72" s="838"/>
      <c r="I72" s="838"/>
    </row>
    <row r="73" spans="1:9" s="181" customFormat="1" ht="12" x14ac:dyDescent="0.2">
      <c r="A73" s="1433" t="s">
        <v>1047</v>
      </c>
      <c r="B73" s="1434"/>
      <c r="C73" s="839">
        <v>663</v>
      </c>
      <c r="D73" s="840">
        <v>-1500</v>
      </c>
      <c r="E73" s="840"/>
      <c r="F73" s="846">
        <v>43026</v>
      </c>
      <c r="G73" s="846">
        <v>43026</v>
      </c>
      <c r="H73" s="838"/>
      <c r="I73" s="838"/>
    </row>
    <row r="74" spans="1:9" s="181" customFormat="1" ht="12" x14ac:dyDescent="0.2">
      <c r="A74" s="1422" t="s">
        <v>1047</v>
      </c>
      <c r="B74" s="1097"/>
      <c r="C74" s="839">
        <v>501</v>
      </c>
      <c r="D74" s="840"/>
      <c r="E74" s="387">
        <v>-1500</v>
      </c>
      <c r="F74" s="842">
        <v>43026</v>
      </c>
      <c r="G74" s="244">
        <v>43026</v>
      </c>
      <c r="H74" s="838"/>
      <c r="I74" s="838"/>
    </row>
    <row r="75" spans="1:9" s="181" customFormat="1" ht="12" x14ac:dyDescent="0.2">
      <c r="A75" s="1431"/>
      <c r="B75" s="1438"/>
      <c r="C75" s="852"/>
      <c r="D75" s="853"/>
      <c r="E75" s="853"/>
      <c r="F75" s="854"/>
      <c r="G75" s="855"/>
      <c r="H75" s="838"/>
      <c r="I75" s="838"/>
    </row>
    <row r="76" spans="1:9" s="181" customFormat="1" ht="12" x14ac:dyDescent="0.2">
      <c r="A76" s="436"/>
      <c r="B76" s="439"/>
      <c r="C76" s="856"/>
      <c r="D76" s="857"/>
      <c r="E76" s="857"/>
      <c r="F76" s="858"/>
      <c r="G76" s="858"/>
      <c r="H76" s="838"/>
      <c r="I76" s="838"/>
    </row>
    <row r="77" spans="1:9" s="181" customFormat="1" ht="11.45" customHeight="1" x14ac:dyDescent="0.2">
      <c r="A77" s="1435" t="s">
        <v>1048</v>
      </c>
      <c r="B77" s="1435"/>
      <c r="C77" s="839">
        <v>549</v>
      </c>
      <c r="D77" s="840"/>
      <c r="E77" s="840">
        <v>-60000</v>
      </c>
      <c r="F77" s="846">
        <v>43027</v>
      </c>
      <c r="G77" s="846">
        <v>43027</v>
      </c>
      <c r="H77" s="838"/>
      <c r="I77" s="838"/>
    </row>
    <row r="78" spans="1:9" s="181" customFormat="1" ht="11.45" customHeight="1" x14ac:dyDescent="0.2">
      <c r="A78" s="1436" t="s">
        <v>1049</v>
      </c>
      <c r="B78" s="1437"/>
      <c r="C78" s="386">
        <v>518</v>
      </c>
      <c r="D78" s="840"/>
      <c r="E78" s="840">
        <v>60000</v>
      </c>
      <c r="F78" s="244">
        <v>43027</v>
      </c>
      <c r="G78" s="244">
        <v>43027</v>
      </c>
      <c r="H78" s="838"/>
      <c r="I78" s="838"/>
    </row>
    <row r="79" spans="1:9" s="181" customFormat="1" ht="11.45" customHeight="1" x14ac:dyDescent="0.2">
      <c r="A79" s="1096" t="s">
        <v>1050</v>
      </c>
      <c r="B79" s="1097"/>
      <c r="C79" s="847">
        <v>501</v>
      </c>
      <c r="D79" s="387"/>
      <c r="E79" s="384">
        <v>-30000</v>
      </c>
      <c r="F79" s="842">
        <v>43027</v>
      </c>
      <c r="G79" s="846">
        <v>43027</v>
      </c>
      <c r="H79" s="838"/>
      <c r="I79" s="838"/>
    </row>
    <row r="80" spans="1:9" s="181" customFormat="1" ht="12" x14ac:dyDescent="0.2">
      <c r="A80" s="1422" t="s">
        <v>1051</v>
      </c>
      <c r="B80" s="1097"/>
      <c r="C80" s="847">
        <v>558</v>
      </c>
      <c r="D80" s="840"/>
      <c r="E80" s="387">
        <v>30000</v>
      </c>
      <c r="F80" s="846">
        <v>43027</v>
      </c>
      <c r="G80" s="846">
        <v>43027</v>
      </c>
      <c r="H80" s="838"/>
      <c r="I80" s="838"/>
    </row>
    <row r="81" spans="1:9" s="181" customFormat="1" ht="12" x14ac:dyDescent="0.2">
      <c r="A81" s="434"/>
      <c r="B81" s="437"/>
      <c r="C81" s="847"/>
      <c r="D81" s="840"/>
      <c r="E81" s="845"/>
      <c r="F81" s="244"/>
      <c r="G81" s="846"/>
      <c r="H81" s="838"/>
      <c r="I81" s="838"/>
    </row>
    <row r="82" spans="1:9" s="181" customFormat="1" ht="11.45" customHeight="1" x14ac:dyDescent="0.2">
      <c r="A82" s="1422" t="s">
        <v>1052</v>
      </c>
      <c r="B82" s="1097"/>
      <c r="C82" s="847">
        <v>501</v>
      </c>
      <c r="D82" s="387"/>
      <c r="E82" s="840">
        <v>-250</v>
      </c>
      <c r="F82" s="842">
        <v>43069</v>
      </c>
      <c r="G82" s="846">
        <v>43069</v>
      </c>
      <c r="H82" s="838"/>
      <c r="I82" s="838"/>
    </row>
    <row r="83" spans="1:9" s="181" customFormat="1" ht="12" x14ac:dyDescent="0.2">
      <c r="A83" s="1422" t="s">
        <v>1053</v>
      </c>
      <c r="B83" s="1097"/>
      <c r="C83" s="847">
        <v>563</v>
      </c>
      <c r="D83" s="840"/>
      <c r="E83" s="840">
        <v>250</v>
      </c>
      <c r="F83" s="842">
        <v>43069</v>
      </c>
      <c r="G83" s="244">
        <v>43069</v>
      </c>
      <c r="H83" s="838"/>
      <c r="I83" s="838"/>
    </row>
    <row r="84" spans="1:9" s="181" customFormat="1" ht="12" x14ac:dyDescent="0.2">
      <c r="A84" s="434"/>
      <c r="B84" s="437"/>
      <c r="C84" s="847"/>
      <c r="D84" s="840"/>
      <c r="E84" s="845"/>
      <c r="F84" s="846"/>
      <c r="G84" s="842"/>
      <c r="H84" s="838"/>
      <c r="I84" s="838"/>
    </row>
    <row r="85" spans="1:9" s="181" customFormat="1" ht="11.45" customHeight="1" x14ac:dyDescent="0.2">
      <c r="A85" s="1422" t="s">
        <v>1054</v>
      </c>
      <c r="B85" s="1097"/>
      <c r="C85" s="847">
        <v>527</v>
      </c>
      <c r="D85" s="840"/>
      <c r="E85" s="845">
        <v>-70000</v>
      </c>
      <c r="F85" s="244">
        <v>43074</v>
      </c>
      <c r="G85" s="846">
        <v>43074</v>
      </c>
      <c r="H85" s="838"/>
      <c r="I85" s="838"/>
    </row>
    <row r="86" spans="1:9" s="181" customFormat="1" ht="11.45" customHeight="1" x14ac:dyDescent="0.2">
      <c r="A86" s="1422" t="s">
        <v>1055</v>
      </c>
      <c r="B86" s="1097"/>
      <c r="C86" s="847">
        <v>518</v>
      </c>
      <c r="D86" s="387"/>
      <c r="E86" s="840">
        <v>70000</v>
      </c>
      <c r="F86" s="846">
        <v>43074</v>
      </c>
      <c r="G86" s="846">
        <v>43074</v>
      </c>
      <c r="H86" s="838"/>
      <c r="I86" s="838"/>
    </row>
    <row r="87" spans="1:9" s="181" customFormat="1" ht="11.45" customHeight="1" x14ac:dyDescent="0.2">
      <c r="A87" s="1422" t="s">
        <v>1056</v>
      </c>
      <c r="B87" s="1097"/>
      <c r="C87" s="847">
        <v>549</v>
      </c>
      <c r="D87" s="845"/>
      <c r="E87" s="387">
        <v>-84000</v>
      </c>
      <c r="F87" s="846">
        <v>43074</v>
      </c>
      <c r="G87" s="846">
        <v>43074</v>
      </c>
      <c r="H87" s="838"/>
      <c r="I87" s="838"/>
    </row>
    <row r="88" spans="1:9" s="181" customFormat="1" ht="11.45" customHeight="1" x14ac:dyDescent="0.2">
      <c r="A88" s="1433" t="s">
        <v>1057</v>
      </c>
      <c r="B88" s="1434"/>
      <c r="C88" s="839">
        <v>525</v>
      </c>
      <c r="D88" s="840"/>
      <c r="E88" s="840">
        <v>84000</v>
      </c>
      <c r="F88" s="842">
        <v>43074</v>
      </c>
      <c r="G88" s="244">
        <v>43074</v>
      </c>
      <c r="H88" s="838"/>
      <c r="I88" s="838"/>
    </row>
    <row r="89" spans="1:9" s="181" customFormat="1" ht="12" x14ac:dyDescent="0.2">
      <c r="A89" s="1439" t="s">
        <v>1058</v>
      </c>
      <c r="B89" s="1440"/>
      <c r="C89" s="386"/>
      <c r="D89" s="387"/>
      <c r="E89" s="388"/>
      <c r="F89" s="389"/>
      <c r="G89" s="389"/>
      <c r="H89" s="838"/>
      <c r="I89" s="838"/>
    </row>
    <row r="90" spans="1:9" s="181" customFormat="1" ht="12" x14ac:dyDescent="0.2">
      <c r="A90" s="1199" t="s">
        <v>132</v>
      </c>
      <c r="B90" s="1383"/>
      <c r="C90" s="390"/>
      <c r="D90" s="391">
        <f>SUM(D50:D89)</f>
        <v>276227</v>
      </c>
      <c r="E90" s="391">
        <f>SUM(E50:E89)</f>
        <v>276227</v>
      </c>
      <c r="F90" s="1216"/>
      <c r="G90" s="1217"/>
      <c r="H90" s="838"/>
      <c r="I90" s="838"/>
    </row>
    <row r="91" spans="1:9" s="181" customFormat="1" ht="11.25" x14ac:dyDescent="0.2">
      <c r="A91" s="838"/>
      <c r="B91" s="838"/>
      <c r="C91" s="838"/>
      <c r="D91" s="838"/>
      <c r="E91" s="838"/>
      <c r="F91" s="838"/>
      <c r="G91" s="838"/>
      <c r="H91" s="838"/>
      <c r="I91" s="838"/>
    </row>
    <row r="92" spans="1:9" s="181" customFormat="1" ht="11.25" x14ac:dyDescent="0.2">
      <c r="A92" s="426"/>
      <c r="B92" s="426"/>
      <c r="C92" s="237"/>
      <c r="D92" s="237"/>
      <c r="E92" s="238"/>
    </row>
    <row r="93" spans="1:9" s="181" customFormat="1" ht="11.25" x14ac:dyDescent="0.2">
      <c r="A93" s="1083" t="s">
        <v>397</v>
      </c>
      <c r="B93" s="1083"/>
      <c r="C93" s="1083"/>
      <c r="D93" s="1083"/>
      <c r="E93" s="1083"/>
      <c r="F93" s="1083"/>
      <c r="G93" s="1083"/>
      <c r="H93" s="1083"/>
      <c r="I93" s="1083"/>
    </row>
    <row r="94" spans="1:9" s="181" customFormat="1" ht="12" x14ac:dyDescent="0.2">
      <c r="A94" s="1421" t="s">
        <v>1059</v>
      </c>
      <c r="B94" s="1421"/>
      <c r="C94" s="1421"/>
      <c r="D94" s="1421"/>
      <c r="E94" s="1421"/>
      <c r="F94" s="1421"/>
      <c r="G94" s="1421"/>
      <c r="H94" s="859"/>
      <c r="I94" s="859"/>
    </row>
    <row r="95" spans="1:9" s="181" customFormat="1" ht="12" x14ac:dyDescent="0.2">
      <c r="A95" s="860" t="s">
        <v>1060</v>
      </c>
      <c r="B95" s="860"/>
      <c r="C95" s="860"/>
      <c r="D95" s="860"/>
      <c r="E95" s="860"/>
      <c r="F95" s="860"/>
      <c r="G95" s="860"/>
      <c r="H95" s="859"/>
      <c r="I95" s="859"/>
    </row>
    <row r="96" spans="1:9" s="181" customFormat="1" ht="12" x14ac:dyDescent="0.2">
      <c r="A96" s="1421" t="s">
        <v>1061</v>
      </c>
      <c r="B96" s="1421"/>
      <c r="C96" s="1421"/>
      <c r="D96" s="1421"/>
      <c r="E96" s="1421"/>
      <c r="F96" s="1421"/>
      <c r="G96" s="1421"/>
    </row>
    <row r="97" spans="1:9" s="181" customFormat="1" ht="12" x14ac:dyDescent="0.2">
      <c r="A97" s="1421" t="s">
        <v>1062</v>
      </c>
      <c r="B97" s="1421"/>
      <c r="C97" s="1421"/>
      <c r="D97" s="1421"/>
      <c r="E97" s="1421"/>
      <c r="F97" s="1421"/>
      <c r="G97" s="1421"/>
    </row>
    <row r="98" spans="1:9" s="181" customFormat="1" ht="12" x14ac:dyDescent="0.2">
      <c r="A98" s="1421" t="s">
        <v>1063</v>
      </c>
      <c r="B98" s="1421"/>
      <c r="C98" s="1421"/>
      <c r="D98" s="1421"/>
      <c r="E98" s="1421"/>
      <c r="F98" s="1421"/>
      <c r="G98" s="1421"/>
    </row>
    <row r="99" spans="1:9" s="181" customFormat="1" ht="12" x14ac:dyDescent="0.2">
      <c r="A99" s="860" t="s">
        <v>1064</v>
      </c>
      <c r="B99" s="860"/>
      <c r="C99" s="860"/>
      <c r="D99" s="860"/>
      <c r="E99" s="860"/>
      <c r="F99" s="860"/>
      <c r="G99" s="860"/>
    </row>
    <row r="100" spans="1:9" s="181" customFormat="1" ht="12" x14ac:dyDescent="0.2">
      <c r="A100" s="1421" t="s">
        <v>1065</v>
      </c>
      <c r="B100" s="1421"/>
      <c r="C100" s="1421"/>
      <c r="D100" s="1421"/>
      <c r="E100" s="1421"/>
      <c r="F100" s="1421"/>
      <c r="G100" s="1421"/>
    </row>
    <row r="101" spans="1:9" s="181" customFormat="1" ht="11.25" x14ac:dyDescent="0.2"/>
    <row r="102" spans="1:9" s="181" customFormat="1" ht="0.75" customHeight="1" x14ac:dyDescent="0.2">
      <c r="A102" s="1034"/>
      <c r="B102" s="1035"/>
      <c r="C102" s="1035"/>
      <c r="D102" s="1035"/>
      <c r="E102" s="1035"/>
      <c r="F102" s="1035"/>
      <c r="G102" s="1035"/>
      <c r="H102" s="1035"/>
      <c r="I102" s="1036"/>
    </row>
    <row r="103" spans="1:9" s="181" customFormat="1" ht="11.25" hidden="1" x14ac:dyDescent="0.2"/>
    <row r="104" spans="1:9" s="180" customFormat="1" ht="10.5" x14ac:dyDescent="0.15">
      <c r="A104" s="1039" t="s">
        <v>399</v>
      </c>
      <c r="B104" s="1039"/>
      <c r="C104" s="1039"/>
      <c r="D104" s="1039"/>
      <c r="E104" s="1039"/>
      <c r="F104" s="1039"/>
      <c r="G104" s="1039"/>
      <c r="H104" s="1039"/>
      <c r="I104" s="1039"/>
    </row>
    <row r="105" spans="1:9" s="181" customFormat="1" ht="11.25" x14ac:dyDescent="0.2">
      <c r="A105" s="181" t="s">
        <v>112</v>
      </c>
    </row>
    <row r="106" spans="1:9" s="181" customFormat="1" ht="30.75" customHeight="1" x14ac:dyDescent="0.2">
      <c r="A106" s="1034" t="s">
        <v>1066</v>
      </c>
      <c r="B106" s="1035"/>
      <c r="C106" s="1035"/>
      <c r="D106" s="1035"/>
      <c r="E106" s="1035"/>
      <c r="F106" s="1035"/>
      <c r="G106" s="1035"/>
      <c r="H106" s="1035"/>
      <c r="I106" s="1036"/>
    </row>
    <row r="107" spans="1:9" s="181" customFormat="1" ht="27" customHeight="1" x14ac:dyDescent="0.2">
      <c r="A107" s="1034"/>
      <c r="B107" s="1035"/>
      <c r="C107" s="1035"/>
      <c r="D107" s="1035"/>
      <c r="E107" s="1035"/>
      <c r="F107" s="1035"/>
      <c r="G107" s="1035"/>
      <c r="H107" s="1035"/>
      <c r="I107" s="1036"/>
    </row>
    <row r="110" spans="1:9" x14ac:dyDescent="0.2">
      <c r="A110" s="239"/>
    </row>
    <row r="111" spans="1:9" x14ac:dyDescent="0.2">
      <c r="A111" s="239"/>
    </row>
  </sheetData>
  <mergeCells count="80">
    <mergeCell ref="A79:B79"/>
    <mergeCell ref="A80:B80"/>
    <mergeCell ref="A82:B82"/>
    <mergeCell ref="A83:B83"/>
    <mergeCell ref="A107:I107"/>
    <mergeCell ref="A106:I106"/>
    <mergeCell ref="A85:B85"/>
    <mergeCell ref="A86:B86"/>
    <mergeCell ref="A87:B87"/>
    <mergeCell ref="A88:B88"/>
    <mergeCell ref="A89:B89"/>
    <mergeCell ref="A90:B90"/>
    <mergeCell ref="F90:G90"/>
    <mergeCell ref="A93:I93"/>
    <mergeCell ref="A94:G94"/>
    <mergeCell ref="A96:G96"/>
    <mergeCell ref="A73:B73"/>
    <mergeCell ref="A74:B74"/>
    <mergeCell ref="A77:B77"/>
    <mergeCell ref="A78:B78"/>
    <mergeCell ref="A75:B75"/>
    <mergeCell ref="A72:B72"/>
    <mergeCell ref="A57:B57"/>
    <mergeCell ref="A59:B59"/>
    <mergeCell ref="A62:B62"/>
    <mergeCell ref="A63:B63"/>
    <mergeCell ref="A65:B65"/>
    <mergeCell ref="A68:B68"/>
    <mergeCell ref="A69:B69"/>
    <mergeCell ref="A71:B71"/>
    <mergeCell ref="D38:I38"/>
    <mergeCell ref="A54:B54"/>
    <mergeCell ref="C39:I39"/>
    <mergeCell ref="A41:I41"/>
    <mergeCell ref="C43:I43"/>
    <mergeCell ref="C44:I44"/>
    <mergeCell ref="C45:I45"/>
    <mergeCell ref="A49:B49"/>
    <mergeCell ref="A51:B51"/>
    <mergeCell ref="D31:I31"/>
    <mergeCell ref="D32:I32"/>
    <mergeCell ref="C33:I33"/>
    <mergeCell ref="A35:I35"/>
    <mergeCell ref="D37:I37"/>
    <mergeCell ref="F23:I23"/>
    <mergeCell ref="F24:I24"/>
    <mergeCell ref="F25:I25"/>
    <mergeCell ref="F27:I27"/>
    <mergeCell ref="A29:I29"/>
    <mergeCell ref="D9:I9"/>
    <mergeCell ref="A11:I11"/>
    <mergeCell ref="A15:A17"/>
    <mergeCell ref="A20:I20"/>
    <mergeCell ref="F22:I22"/>
    <mergeCell ref="B1:I1"/>
    <mergeCell ref="A2:I2"/>
    <mergeCell ref="A47:I47"/>
    <mergeCell ref="A50:B50"/>
    <mergeCell ref="A52:B52"/>
    <mergeCell ref="A7:B7"/>
    <mergeCell ref="D7:I7"/>
    <mergeCell ref="A3:I3"/>
    <mergeCell ref="A5:B5"/>
    <mergeCell ref="D5:I5"/>
    <mergeCell ref="A6:B6"/>
    <mergeCell ref="D6:I6"/>
    <mergeCell ref="F26:I26"/>
    <mergeCell ref="A8:B8"/>
    <mergeCell ref="D8:I8"/>
    <mergeCell ref="A9:B9"/>
    <mergeCell ref="A55:B55"/>
    <mergeCell ref="A58:B58"/>
    <mergeCell ref="A61:B61"/>
    <mergeCell ref="A64:B64"/>
    <mergeCell ref="A67:B67"/>
    <mergeCell ref="A97:G97"/>
    <mergeCell ref="A98:G98"/>
    <mergeCell ref="A100:G100"/>
    <mergeCell ref="A102:I102"/>
    <mergeCell ref="A104:I104"/>
  </mergeCells>
  <pageMargins left="0.70866141732283472" right="0.70866141732283472" top="0.78740157480314965" bottom="0.78740157480314965" header="0.31496062992125984" footer="0.31496062992125984"/>
  <pageSetup paperSize="9" scale="66" firstPageNumber="121" fitToHeight="9" orientation="portrait" useFirstPageNumber="1" r:id="rId1"/>
  <headerFoot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zoomScale="150" zoomScaleNormal="150" workbookViewId="0">
      <selection activeCell="A107" sqref="A107:XFD107"/>
    </sheetView>
  </sheetViews>
  <sheetFormatPr defaultColWidth="6.5" defaultRowHeight="8.25" x14ac:dyDescent="0.15"/>
  <cols>
    <col min="1" max="1" width="5.5" style="1" customWidth="1"/>
    <col min="2" max="2" width="6.5" customWidth="1"/>
    <col min="3" max="3" width="36.75" customWidth="1"/>
    <col min="4" max="4" width="9.5" customWidth="1"/>
    <col min="5" max="7" width="11" customWidth="1"/>
    <col min="8" max="8" width="8.75" customWidth="1"/>
    <col min="9" max="11" width="11" customWidth="1"/>
    <col min="12" max="12" width="11.75" customWidth="1"/>
    <col min="13" max="13" width="8.75" customWidth="1"/>
    <col min="14" max="17" width="11" customWidth="1"/>
    <col min="18" max="18" width="8.75" customWidth="1"/>
    <col min="19" max="22" width="11" customWidth="1"/>
    <col min="23" max="23" width="8.75" customWidth="1"/>
    <col min="24" max="24" width="11" customWidth="1"/>
  </cols>
  <sheetData>
    <row r="1" spans="1:24" s="2" customFormat="1" ht="15.75" x14ac:dyDescent="0.25">
      <c r="A1" s="1019" t="s">
        <v>352</v>
      </c>
      <c r="B1" s="1019"/>
      <c r="C1" s="1019"/>
      <c r="D1" s="1019"/>
      <c r="E1" s="1019"/>
      <c r="F1" s="1019"/>
      <c r="G1" s="1019"/>
      <c r="H1" s="1019"/>
      <c r="I1" s="1019"/>
      <c r="J1" s="1019"/>
      <c r="K1" s="1019"/>
      <c r="L1" s="1019"/>
      <c r="M1" s="1019"/>
      <c r="N1" s="1019"/>
      <c r="O1" s="1019"/>
      <c r="P1" s="1019"/>
      <c r="Q1" s="1019"/>
      <c r="R1" s="1019"/>
      <c r="S1" s="1019"/>
      <c r="T1" s="1019"/>
      <c r="U1" s="1019"/>
      <c r="V1" s="1019"/>
      <c r="W1" s="1019"/>
      <c r="X1" s="1019"/>
    </row>
    <row r="3" spans="1:24" s="3" customFormat="1" ht="9.75" customHeight="1" x14ac:dyDescent="0.2">
      <c r="A3" s="1012" t="s">
        <v>40</v>
      </c>
      <c r="B3" s="1022" t="s">
        <v>41</v>
      </c>
      <c r="C3" s="1023"/>
      <c r="D3" s="1028" t="s">
        <v>42</v>
      </c>
      <c r="E3" s="1031" t="s">
        <v>34</v>
      </c>
      <c r="F3" s="1032"/>
      <c r="G3" s="1032"/>
      <c r="H3" s="1032"/>
      <c r="I3" s="1033"/>
      <c r="J3" s="1031" t="s">
        <v>39</v>
      </c>
      <c r="K3" s="1032"/>
      <c r="L3" s="1032"/>
      <c r="M3" s="1032"/>
      <c r="N3" s="1033"/>
      <c r="O3" s="1031" t="s">
        <v>43</v>
      </c>
      <c r="P3" s="1032"/>
      <c r="Q3" s="1032"/>
      <c r="R3" s="1032"/>
      <c r="S3" s="1033"/>
      <c r="T3" s="1031" t="s">
        <v>38</v>
      </c>
      <c r="U3" s="1032"/>
      <c r="V3" s="1032"/>
      <c r="W3" s="1032"/>
      <c r="X3" s="1033"/>
    </row>
    <row r="4" spans="1:24" s="4" customFormat="1" ht="9.75" customHeight="1" x14ac:dyDescent="0.2">
      <c r="A4" s="1020"/>
      <c r="B4" s="1024"/>
      <c r="C4" s="1025"/>
      <c r="D4" s="1029"/>
      <c r="E4" s="1014" t="s">
        <v>44</v>
      </c>
      <c r="F4" s="1016" t="s">
        <v>336</v>
      </c>
      <c r="G4" s="1017"/>
      <c r="H4" s="1018"/>
      <c r="I4" s="1012" t="s">
        <v>337</v>
      </c>
      <c r="J4" s="1014" t="s">
        <v>44</v>
      </c>
      <c r="K4" s="1016" t="s">
        <v>336</v>
      </c>
      <c r="L4" s="1017"/>
      <c r="M4" s="1018"/>
      <c r="N4" s="1012" t="s">
        <v>337</v>
      </c>
      <c r="O4" s="1014" t="s">
        <v>44</v>
      </c>
      <c r="P4" s="1016" t="s">
        <v>336</v>
      </c>
      <c r="Q4" s="1017"/>
      <c r="R4" s="1018"/>
      <c r="S4" s="1012" t="s">
        <v>337</v>
      </c>
      <c r="T4" s="1014" t="s">
        <v>44</v>
      </c>
      <c r="U4" s="1016" t="s">
        <v>336</v>
      </c>
      <c r="V4" s="1017"/>
      <c r="W4" s="1018"/>
      <c r="X4" s="1012" t="s">
        <v>337</v>
      </c>
    </row>
    <row r="5" spans="1:24" s="5" customFormat="1" ht="9.75" customHeight="1" x14ac:dyDescent="0.2">
      <c r="A5" s="1021"/>
      <c r="B5" s="1026"/>
      <c r="C5" s="1027"/>
      <c r="D5" s="1030"/>
      <c r="E5" s="1015"/>
      <c r="F5" s="14" t="s">
        <v>35</v>
      </c>
      <c r="G5" s="15" t="s">
        <v>36</v>
      </c>
      <c r="H5" s="14" t="s">
        <v>37</v>
      </c>
      <c r="I5" s="1013"/>
      <c r="J5" s="1015"/>
      <c r="K5" s="14" t="s">
        <v>35</v>
      </c>
      <c r="L5" s="15" t="s">
        <v>36</v>
      </c>
      <c r="M5" s="14" t="s">
        <v>37</v>
      </c>
      <c r="N5" s="1013"/>
      <c r="O5" s="1015"/>
      <c r="P5" s="14" t="s">
        <v>35</v>
      </c>
      <c r="Q5" s="15" t="s">
        <v>36</v>
      </c>
      <c r="R5" s="14" t="s">
        <v>37</v>
      </c>
      <c r="S5" s="1013"/>
      <c r="T5" s="1015"/>
      <c r="U5" s="14" t="s">
        <v>35</v>
      </c>
      <c r="V5" s="15" t="s">
        <v>36</v>
      </c>
      <c r="W5" s="14" t="s">
        <v>37</v>
      </c>
      <c r="X5" s="1013"/>
    </row>
    <row r="6" spans="1:24" s="3" customFormat="1" ht="9.75" customHeight="1" x14ac:dyDescent="0.2">
      <c r="A6" s="16" t="s">
        <v>0</v>
      </c>
      <c r="B6" s="1007" t="s">
        <v>1</v>
      </c>
      <c r="C6" s="1007"/>
      <c r="D6" s="17" t="s">
        <v>25</v>
      </c>
      <c r="E6" s="52">
        <f>SUM(E7:E9)</f>
        <v>20238310</v>
      </c>
      <c r="F6" s="52">
        <f>SUM(F7:F9)</f>
        <v>23298277.890000001</v>
      </c>
      <c r="G6" s="52">
        <f>SUM(G7:G9)</f>
        <v>23842489.260000002</v>
      </c>
      <c r="H6" s="18">
        <f t="shared" ref="H6:H36" si="0">G6/F6*100</f>
        <v>102.33584375879381</v>
      </c>
      <c r="I6" s="52">
        <f>SUM(I7:I9)</f>
        <v>21438991</v>
      </c>
      <c r="J6" s="52">
        <f>SUM(J7:J9)</f>
        <v>12146610</v>
      </c>
      <c r="K6" s="52">
        <f t="shared" ref="K6:X6" si="1">SUM(K7:K9)</f>
        <v>14768337.890000001</v>
      </c>
      <c r="L6" s="52">
        <f t="shared" si="1"/>
        <v>14774160.26</v>
      </c>
      <c r="M6" s="18">
        <f t="shared" ref="M6:M29" si="2">L6/K6*100</f>
        <v>100.03942468030841</v>
      </c>
      <c r="N6" s="69">
        <f t="shared" si="1"/>
        <v>12361903</v>
      </c>
      <c r="O6" s="52">
        <f t="shared" si="1"/>
        <v>8091700</v>
      </c>
      <c r="P6" s="52">
        <f t="shared" si="1"/>
        <v>8529940</v>
      </c>
      <c r="Q6" s="52">
        <f t="shared" si="1"/>
        <v>9068329</v>
      </c>
      <c r="R6" s="18">
        <f t="shared" ref="R6:R21" si="3">Q6/P6*100</f>
        <v>106.31175600297307</v>
      </c>
      <c r="S6" s="52">
        <f t="shared" si="1"/>
        <v>9077088</v>
      </c>
      <c r="T6" s="52">
        <f t="shared" si="1"/>
        <v>1479350</v>
      </c>
      <c r="U6" s="52">
        <f t="shared" si="1"/>
        <v>1836750</v>
      </c>
      <c r="V6" s="52">
        <f t="shared" si="1"/>
        <v>1824728.75</v>
      </c>
      <c r="W6" s="18">
        <f t="shared" ref="W6:W33" si="4">V6/U6*100</f>
        <v>99.345515176262424</v>
      </c>
      <c r="X6" s="52">
        <f t="shared" si="1"/>
        <v>1884836</v>
      </c>
    </row>
    <row r="7" spans="1:24" s="3" customFormat="1" ht="9.9499999999999993" customHeight="1" x14ac:dyDescent="0.2">
      <c r="A7" s="19" t="s">
        <v>2</v>
      </c>
      <c r="B7" s="1010" t="s">
        <v>46</v>
      </c>
      <c r="C7" s="1011"/>
      <c r="D7" s="47" t="s">
        <v>25</v>
      </c>
      <c r="E7" s="53">
        <f t="shared" ref="E7:G10" si="5">SUM(J7,O7)</f>
        <v>3560000</v>
      </c>
      <c r="F7" s="54">
        <f t="shared" si="5"/>
        <v>4028810.04</v>
      </c>
      <c r="G7" s="54">
        <f t="shared" si="5"/>
        <v>4222339.04</v>
      </c>
      <c r="H7" s="6">
        <f t="shared" si="0"/>
        <v>104.80362682972266</v>
      </c>
      <c r="I7" s="60">
        <f>SUM(N7,S7)</f>
        <v>4069700</v>
      </c>
      <c r="J7" s="55">
        <v>3560000</v>
      </c>
      <c r="K7" s="56">
        <f>J7+4700+37100+25000+26000+15000+22000+83650+1638.74+7896.3+30000+7000+195000+13825</f>
        <v>4028810.04</v>
      </c>
      <c r="L7" s="62">
        <f>3608554+159320+4700+248285.04+13825</f>
        <v>4034684.04</v>
      </c>
      <c r="M7" s="6">
        <f t="shared" si="2"/>
        <v>100.14579987494272</v>
      </c>
      <c r="N7" s="76">
        <v>3856785</v>
      </c>
      <c r="O7" s="77"/>
      <c r="P7" s="62"/>
      <c r="Q7" s="62">
        <v>187655</v>
      </c>
      <c r="R7" s="6">
        <v>0</v>
      </c>
      <c r="S7" s="76">
        <v>212915</v>
      </c>
      <c r="T7" s="77">
        <f>17000+1462350</f>
        <v>1479350</v>
      </c>
      <c r="U7" s="62">
        <v>1836750</v>
      </c>
      <c r="V7" s="62">
        <f>16170+1808558.75</f>
        <v>1824728.75</v>
      </c>
      <c r="W7" s="6">
        <f t="shared" si="4"/>
        <v>99.345515176262424</v>
      </c>
      <c r="X7" s="91">
        <v>1884836</v>
      </c>
    </row>
    <row r="8" spans="1:24" s="3" customFormat="1" ht="9.9499999999999993" customHeight="1" x14ac:dyDescent="0.2">
      <c r="A8" s="20" t="s">
        <v>3</v>
      </c>
      <c r="B8" s="1005" t="s">
        <v>47</v>
      </c>
      <c r="C8" s="1006"/>
      <c r="D8" s="48" t="s">
        <v>25</v>
      </c>
      <c r="E8" s="55">
        <f t="shared" si="5"/>
        <v>5000</v>
      </c>
      <c r="F8" s="56">
        <f t="shared" si="5"/>
        <v>300</v>
      </c>
      <c r="G8" s="56">
        <f t="shared" si="5"/>
        <v>248.37</v>
      </c>
      <c r="H8" s="7">
        <f t="shared" si="0"/>
        <v>82.789999999999992</v>
      </c>
      <c r="I8" s="63">
        <f>SUM(N8,S8)</f>
        <v>2228</v>
      </c>
      <c r="J8" s="55">
        <v>5000</v>
      </c>
      <c r="K8" s="56">
        <f>J8-4100-600</f>
        <v>300</v>
      </c>
      <c r="L8" s="56">
        <f>165.57+82.8</f>
        <v>248.37</v>
      </c>
      <c r="M8" s="7">
        <f t="shared" si="2"/>
        <v>82.789999999999992</v>
      </c>
      <c r="N8" s="63">
        <v>2228</v>
      </c>
      <c r="O8" s="55"/>
      <c r="P8" s="56"/>
      <c r="Q8" s="56"/>
      <c r="R8" s="7">
        <v>0</v>
      </c>
      <c r="S8" s="63"/>
      <c r="T8" s="55"/>
      <c r="U8" s="56"/>
      <c r="V8" s="56"/>
      <c r="W8" s="7">
        <v>0</v>
      </c>
      <c r="X8" s="92"/>
    </row>
    <row r="9" spans="1:24" s="3" customFormat="1" ht="9.9499999999999993" customHeight="1" x14ac:dyDescent="0.2">
      <c r="A9" s="21" t="s">
        <v>4</v>
      </c>
      <c r="B9" s="22" t="s">
        <v>62</v>
      </c>
      <c r="C9" s="23"/>
      <c r="D9" s="50" t="s">
        <v>25</v>
      </c>
      <c r="E9" s="57">
        <f t="shared" si="5"/>
        <v>16673310</v>
      </c>
      <c r="F9" s="58">
        <f t="shared" si="5"/>
        <v>19269167.850000001</v>
      </c>
      <c r="G9" s="58">
        <f t="shared" si="5"/>
        <v>19619901.850000001</v>
      </c>
      <c r="H9" s="24">
        <f t="shared" si="0"/>
        <v>101.82018239049175</v>
      </c>
      <c r="I9" s="65">
        <f>SUM(N9,S9)</f>
        <v>17367063</v>
      </c>
      <c r="J9" s="55">
        <v>8581610</v>
      </c>
      <c r="K9" s="56">
        <f>J9+788150+61130+170260+1494103-224115.45-805.7-131104</f>
        <v>10739227.850000001</v>
      </c>
      <c r="L9" s="58">
        <v>10739227.85</v>
      </c>
      <c r="M9" s="24">
        <f t="shared" si="2"/>
        <v>99.999999999999972</v>
      </c>
      <c r="N9" s="65">
        <v>8502890</v>
      </c>
      <c r="O9" s="55">
        <f>7849700+242000</f>
        <v>8091700</v>
      </c>
      <c r="P9" s="58">
        <f>8287940+242000</f>
        <v>8529940</v>
      </c>
      <c r="Q9" s="58">
        <f>8287940+242000+340434+10300</f>
        <v>8880674</v>
      </c>
      <c r="R9" s="24">
        <f t="shared" si="3"/>
        <v>104.1117991451288</v>
      </c>
      <c r="S9" s="65">
        <v>8864173</v>
      </c>
      <c r="T9" s="57"/>
      <c r="U9" s="58"/>
      <c r="V9" s="58"/>
      <c r="W9" s="24">
        <v>0</v>
      </c>
      <c r="X9" s="93"/>
    </row>
    <row r="10" spans="1:24" s="3" customFormat="1" ht="9.9499999999999993" customHeight="1" x14ac:dyDescent="0.2">
      <c r="A10" s="16" t="s">
        <v>5</v>
      </c>
      <c r="B10" s="1007" t="s">
        <v>7</v>
      </c>
      <c r="C10" s="1007"/>
      <c r="D10" s="25" t="s">
        <v>25</v>
      </c>
      <c r="E10" s="59">
        <f t="shared" si="5"/>
        <v>0</v>
      </c>
      <c r="F10" s="59">
        <f t="shared" si="5"/>
        <v>0</v>
      </c>
      <c r="G10" s="59">
        <f t="shared" si="5"/>
        <v>0</v>
      </c>
      <c r="H10" s="18">
        <v>0</v>
      </c>
      <c r="I10" s="67">
        <f>SUM(N10,S10)</f>
        <v>0</v>
      </c>
      <c r="J10" s="68"/>
      <c r="K10" s="59"/>
      <c r="L10" s="59"/>
      <c r="M10" s="18">
        <v>0</v>
      </c>
      <c r="N10" s="67"/>
      <c r="O10" s="59"/>
      <c r="P10" s="59"/>
      <c r="Q10" s="59"/>
      <c r="R10" s="18">
        <v>0</v>
      </c>
      <c r="S10" s="67"/>
      <c r="T10" s="59"/>
      <c r="U10" s="59"/>
      <c r="V10" s="59"/>
      <c r="W10" s="18">
        <v>0</v>
      </c>
      <c r="X10" s="59"/>
    </row>
    <row r="11" spans="1:24" s="3" customFormat="1" ht="9.9499999999999993" customHeight="1" x14ac:dyDescent="0.2">
      <c r="A11" s="16" t="s">
        <v>6</v>
      </c>
      <c r="B11" s="1007" t="s">
        <v>9</v>
      </c>
      <c r="C11" s="1007"/>
      <c r="D11" s="25" t="s">
        <v>25</v>
      </c>
      <c r="E11" s="52">
        <f>SUM(E12:E31)</f>
        <v>20238310</v>
      </c>
      <c r="F11" s="52">
        <f>SUM(F12:F31)</f>
        <v>23298277.890000001</v>
      </c>
      <c r="G11" s="52">
        <f>SUM(G12:G31)</f>
        <v>23610186.050000004</v>
      </c>
      <c r="H11" s="18">
        <f t="shared" si="0"/>
        <v>101.33876057909789</v>
      </c>
      <c r="I11" s="69">
        <f>SUM(I12:I32)</f>
        <v>21719153</v>
      </c>
      <c r="J11" s="52">
        <f>SUM(J12:J31)</f>
        <v>12146610</v>
      </c>
      <c r="K11" s="52">
        <f>SUM(K12:K31)</f>
        <v>14768337.890000002</v>
      </c>
      <c r="L11" s="52">
        <f>SUM(L12:L31)</f>
        <v>14541857.050000003</v>
      </c>
      <c r="M11" s="18">
        <f t="shared" si="2"/>
        <v>98.466443267435295</v>
      </c>
      <c r="N11" s="69">
        <f>SUM(N12:N32)</f>
        <v>12629292</v>
      </c>
      <c r="O11" s="52">
        <f>SUM(O12:O31)</f>
        <v>8091700</v>
      </c>
      <c r="P11" s="52">
        <f>SUM(P12:P31)</f>
        <v>8529940</v>
      </c>
      <c r="Q11" s="52">
        <f>SUM(Q12:Q31)</f>
        <v>9068329</v>
      </c>
      <c r="R11" s="18">
        <f t="shared" si="3"/>
        <v>106.31175600297307</v>
      </c>
      <c r="S11" s="69">
        <f>SUM(S12:S31)</f>
        <v>9089861</v>
      </c>
      <c r="T11" s="52">
        <f>SUM(T12:T31)</f>
        <v>1307215</v>
      </c>
      <c r="U11" s="52">
        <f>SUM(U12:U31)</f>
        <v>1664615</v>
      </c>
      <c r="V11" s="52">
        <f>SUM(V12:V31)</f>
        <v>1663648.8199999998</v>
      </c>
      <c r="W11" s="18">
        <f t="shared" si="4"/>
        <v>99.941957749990223</v>
      </c>
      <c r="X11" s="52">
        <f>SUM(X12:X32)</f>
        <v>1420610.98</v>
      </c>
    </row>
    <row r="12" spans="1:24" s="3" customFormat="1" ht="9.9499999999999993" customHeight="1" x14ac:dyDescent="0.2">
      <c r="A12" s="26" t="s">
        <v>8</v>
      </c>
      <c r="B12" s="1008" t="s">
        <v>28</v>
      </c>
      <c r="C12" s="1009"/>
      <c r="D12" s="51" t="s">
        <v>25</v>
      </c>
      <c r="E12" s="53">
        <f t="shared" ref="E12:I28" si="6">SUM(J12,O12)</f>
        <v>1591655</v>
      </c>
      <c r="F12" s="54">
        <f t="shared" si="6"/>
        <v>1523155</v>
      </c>
      <c r="G12" s="54">
        <f t="shared" si="6"/>
        <v>1533211.51</v>
      </c>
      <c r="H12" s="6">
        <f t="shared" si="0"/>
        <v>100.66024206334878</v>
      </c>
      <c r="I12" s="60">
        <f t="shared" si="6"/>
        <v>1604439</v>
      </c>
      <c r="J12" s="55">
        <v>1381155</v>
      </c>
      <c r="K12" s="56">
        <f>J12-62500-4800-1200</f>
        <v>1312655</v>
      </c>
      <c r="L12" s="71">
        <v>1310172.72</v>
      </c>
      <c r="M12" s="6">
        <f t="shared" si="2"/>
        <v>99.810896237015811</v>
      </c>
      <c r="N12" s="78">
        <v>1341961</v>
      </c>
      <c r="O12" s="79">
        <f>80500+130000</f>
        <v>210500</v>
      </c>
      <c r="P12" s="71">
        <f>80500+130000</f>
        <v>210500</v>
      </c>
      <c r="Q12" s="71">
        <f>118515.79+70604+7140+26779</f>
        <v>223038.78999999998</v>
      </c>
      <c r="R12" s="6">
        <f t="shared" si="3"/>
        <v>105.95666983372919</v>
      </c>
      <c r="S12" s="83">
        <v>262478</v>
      </c>
      <c r="T12" s="79">
        <v>67540</v>
      </c>
      <c r="U12" s="71">
        <v>34540</v>
      </c>
      <c r="V12" s="71">
        <v>34142.959999999999</v>
      </c>
      <c r="W12" s="6">
        <f t="shared" si="4"/>
        <v>98.850492182976254</v>
      </c>
      <c r="X12" s="94">
        <v>56813.49</v>
      </c>
    </row>
    <row r="13" spans="1:24" s="3" customFormat="1" ht="9.9499999999999993" customHeight="1" x14ac:dyDescent="0.2">
      <c r="A13" s="27" t="s">
        <v>10</v>
      </c>
      <c r="B13" s="997" t="s">
        <v>29</v>
      </c>
      <c r="C13" s="998"/>
      <c r="D13" s="48" t="s">
        <v>25</v>
      </c>
      <c r="E13" s="55">
        <f t="shared" si="6"/>
        <v>1999000</v>
      </c>
      <c r="F13" s="56">
        <f t="shared" si="6"/>
        <v>1999000</v>
      </c>
      <c r="G13" s="56">
        <f t="shared" si="6"/>
        <v>1985230.7</v>
      </c>
      <c r="H13" s="7">
        <f t="shared" si="0"/>
        <v>99.311190595297646</v>
      </c>
      <c r="I13" s="63">
        <f t="shared" si="6"/>
        <v>2453504</v>
      </c>
      <c r="J13" s="55">
        <v>1999000</v>
      </c>
      <c r="K13" s="56">
        <f t="shared" ref="K13:K17" si="7">J13</f>
        <v>1999000</v>
      </c>
      <c r="L13" s="56">
        <v>1985230.7</v>
      </c>
      <c r="M13" s="7">
        <f t="shared" si="2"/>
        <v>99.311190595297646</v>
      </c>
      <c r="N13" s="63">
        <v>2453504</v>
      </c>
      <c r="O13" s="55"/>
      <c r="P13" s="56"/>
      <c r="Q13" s="56"/>
      <c r="R13" s="7">
        <v>0</v>
      </c>
      <c r="S13" s="63"/>
      <c r="T13" s="55">
        <v>301850</v>
      </c>
      <c r="U13" s="56">
        <v>240550</v>
      </c>
      <c r="V13" s="56">
        <v>240466.13</v>
      </c>
      <c r="W13" s="7">
        <f t="shared" si="4"/>
        <v>99.965134067761383</v>
      </c>
      <c r="X13" s="92">
        <v>264445.49</v>
      </c>
    </row>
    <row r="14" spans="1:24" s="3" customFormat="1" ht="9.9499999999999993" customHeight="1" x14ac:dyDescent="0.2">
      <c r="A14" s="27" t="s">
        <v>11</v>
      </c>
      <c r="B14" s="418" t="s">
        <v>63</v>
      </c>
      <c r="C14" s="419"/>
      <c r="D14" s="48" t="s">
        <v>25</v>
      </c>
      <c r="E14" s="55">
        <f t="shared" si="6"/>
        <v>0</v>
      </c>
      <c r="F14" s="56">
        <f t="shared" si="6"/>
        <v>0</v>
      </c>
      <c r="G14" s="56">
        <f t="shared" si="6"/>
        <v>0</v>
      </c>
      <c r="H14" s="7">
        <v>0</v>
      </c>
      <c r="I14" s="63">
        <f t="shared" si="6"/>
        <v>0</v>
      </c>
      <c r="J14" s="55"/>
      <c r="K14" s="56">
        <f t="shared" si="7"/>
        <v>0</v>
      </c>
      <c r="L14" s="56"/>
      <c r="M14" s="7">
        <v>0</v>
      </c>
      <c r="N14" s="63"/>
      <c r="O14" s="55"/>
      <c r="P14" s="56"/>
      <c r="Q14" s="56"/>
      <c r="R14" s="7">
        <v>0</v>
      </c>
      <c r="S14" s="63"/>
      <c r="T14" s="55"/>
      <c r="U14" s="56"/>
      <c r="V14" s="56"/>
      <c r="W14" s="7">
        <v>0</v>
      </c>
      <c r="X14" s="92"/>
    </row>
    <row r="15" spans="1:24" s="3" customFormat="1" ht="9.9499999999999993" customHeight="1" x14ac:dyDescent="0.2">
      <c r="A15" s="27" t="s">
        <v>12</v>
      </c>
      <c r="B15" s="997" t="s">
        <v>64</v>
      </c>
      <c r="C15" s="998"/>
      <c r="D15" s="48" t="s">
        <v>25</v>
      </c>
      <c r="E15" s="55">
        <f t="shared" si="6"/>
        <v>310000</v>
      </c>
      <c r="F15" s="56">
        <f t="shared" si="6"/>
        <v>1844487.55</v>
      </c>
      <c r="G15" s="56">
        <f t="shared" si="6"/>
        <v>1878392.4</v>
      </c>
      <c r="H15" s="7">
        <f t="shared" si="0"/>
        <v>101.8381718000753</v>
      </c>
      <c r="I15" s="63">
        <f t="shared" si="6"/>
        <v>637044</v>
      </c>
      <c r="J15" s="55">
        <v>310000</v>
      </c>
      <c r="K15" s="56">
        <f>J15+1494103-224115.45+14500+48000+127500+13700+60800</f>
        <v>1844487.55</v>
      </c>
      <c r="L15" s="56">
        <v>1844136.4</v>
      </c>
      <c r="M15" s="7">
        <f t="shared" si="2"/>
        <v>99.980962191910692</v>
      </c>
      <c r="N15" s="63">
        <v>637044</v>
      </c>
      <c r="O15" s="55"/>
      <c r="P15" s="56"/>
      <c r="Q15" s="56">
        <v>34256</v>
      </c>
      <c r="R15" s="7">
        <v>0</v>
      </c>
      <c r="S15" s="63"/>
      <c r="T15" s="55">
        <v>49350</v>
      </c>
      <c r="U15" s="56">
        <v>275050</v>
      </c>
      <c r="V15" s="56">
        <v>274914.36</v>
      </c>
      <c r="W15" s="7">
        <f t="shared" si="4"/>
        <v>99.950685329940001</v>
      </c>
      <c r="X15" s="92">
        <v>106309</v>
      </c>
    </row>
    <row r="16" spans="1:24" s="3" customFormat="1" ht="9.9499999999999993" customHeight="1" x14ac:dyDescent="0.2">
      <c r="A16" s="27" t="s">
        <v>13</v>
      </c>
      <c r="B16" s="997" t="s">
        <v>30</v>
      </c>
      <c r="C16" s="998"/>
      <c r="D16" s="48" t="s">
        <v>25</v>
      </c>
      <c r="E16" s="55">
        <f t="shared" si="6"/>
        <v>30000</v>
      </c>
      <c r="F16" s="56">
        <f t="shared" si="6"/>
        <v>15500</v>
      </c>
      <c r="G16" s="56">
        <f t="shared" si="6"/>
        <v>15367</v>
      </c>
      <c r="H16" s="7">
        <f t="shared" si="0"/>
        <v>99.141935483870967</v>
      </c>
      <c r="I16" s="63">
        <f t="shared" si="6"/>
        <v>37710</v>
      </c>
      <c r="J16" s="55">
        <v>30000</v>
      </c>
      <c r="K16" s="56">
        <f>J16-14500</f>
        <v>15500</v>
      </c>
      <c r="L16" s="56">
        <v>15367</v>
      </c>
      <c r="M16" s="7">
        <f t="shared" si="2"/>
        <v>99.141935483870967</v>
      </c>
      <c r="N16" s="63">
        <v>36618</v>
      </c>
      <c r="O16" s="55"/>
      <c r="P16" s="56"/>
      <c r="Q16" s="56"/>
      <c r="R16" s="7">
        <v>0</v>
      </c>
      <c r="S16" s="63">
        <v>1092</v>
      </c>
      <c r="T16" s="55"/>
      <c r="U16" s="56"/>
      <c r="V16" s="56"/>
      <c r="W16" s="7">
        <v>0</v>
      </c>
      <c r="X16" s="92"/>
    </row>
    <row r="17" spans="1:24" s="3" customFormat="1" ht="9.9499999999999993" customHeight="1" x14ac:dyDescent="0.2">
      <c r="A17" s="27" t="s">
        <v>14</v>
      </c>
      <c r="B17" s="418" t="s">
        <v>48</v>
      </c>
      <c r="C17" s="419"/>
      <c r="D17" s="48" t="s">
        <v>25</v>
      </c>
      <c r="E17" s="55">
        <f t="shared" si="6"/>
        <v>2000</v>
      </c>
      <c r="F17" s="56">
        <f t="shared" si="6"/>
        <v>2000</v>
      </c>
      <c r="G17" s="56">
        <f t="shared" si="6"/>
        <v>1424</v>
      </c>
      <c r="H17" s="7">
        <f t="shared" si="0"/>
        <v>71.2</v>
      </c>
      <c r="I17" s="63">
        <f t="shared" si="6"/>
        <v>1978</v>
      </c>
      <c r="J17" s="55">
        <v>2000</v>
      </c>
      <c r="K17" s="56">
        <f t="shared" si="7"/>
        <v>2000</v>
      </c>
      <c r="L17" s="56">
        <v>1424</v>
      </c>
      <c r="M17" s="7">
        <f t="shared" si="2"/>
        <v>71.2</v>
      </c>
      <c r="N17" s="63">
        <v>1978</v>
      </c>
      <c r="O17" s="55"/>
      <c r="P17" s="56"/>
      <c r="Q17" s="56"/>
      <c r="R17" s="7">
        <v>0</v>
      </c>
      <c r="S17" s="63"/>
      <c r="T17" s="55"/>
      <c r="U17" s="56"/>
      <c r="V17" s="56"/>
      <c r="W17" s="7">
        <v>0</v>
      </c>
      <c r="X17" s="92"/>
    </row>
    <row r="18" spans="1:24" s="3" customFormat="1" ht="9.9499999999999993" customHeight="1" x14ac:dyDescent="0.2">
      <c r="A18" s="27" t="s">
        <v>15</v>
      </c>
      <c r="B18" s="997" t="s">
        <v>31</v>
      </c>
      <c r="C18" s="998"/>
      <c r="D18" s="48" t="s">
        <v>25</v>
      </c>
      <c r="E18" s="55">
        <f t="shared" si="6"/>
        <v>3078050</v>
      </c>
      <c r="F18" s="56">
        <f t="shared" si="6"/>
        <v>3030550</v>
      </c>
      <c r="G18" s="56">
        <f t="shared" si="6"/>
        <v>2902270.99</v>
      </c>
      <c r="H18" s="7">
        <f t="shared" si="0"/>
        <v>95.767137648281675</v>
      </c>
      <c r="I18" s="63">
        <f t="shared" si="6"/>
        <v>2871857</v>
      </c>
      <c r="J18" s="55">
        <v>3078050</v>
      </c>
      <c r="K18" s="56">
        <f>J18+500-48000</f>
        <v>3030550</v>
      </c>
      <c r="L18" s="56">
        <v>2828814.99</v>
      </c>
      <c r="M18" s="7">
        <f t="shared" si="2"/>
        <v>93.343287192093854</v>
      </c>
      <c r="N18" s="63">
        <v>2803306</v>
      </c>
      <c r="O18" s="55"/>
      <c r="P18" s="56"/>
      <c r="Q18" s="56">
        <f>8450+59396+3160+2450</f>
        <v>73456</v>
      </c>
      <c r="R18" s="7">
        <v>0</v>
      </c>
      <c r="S18" s="63">
        <v>68551</v>
      </c>
      <c r="T18" s="55">
        <v>54430</v>
      </c>
      <c r="U18" s="56">
        <v>35330</v>
      </c>
      <c r="V18" s="56">
        <v>35149.769999999997</v>
      </c>
      <c r="W18" s="7">
        <f t="shared" si="4"/>
        <v>99.489866968581936</v>
      </c>
      <c r="X18" s="92">
        <v>56497</v>
      </c>
    </row>
    <row r="19" spans="1:24" s="8" customFormat="1" ht="9.9499999999999993" customHeight="1" x14ac:dyDescent="0.2">
      <c r="A19" s="27" t="s">
        <v>16</v>
      </c>
      <c r="B19" s="997" t="s">
        <v>32</v>
      </c>
      <c r="C19" s="998"/>
      <c r="D19" s="48" t="s">
        <v>25</v>
      </c>
      <c r="E19" s="55">
        <f t="shared" si="6"/>
        <v>8351940</v>
      </c>
      <c r="F19" s="56">
        <f t="shared" si="6"/>
        <v>9405491</v>
      </c>
      <c r="G19" s="56">
        <f t="shared" si="6"/>
        <v>9804841</v>
      </c>
      <c r="H19" s="7">
        <f t="shared" si="0"/>
        <v>104.24592400332955</v>
      </c>
      <c r="I19" s="63">
        <f t="shared" si="6"/>
        <v>9072043</v>
      </c>
      <c r="J19" s="73">
        <f>1667440+850000</f>
        <v>2517440</v>
      </c>
      <c r="K19" s="56">
        <f>J19+535500+37100+44800+124800+26000+15000+22000+143234+11071-78936+57600-154305-52168</f>
        <v>3249136</v>
      </c>
      <c r="L19" s="56">
        <v>3249136</v>
      </c>
      <c r="M19" s="7">
        <f t="shared" si="2"/>
        <v>100</v>
      </c>
      <c r="N19" s="63">
        <v>2444658</v>
      </c>
      <c r="O19" s="55">
        <f>5047500+675000+112000</f>
        <v>5834500</v>
      </c>
      <c r="P19" s="56">
        <f>5399355+645000+112000</f>
        <v>6156355</v>
      </c>
      <c r="Q19" s="56">
        <f>6555705</f>
        <v>6555705</v>
      </c>
      <c r="R19" s="7">
        <f t="shared" si="3"/>
        <v>106.48679291561322</v>
      </c>
      <c r="S19" s="63">
        <v>6627385</v>
      </c>
      <c r="T19" s="84">
        <v>371860</v>
      </c>
      <c r="U19" s="85">
        <v>473610</v>
      </c>
      <c r="V19" s="85">
        <v>473608</v>
      </c>
      <c r="W19" s="7">
        <f t="shared" si="4"/>
        <v>99.999577711619267</v>
      </c>
      <c r="X19" s="95">
        <v>395172</v>
      </c>
    </row>
    <row r="20" spans="1:24" s="3" customFormat="1" ht="9.9499999999999993" customHeight="1" x14ac:dyDescent="0.2">
      <c r="A20" s="27" t="s">
        <v>17</v>
      </c>
      <c r="B20" s="997" t="s">
        <v>49</v>
      </c>
      <c r="C20" s="998"/>
      <c r="D20" s="48" t="s">
        <v>25</v>
      </c>
      <c r="E20" s="55">
        <f t="shared" si="6"/>
        <v>2619720</v>
      </c>
      <c r="F20" s="56">
        <f t="shared" si="6"/>
        <v>3061523.74</v>
      </c>
      <c r="G20" s="56">
        <f t="shared" si="6"/>
        <v>2869012.37</v>
      </c>
      <c r="H20" s="7">
        <f t="shared" si="0"/>
        <v>93.711909939329757</v>
      </c>
      <c r="I20" s="63">
        <f t="shared" si="6"/>
        <v>2610493</v>
      </c>
      <c r="J20" s="72">
        <v>573020</v>
      </c>
      <c r="K20" s="56">
        <f>J20+184340+15430+31200+11235+525+65988+17662+1638.74</f>
        <v>901038.74</v>
      </c>
      <c r="L20" s="56">
        <f>888990+12048.74</f>
        <v>901038.74</v>
      </c>
      <c r="M20" s="7">
        <f t="shared" si="2"/>
        <v>100</v>
      </c>
      <c r="N20" s="63">
        <v>610128</v>
      </c>
      <c r="O20" s="55">
        <v>2046700</v>
      </c>
      <c r="P20" s="56">
        <f>2160485</f>
        <v>2160485</v>
      </c>
      <c r="Q20" s="56">
        <f>1945014+22959.63</f>
        <v>1967973.63</v>
      </c>
      <c r="R20" s="7">
        <f t="shared" si="3"/>
        <v>91.089437325415361</v>
      </c>
      <c r="S20" s="63">
        <v>2000365</v>
      </c>
      <c r="T20" s="55">
        <f>122715+1560</f>
        <v>124275</v>
      </c>
      <c r="U20" s="56">
        <f>161045+1990</f>
        <v>163035</v>
      </c>
      <c r="V20" s="56">
        <f>161027+1989.14</f>
        <v>163016.14000000001</v>
      </c>
      <c r="W20" s="7">
        <f t="shared" si="4"/>
        <v>99.988431931793798</v>
      </c>
      <c r="X20" s="92">
        <v>136123</v>
      </c>
    </row>
    <row r="21" spans="1:24" s="3" customFormat="1" ht="9.9499999999999993" customHeight="1" x14ac:dyDescent="0.2">
      <c r="A21" s="27" t="s">
        <v>18</v>
      </c>
      <c r="B21" s="997" t="s">
        <v>50</v>
      </c>
      <c r="C21" s="998"/>
      <c r="D21" s="48" t="s">
        <v>25</v>
      </c>
      <c r="E21" s="55">
        <f t="shared" si="6"/>
        <v>112395</v>
      </c>
      <c r="F21" s="56">
        <f t="shared" si="6"/>
        <v>137001.29999999999</v>
      </c>
      <c r="G21" s="56">
        <f t="shared" si="6"/>
        <v>242810.88</v>
      </c>
      <c r="H21" s="7">
        <f t="shared" si="0"/>
        <v>177.23253720950095</v>
      </c>
      <c r="I21" s="63">
        <f t="shared" si="6"/>
        <v>196297</v>
      </c>
      <c r="J21" s="72">
        <v>112395</v>
      </c>
      <c r="K21" s="56">
        <f>J21+10710+900+2500+7896.3-7000+3646.3+3353.7-15050+15050</f>
        <v>134401.29999999999</v>
      </c>
      <c r="L21" s="56">
        <v>134401.29999999999</v>
      </c>
      <c r="M21" s="7">
        <f t="shared" si="2"/>
        <v>100</v>
      </c>
      <c r="N21" s="63">
        <v>120897</v>
      </c>
      <c r="O21" s="55"/>
      <c r="P21" s="56">
        <f>2600</f>
        <v>2600</v>
      </c>
      <c r="Q21" s="56">
        <f>108409.58</f>
        <v>108409.58</v>
      </c>
      <c r="R21" s="7">
        <f t="shared" si="3"/>
        <v>4169.5992307692304</v>
      </c>
      <c r="S21" s="63">
        <v>75400</v>
      </c>
      <c r="T21" s="55">
        <v>5890</v>
      </c>
      <c r="U21" s="56">
        <v>9480</v>
      </c>
      <c r="V21" s="56">
        <v>9472.16</v>
      </c>
      <c r="W21" s="7">
        <f t="shared" si="4"/>
        <v>99.917299578059072</v>
      </c>
      <c r="X21" s="92">
        <v>5703</v>
      </c>
    </row>
    <row r="22" spans="1:24" s="3" customFormat="1" ht="9.9499999999999993" customHeight="1" x14ac:dyDescent="0.2">
      <c r="A22" s="27" t="s">
        <v>19</v>
      </c>
      <c r="B22" s="997" t="s">
        <v>65</v>
      </c>
      <c r="C22" s="998"/>
      <c r="D22" s="48" t="s">
        <v>25</v>
      </c>
      <c r="E22" s="55">
        <f t="shared" si="6"/>
        <v>4500</v>
      </c>
      <c r="F22" s="56">
        <f t="shared" si="6"/>
        <v>500</v>
      </c>
      <c r="G22" s="56">
        <f t="shared" si="6"/>
        <v>160</v>
      </c>
      <c r="H22" s="7">
        <f t="shared" si="0"/>
        <v>32</v>
      </c>
      <c r="I22" s="63">
        <f t="shared" si="6"/>
        <v>5169</v>
      </c>
      <c r="J22" s="72">
        <v>4500</v>
      </c>
      <c r="K22" s="56">
        <f>J22-4000</f>
        <v>500</v>
      </c>
      <c r="L22" s="56">
        <v>160</v>
      </c>
      <c r="M22" s="7">
        <f t="shared" si="2"/>
        <v>32</v>
      </c>
      <c r="N22" s="63">
        <v>5169</v>
      </c>
      <c r="O22" s="55"/>
      <c r="P22" s="56"/>
      <c r="Q22" s="56"/>
      <c r="R22" s="7">
        <v>0</v>
      </c>
      <c r="S22" s="63"/>
      <c r="T22" s="55">
        <v>6500</v>
      </c>
      <c r="U22" s="56">
        <v>800</v>
      </c>
      <c r="V22" s="56">
        <v>780</v>
      </c>
      <c r="W22" s="7">
        <f t="shared" si="4"/>
        <v>97.5</v>
      </c>
      <c r="X22" s="92">
        <v>1170</v>
      </c>
    </row>
    <row r="23" spans="1:24" s="3" customFormat="1" ht="9.9499999999999993" customHeight="1" x14ac:dyDescent="0.2">
      <c r="A23" s="27" t="s">
        <v>20</v>
      </c>
      <c r="B23" s="418" t="s">
        <v>66</v>
      </c>
      <c r="C23" s="419"/>
      <c r="D23" s="48" t="s">
        <v>25</v>
      </c>
      <c r="E23" s="55">
        <f t="shared" si="6"/>
        <v>0</v>
      </c>
      <c r="F23" s="56">
        <f t="shared" si="6"/>
        <v>0</v>
      </c>
      <c r="G23" s="56">
        <f t="shared" si="6"/>
        <v>0</v>
      </c>
      <c r="H23" s="7">
        <v>0</v>
      </c>
      <c r="I23" s="63">
        <f t="shared" si="6"/>
        <v>20000</v>
      </c>
      <c r="J23" s="72"/>
      <c r="K23" s="56">
        <f t="shared" ref="K23:K32" si="8">J23</f>
        <v>0</v>
      </c>
      <c r="L23" s="56"/>
      <c r="M23" s="7">
        <v>0</v>
      </c>
      <c r="N23" s="63">
        <v>20000</v>
      </c>
      <c r="O23" s="55"/>
      <c r="P23" s="56"/>
      <c r="Q23" s="56"/>
      <c r="R23" s="7">
        <v>0</v>
      </c>
      <c r="S23" s="63"/>
      <c r="T23" s="55"/>
      <c r="U23" s="56"/>
      <c r="V23" s="56"/>
      <c r="W23" s="7">
        <v>0</v>
      </c>
      <c r="X23" s="92"/>
    </row>
    <row r="24" spans="1:24" s="3" customFormat="1" ht="9.9499999999999993" customHeight="1" x14ac:dyDescent="0.2">
      <c r="A24" s="27" t="s">
        <v>21</v>
      </c>
      <c r="B24" s="418" t="s">
        <v>73</v>
      </c>
      <c r="C24" s="419"/>
      <c r="D24" s="48" t="s">
        <v>25</v>
      </c>
      <c r="E24" s="55">
        <f t="shared" si="6"/>
        <v>0</v>
      </c>
      <c r="F24" s="56">
        <f t="shared" si="6"/>
        <v>0</v>
      </c>
      <c r="G24" s="56">
        <f t="shared" si="6"/>
        <v>0</v>
      </c>
      <c r="H24" s="7">
        <v>0</v>
      </c>
      <c r="I24" s="63">
        <f t="shared" si="6"/>
        <v>0</v>
      </c>
      <c r="J24" s="72"/>
      <c r="K24" s="56">
        <f t="shared" si="8"/>
        <v>0</v>
      </c>
      <c r="L24" s="56"/>
      <c r="M24" s="7">
        <v>0</v>
      </c>
      <c r="N24" s="63"/>
      <c r="O24" s="55"/>
      <c r="P24" s="56"/>
      <c r="Q24" s="56"/>
      <c r="R24" s="7">
        <v>0</v>
      </c>
      <c r="S24" s="63"/>
      <c r="T24" s="55"/>
      <c r="U24" s="56"/>
      <c r="V24" s="56"/>
      <c r="W24" s="7">
        <v>0</v>
      </c>
      <c r="X24" s="92"/>
    </row>
    <row r="25" spans="1:24" s="3" customFormat="1" ht="9.75" x14ac:dyDescent="0.2">
      <c r="A25" s="28" t="s">
        <v>22</v>
      </c>
      <c r="B25" s="29" t="s">
        <v>68</v>
      </c>
      <c r="C25" s="30"/>
      <c r="D25" s="48" t="s">
        <v>25</v>
      </c>
      <c r="E25" s="55">
        <f t="shared" si="6"/>
        <v>0</v>
      </c>
      <c r="F25" s="56">
        <f t="shared" si="6"/>
        <v>4200</v>
      </c>
      <c r="G25" s="56">
        <f t="shared" si="6"/>
        <v>4200</v>
      </c>
      <c r="H25" s="7">
        <f t="shared" si="0"/>
        <v>100</v>
      </c>
      <c r="I25" s="63">
        <f t="shared" si="6"/>
        <v>9350</v>
      </c>
      <c r="J25" s="72"/>
      <c r="K25" s="56">
        <f>J25+4200</f>
        <v>4200</v>
      </c>
      <c r="L25" s="74">
        <v>4200</v>
      </c>
      <c r="M25" s="7">
        <f t="shared" si="2"/>
        <v>100</v>
      </c>
      <c r="N25" s="80">
        <v>9350</v>
      </c>
      <c r="O25" s="81"/>
      <c r="P25" s="74"/>
      <c r="Q25" s="74"/>
      <c r="R25" s="7">
        <v>0</v>
      </c>
      <c r="S25" s="86"/>
      <c r="T25" s="81"/>
      <c r="U25" s="74"/>
      <c r="V25" s="74"/>
      <c r="W25" s="7">
        <v>0</v>
      </c>
      <c r="X25" s="96"/>
    </row>
    <row r="26" spans="1:24" s="10" customFormat="1" ht="9.75" x14ac:dyDescent="0.2">
      <c r="A26" s="27" t="s">
        <v>23</v>
      </c>
      <c r="B26" s="997" t="s">
        <v>69</v>
      </c>
      <c r="C26" s="998"/>
      <c r="D26" s="48" t="s">
        <v>25</v>
      </c>
      <c r="E26" s="55">
        <f t="shared" si="6"/>
        <v>1902050</v>
      </c>
      <c r="F26" s="56">
        <f t="shared" si="6"/>
        <v>1901244.3</v>
      </c>
      <c r="G26" s="56">
        <f t="shared" si="6"/>
        <v>1901244.3</v>
      </c>
      <c r="H26" s="7">
        <f t="shared" si="0"/>
        <v>100</v>
      </c>
      <c r="I26" s="63">
        <f t="shared" si="6"/>
        <v>1868339</v>
      </c>
      <c r="J26" s="72">
        <v>1902050</v>
      </c>
      <c r="K26" s="56">
        <f>J26-3.8-801.9</f>
        <v>1901244.3</v>
      </c>
      <c r="L26" s="75">
        <v>1901244.3</v>
      </c>
      <c r="M26" s="7">
        <f t="shared" si="2"/>
        <v>100</v>
      </c>
      <c r="N26" s="63">
        <v>1868339</v>
      </c>
      <c r="O26" s="82"/>
      <c r="P26" s="75"/>
      <c r="Q26" s="75"/>
      <c r="R26" s="7">
        <v>0</v>
      </c>
      <c r="S26" s="80"/>
      <c r="T26" s="572">
        <v>284220</v>
      </c>
      <c r="U26" s="117">
        <v>335520</v>
      </c>
      <c r="V26" s="117">
        <v>335513.7</v>
      </c>
      <c r="W26" s="7">
        <f t="shared" si="4"/>
        <v>99.998122317596568</v>
      </c>
      <c r="X26" s="577">
        <v>299108</v>
      </c>
    </row>
    <row r="27" spans="1:24" s="12" customFormat="1" ht="9.75" x14ac:dyDescent="0.2">
      <c r="A27" s="27" t="s">
        <v>45</v>
      </c>
      <c r="B27" s="418" t="s">
        <v>70</v>
      </c>
      <c r="C27" s="419"/>
      <c r="D27" s="48" t="s">
        <v>25</v>
      </c>
      <c r="E27" s="55">
        <f t="shared" si="6"/>
        <v>0</v>
      </c>
      <c r="F27" s="56">
        <f t="shared" si="6"/>
        <v>2035</v>
      </c>
      <c r="G27" s="56">
        <f t="shared" si="6"/>
        <v>2035</v>
      </c>
      <c r="H27" s="7">
        <f t="shared" si="0"/>
        <v>100</v>
      </c>
      <c r="I27" s="63">
        <f t="shared" si="6"/>
        <v>594</v>
      </c>
      <c r="J27" s="72"/>
      <c r="K27" s="56">
        <f>J27+880+1155</f>
        <v>2035</v>
      </c>
      <c r="L27" s="75">
        <v>2035</v>
      </c>
      <c r="M27" s="7">
        <f t="shared" si="2"/>
        <v>100</v>
      </c>
      <c r="N27" s="80">
        <v>594</v>
      </c>
      <c r="O27" s="82"/>
      <c r="P27" s="75"/>
      <c r="Q27" s="75"/>
      <c r="R27" s="7">
        <v>0</v>
      </c>
      <c r="S27" s="80"/>
      <c r="T27" s="572"/>
      <c r="U27" s="117">
        <v>79250</v>
      </c>
      <c r="V27" s="117">
        <v>79200.600000000006</v>
      </c>
      <c r="W27" s="7">
        <f t="shared" si="4"/>
        <v>99.937665615141967</v>
      </c>
      <c r="X27" s="577"/>
    </row>
    <row r="28" spans="1:24" s="12" customFormat="1" ht="9.75" x14ac:dyDescent="0.2">
      <c r="A28" s="27" t="s">
        <v>51</v>
      </c>
      <c r="B28" s="418" t="s">
        <v>74</v>
      </c>
      <c r="C28" s="419"/>
      <c r="D28" s="48" t="s">
        <v>25</v>
      </c>
      <c r="E28" s="55">
        <f t="shared" si="6"/>
        <v>90000</v>
      </c>
      <c r="F28" s="56">
        <f t="shared" si="6"/>
        <v>192500</v>
      </c>
      <c r="G28" s="56">
        <f t="shared" si="6"/>
        <v>297469.55</v>
      </c>
      <c r="H28" s="7">
        <f t="shared" si="0"/>
        <v>154.52963636363634</v>
      </c>
      <c r="I28" s="63">
        <f t="shared" si="6"/>
        <v>161035</v>
      </c>
      <c r="J28" s="72">
        <v>90000</v>
      </c>
      <c r="K28" s="56">
        <f>J28+30000+68500+4000</f>
        <v>192500</v>
      </c>
      <c r="L28" s="75">
        <v>191979.55</v>
      </c>
      <c r="M28" s="7">
        <f t="shared" si="2"/>
        <v>99.729636363636359</v>
      </c>
      <c r="N28" s="80">
        <v>106445</v>
      </c>
      <c r="O28" s="82"/>
      <c r="P28" s="75"/>
      <c r="Q28" s="75">
        <f>105490</f>
        <v>105490</v>
      </c>
      <c r="R28" s="7">
        <v>0</v>
      </c>
      <c r="S28" s="80">
        <v>54590</v>
      </c>
      <c r="T28" s="572">
        <v>20000</v>
      </c>
      <c r="U28" s="117">
        <v>7050</v>
      </c>
      <c r="V28" s="117">
        <v>7048.35</v>
      </c>
      <c r="W28" s="7">
        <f t="shared" si="4"/>
        <v>99.97659574468085</v>
      </c>
      <c r="X28" s="577">
        <v>32755</v>
      </c>
    </row>
    <row r="29" spans="1:24" s="10" customFormat="1" ht="9.75" x14ac:dyDescent="0.2">
      <c r="A29" s="27" t="s">
        <v>52</v>
      </c>
      <c r="B29" s="997" t="s">
        <v>67</v>
      </c>
      <c r="C29" s="998"/>
      <c r="D29" s="48" t="s">
        <v>25</v>
      </c>
      <c r="E29" s="55">
        <f t="shared" ref="E29:G31" si="9">SUM(J29,O29)</f>
        <v>147000</v>
      </c>
      <c r="F29" s="56">
        <f t="shared" si="9"/>
        <v>179090</v>
      </c>
      <c r="G29" s="56">
        <f t="shared" si="9"/>
        <v>172516.35</v>
      </c>
      <c r="H29" s="7">
        <f t="shared" si="0"/>
        <v>96.329415377743032</v>
      </c>
      <c r="I29" s="63">
        <f>SUM(N29,S29)</f>
        <v>169260</v>
      </c>
      <c r="J29" s="72">
        <v>147000</v>
      </c>
      <c r="K29" s="56">
        <f>J29+25000+5400+1400+290</f>
        <v>179090</v>
      </c>
      <c r="L29" s="75">
        <v>172516.35</v>
      </c>
      <c r="M29" s="7">
        <f t="shared" si="2"/>
        <v>96.329415377743032</v>
      </c>
      <c r="N29" s="80">
        <v>169260</v>
      </c>
      <c r="O29" s="82"/>
      <c r="P29" s="75"/>
      <c r="Q29" s="75"/>
      <c r="R29" s="7">
        <v>0</v>
      </c>
      <c r="S29" s="80"/>
      <c r="T29" s="572">
        <v>21300</v>
      </c>
      <c r="U29" s="117">
        <v>10400</v>
      </c>
      <c r="V29" s="117">
        <v>10336.65</v>
      </c>
      <c r="W29" s="7">
        <f t="shared" si="4"/>
        <v>99.390865384615381</v>
      </c>
      <c r="X29" s="577">
        <v>53676</v>
      </c>
    </row>
    <row r="30" spans="1:24" s="3" customFormat="1" ht="9.75" x14ac:dyDescent="0.2">
      <c r="A30" s="27" t="s">
        <v>54</v>
      </c>
      <c r="B30" s="418" t="s">
        <v>53</v>
      </c>
      <c r="C30" s="419"/>
      <c r="D30" s="48" t="s">
        <v>25</v>
      </c>
      <c r="E30" s="55">
        <f t="shared" si="9"/>
        <v>0</v>
      </c>
      <c r="F30" s="56">
        <f t="shared" si="9"/>
        <v>0</v>
      </c>
      <c r="G30" s="56">
        <f t="shared" si="9"/>
        <v>0</v>
      </c>
      <c r="H30" s="7">
        <v>0</v>
      </c>
      <c r="I30" s="63">
        <f>SUM(N30,S30)</f>
        <v>0</v>
      </c>
      <c r="J30" s="72"/>
      <c r="K30" s="56">
        <f t="shared" si="8"/>
        <v>0</v>
      </c>
      <c r="L30" s="75"/>
      <c r="M30" s="7">
        <v>0</v>
      </c>
      <c r="N30" s="80"/>
      <c r="O30" s="82"/>
      <c r="P30" s="75"/>
      <c r="Q30" s="75"/>
      <c r="R30" s="7">
        <v>0</v>
      </c>
      <c r="S30" s="80"/>
      <c r="T30" s="572"/>
      <c r="U30" s="117"/>
      <c r="V30" s="117"/>
      <c r="W30" s="7">
        <v>0</v>
      </c>
      <c r="X30" s="577"/>
    </row>
    <row r="31" spans="1:24" s="31" customFormat="1" ht="9.75" x14ac:dyDescent="0.2">
      <c r="A31" s="27" t="s">
        <v>55</v>
      </c>
      <c r="B31" s="102" t="s">
        <v>71</v>
      </c>
      <c r="C31" s="103"/>
      <c r="D31" s="48" t="s">
        <v>25</v>
      </c>
      <c r="E31" s="55">
        <f t="shared" si="9"/>
        <v>0</v>
      </c>
      <c r="F31" s="56">
        <f t="shared" si="9"/>
        <v>0</v>
      </c>
      <c r="G31" s="56">
        <f t="shared" si="9"/>
        <v>0</v>
      </c>
      <c r="H31" s="7">
        <v>0</v>
      </c>
      <c r="I31" s="63">
        <f>SUM(N31,S31)</f>
        <v>0</v>
      </c>
      <c r="J31" s="72"/>
      <c r="K31" s="56">
        <f t="shared" si="8"/>
        <v>0</v>
      </c>
      <c r="L31" s="104"/>
      <c r="M31" s="7">
        <v>0</v>
      </c>
      <c r="N31" s="105"/>
      <c r="O31" s="106"/>
      <c r="P31" s="104"/>
      <c r="Q31" s="104"/>
      <c r="R31" s="7">
        <v>0</v>
      </c>
      <c r="S31" s="105"/>
      <c r="T31" s="107"/>
      <c r="U31" s="108"/>
      <c r="V31" s="108"/>
      <c r="W31" s="7">
        <v>0</v>
      </c>
      <c r="X31" s="109"/>
    </row>
    <row r="32" spans="1:24" s="31" customFormat="1" ht="9.75" x14ac:dyDescent="0.2">
      <c r="A32" s="110" t="s">
        <v>56</v>
      </c>
      <c r="B32" s="111" t="s">
        <v>72</v>
      </c>
      <c r="C32" s="112"/>
      <c r="D32" s="49" t="s">
        <v>25</v>
      </c>
      <c r="E32" s="57">
        <f>SUM(J32,O32)</f>
        <v>0</v>
      </c>
      <c r="F32" s="58">
        <f>SUM(K32,P32)</f>
        <v>0</v>
      </c>
      <c r="G32" s="58">
        <f>SUM(L32,Q32)</f>
        <v>0</v>
      </c>
      <c r="H32" s="24">
        <v>0</v>
      </c>
      <c r="I32" s="65">
        <f>SUM(N32,S32)</f>
        <v>41</v>
      </c>
      <c r="J32" s="113"/>
      <c r="K32" s="56">
        <f t="shared" si="8"/>
        <v>0</v>
      </c>
      <c r="L32" s="90"/>
      <c r="M32" s="24">
        <v>0</v>
      </c>
      <c r="N32" s="114">
        <v>41</v>
      </c>
      <c r="O32" s="89"/>
      <c r="P32" s="90"/>
      <c r="Q32" s="90"/>
      <c r="R32" s="24">
        <v>0</v>
      </c>
      <c r="S32" s="114"/>
      <c r="T32" s="89"/>
      <c r="U32" s="90"/>
      <c r="V32" s="90"/>
      <c r="W32" s="24">
        <v>0</v>
      </c>
      <c r="X32" s="98">
        <v>12839</v>
      </c>
    </row>
    <row r="33" spans="1:24" s="31" customFormat="1" ht="9.75" x14ac:dyDescent="0.2">
      <c r="A33" s="16" t="s">
        <v>57</v>
      </c>
      <c r="B33" s="34" t="s">
        <v>58</v>
      </c>
      <c r="C33" s="35"/>
      <c r="D33" s="17" t="s">
        <v>25</v>
      </c>
      <c r="E33" s="52">
        <f>E6-E11</f>
        <v>0</v>
      </c>
      <c r="F33" s="52">
        <f t="shared" ref="F33:G33" si="10">F6-F11</f>
        <v>0</v>
      </c>
      <c r="G33" s="52">
        <f t="shared" si="10"/>
        <v>232303.20999999717</v>
      </c>
      <c r="H33" s="33">
        <v>0</v>
      </c>
      <c r="I33" s="52">
        <f t="shared" ref="I33:L33" si="11">I6-I11</f>
        <v>-280162</v>
      </c>
      <c r="J33" s="52">
        <f t="shared" si="11"/>
        <v>0</v>
      </c>
      <c r="K33" s="52">
        <f t="shared" si="11"/>
        <v>0</v>
      </c>
      <c r="L33" s="52">
        <f t="shared" si="11"/>
        <v>232303.20999999717</v>
      </c>
      <c r="M33" s="33">
        <v>0</v>
      </c>
      <c r="N33" s="52">
        <f t="shared" ref="N33:Q33" si="12">N6-N11</f>
        <v>-267389</v>
      </c>
      <c r="O33" s="52">
        <f t="shared" si="12"/>
        <v>0</v>
      </c>
      <c r="P33" s="52">
        <f t="shared" si="12"/>
        <v>0</v>
      </c>
      <c r="Q33" s="52">
        <f t="shared" si="12"/>
        <v>0</v>
      </c>
      <c r="R33" s="33">
        <v>0</v>
      </c>
      <c r="S33" s="52">
        <f t="shared" ref="S33:V33" si="13">S6-S11</f>
        <v>-12773</v>
      </c>
      <c r="T33" s="52">
        <f t="shared" si="13"/>
        <v>172135</v>
      </c>
      <c r="U33" s="52">
        <f t="shared" si="13"/>
        <v>172135</v>
      </c>
      <c r="V33" s="52">
        <f t="shared" si="13"/>
        <v>161079.93000000017</v>
      </c>
      <c r="W33" s="33">
        <f t="shared" si="4"/>
        <v>93.577674499666045</v>
      </c>
      <c r="X33" s="52">
        <f>X6-X11</f>
        <v>464225.02</v>
      </c>
    </row>
    <row r="34" spans="1:24" s="37" customFormat="1" ht="9.75" x14ac:dyDescent="0.2">
      <c r="A34" s="36" t="s">
        <v>59</v>
      </c>
      <c r="B34" s="999" t="s">
        <v>24</v>
      </c>
      <c r="C34" s="1000"/>
      <c r="D34" s="99" t="s">
        <v>25</v>
      </c>
      <c r="E34" s="578">
        <v>17450</v>
      </c>
      <c r="F34" s="579">
        <v>18200</v>
      </c>
      <c r="G34" s="579">
        <v>22410</v>
      </c>
      <c r="H34" s="6">
        <f t="shared" si="0"/>
        <v>123.13186813186815</v>
      </c>
      <c r="I34" s="580">
        <v>18991</v>
      </c>
      <c r="J34" s="581"/>
      <c r="K34" s="582"/>
      <c r="L34" s="582"/>
      <c r="M34" s="6">
        <v>0</v>
      </c>
      <c r="N34" s="583"/>
      <c r="O34" s="581"/>
      <c r="P34" s="582"/>
      <c r="Q34" s="582"/>
      <c r="R34" s="6">
        <v>0</v>
      </c>
      <c r="S34" s="583"/>
      <c r="T34" s="581"/>
      <c r="U34" s="582"/>
      <c r="V34" s="582"/>
      <c r="W34" s="6">
        <v>0</v>
      </c>
      <c r="X34" s="583"/>
    </row>
    <row r="35" spans="1:24" s="37" customFormat="1" ht="9.75" x14ac:dyDescent="0.2">
      <c r="A35" s="38" t="s">
        <v>60</v>
      </c>
      <c r="B35" s="1001" t="s">
        <v>33</v>
      </c>
      <c r="C35" s="1002"/>
      <c r="D35" s="100" t="s">
        <v>26</v>
      </c>
      <c r="E35" s="127">
        <v>34</v>
      </c>
      <c r="F35" s="128">
        <v>35</v>
      </c>
      <c r="G35" s="584">
        <v>34.125</v>
      </c>
      <c r="H35" s="7">
        <f t="shared" si="0"/>
        <v>97.5</v>
      </c>
      <c r="I35" s="585">
        <v>33</v>
      </c>
      <c r="J35" s="140"/>
      <c r="K35" s="556"/>
      <c r="L35" s="556"/>
      <c r="M35" s="7">
        <v>0</v>
      </c>
      <c r="N35" s="586"/>
      <c r="O35" s="140"/>
      <c r="P35" s="556"/>
      <c r="Q35" s="556"/>
      <c r="R35" s="7">
        <v>0</v>
      </c>
      <c r="S35" s="586"/>
      <c r="T35" s="140"/>
      <c r="U35" s="556"/>
      <c r="V35" s="556"/>
      <c r="W35" s="7">
        <v>0</v>
      </c>
      <c r="X35" s="586"/>
    </row>
    <row r="36" spans="1:24" s="37" customFormat="1" ht="9.75" x14ac:dyDescent="0.2">
      <c r="A36" s="39" t="s">
        <v>61</v>
      </c>
      <c r="B36" s="1003" t="s">
        <v>27</v>
      </c>
      <c r="C36" s="1004"/>
      <c r="D36" s="101" t="s">
        <v>26</v>
      </c>
      <c r="E36" s="129">
        <v>37</v>
      </c>
      <c r="F36" s="130">
        <v>38</v>
      </c>
      <c r="G36" s="130">
        <v>38</v>
      </c>
      <c r="H36" s="24">
        <f t="shared" si="0"/>
        <v>100</v>
      </c>
      <c r="I36" s="131">
        <v>37</v>
      </c>
      <c r="J36" s="587"/>
      <c r="K36" s="588"/>
      <c r="L36" s="588"/>
      <c r="M36" s="24">
        <v>0</v>
      </c>
      <c r="N36" s="589"/>
      <c r="O36" s="587"/>
      <c r="P36" s="588"/>
      <c r="Q36" s="588"/>
      <c r="R36" s="24">
        <v>0</v>
      </c>
      <c r="S36" s="589"/>
      <c r="T36" s="587"/>
      <c r="U36" s="588"/>
      <c r="V36" s="588"/>
      <c r="W36" s="24">
        <v>0</v>
      </c>
      <c r="X36" s="589"/>
    </row>
  </sheetData>
  <mergeCells count="39">
    <mergeCell ref="A1:X1"/>
    <mergeCell ref="A3:A5"/>
    <mergeCell ref="B3:C5"/>
    <mergeCell ref="D3:D5"/>
    <mergeCell ref="E3:I3"/>
    <mergeCell ref="J3:N3"/>
    <mergeCell ref="O3:S3"/>
    <mergeCell ref="T3:X3"/>
    <mergeCell ref="E4:E5"/>
    <mergeCell ref="F4:H4"/>
    <mergeCell ref="S4:S5"/>
    <mergeCell ref="T4:T5"/>
    <mergeCell ref="U4:W4"/>
    <mergeCell ref="X4:X5"/>
    <mergeCell ref="O4:O5"/>
    <mergeCell ref="P4:R4"/>
    <mergeCell ref="B7:C7"/>
    <mergeCell ref="I4:I5"/>
    <mergeCell ref="J4:J5"/>
    <mergeCell ref="K4:M4"/>
    <mergeCell ref="N4:N5"/>
    <mergeCell ref="B6:C6"/>
    <mergeCell ref="B22:C22"/>
    <mergeCell ref="B8:C8"/>
    <mergeCell ref="B10:C10"/>
    <mergeCell ref="B11:C11"/>
    <mergeCell ref="B12:C12"/>
    <mergeCell ref="B13:C13"/>
    <mergeCell ref="B15:C15"/>
    <mergeCell ref="B16:C16"/>
    <mergeCell ref="B18:C18"/>
    <mergeCell ref="B19:C19"/>
    <mergeCell ref="B20:C20"/>
    <mergeCell ref="B21:C21"/>
    <mergeCell ref="B26:C26"/>
    <mergeCell ref="B34:C34"/>
    <mergeCell ref="B35:C35"/>
    <mergeCell ref="B36:C36"/>
    <mergeCell ref="B29:C29"/>
  </mergeCells>
  <pageMargins left="0.70866141732283472" right="0.70866141732283472" top="0.78740157480314965" bottom="0.78740157480314965" header="0.31496062992125984" footer="0.31496062992125984"/>
  <pageSetup paperSize="9" scale="91" firstPageNumber="123" orientation="landscape" useFirstPageNumber="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4"/>
  <sheetViews>
    <sheetView topLeftCell="A28" zoomScale="150" zoomScaleNormal="150" workbookViewId="0">
      <selection activeCell="A107" sqref="A107:XFD107"/>
    </sheetView>
  </sheetViews>
  <sheetFormatPr defaultColWidth="6.5" defaultRowHeight="8.25" x14ac:dyDescent="0.15"/>
  <cols>
    <col min="1" max="1" width="5.5" style="1" customWidth="1"/>
    <col min="2" max="2" width="6.5" customWidth="1"/>
    <col min="3" max="3" width="36.75" customWidth="1"/>
    <col min="4" max="4" width="13.5" customWidth="1"/>
    <col min="5" max="5" width="15.5" customWidth="1"/>
    <col min="6" max="6" width="16" customWidth="1"/>
    <col min="7" max="7" width="15.25" customWidth="1"/>
    <col min="8" max="8" width="11.25" customWidth="1"/>
    <col min="9" max="9" width="15.25" customWidth="1"/>
    <col min="10" max="10" width="16" customWidth="1"/>
    <col min="11" max="11" width="13.25" customWidth="1"/>
    <col min="12" max="12" width="15.25" customWidth="1"/>
    <col min="13" max="13" width="10.5" customWidth="1"/>
    <col min="14" max="14" width="14" customWidth="1"/>
    <col min="15" max="15" width="15.25" customWidth="1"/>
    <col min="16" max="16" width="18.5" customWidth="1"/>
    <col min="17" max="17" width="13.25" customWidth="1"/>
    <col min="18" max="18" width="9.75" customWidth="1"/>
    <col min="19" max="19" width="13.75" customWidth="1"/>
    <col min="20" max="20" width="15" customWidth="1"/>
    <col min="21" max="21" width="11" customWidth="1"/>
    <col min="22" max="22" width="16.5" bestFit="1" customWidth="1"/>
    <col min="23" max="23" width="8.75" customWidth="1"/>
    <col min="24" max="24" width="11" customWidth="1"/>
  </cols>
  <sheetData>
    <row r="1" spans="1:24" s="2" customFormat="1" ht="15.75" x14ac:dyDescent="0.15">
      <c r="A1" s="1088" t="s">
        <v>338</v>
      </c>
      <c r="B1" s="1088"/>
      <c r="C1" s="1088"/>
      <c r="D1" s="1088"/>
      <c r="E1" s="1088"/>
      <c r="F1" s="1088"/>
      <c r="G1" s="1088"/>
      <c r="H1" s="1088"/>
      <c r="I1" s="1088"/>
      <c r="J1" s="1088"/>
      <c r="K1" s="1088"/>
      <c r="L1" s="1088"/>
      <c r="M1" s="1088"/>
      <c r="N1" s="1088"/>
      <c r="O1" s="1088"/>
      <c r="P1" s="1088"/>
      <c r="Q1" s="1088"/>
      <c r="R1" s="1088"/>
      <c r="S1" s="1088"/>
      <c r="T1" s="1088"/>
      <c r="U1" s="1088"/>
      <c r="V1" s="1088"/>
      <c r="W1" s="1088"/>
      <c r="X1" s="1088"/>
    </row>
    <row r="2" spans="1:24" ht="11.25" x14ac:dyDescent="0.15">
      <c r="A2" s="451"/>
      <c r="B2" s="122"/>
      <c r="C2" s="122"/>
      <c r="D2" s="122"/>
      <c r="E2" s="122"/>
      <c r="F2" s="122"/>
      <c r="G2" s="122"/>
      <c r="H2" s="122"/>
      <c r="I2" s="122"/>
      <c r="J2" s="122"/>
      <c r="K2" s="122"/>
      <c r="L2" s="122"/>
      <c r="M2" s="122"/>
      <c r="N2" s="122"/>
      <c r="O2" s="122"/>
      <c r="P2" s="122"/>
      <c r="Q2" s="122"/>
      <c r="R2" s="122"/>
      <c r="S2" s="122"/>
      <c r="T2" s="122"/>
      <c r="U2" s="122"/>
      <c r="V2" s="122"/>
      <c r="W2" s="122"/>
      <c r="X2" s="122"/>
    </row>
    <row r="3" spans="1:24" s="3" customFormat="1" ht="11.25" x14ac:dyDescent="0.2">
      <c r="A3" s="1090" t="s">
        <v>40</v>
      </c>
      <c r="B3" s="1092" t="s">
        <v>41</v>
      </c>
      <c r="C3" s="1091"/>
      <c r="D3" s="1092" t="s">
        <v>42</v>
      </c>
      <c r="E3" s="1089" t="s">
        <v>77</v>
      </c>
      <c r="F3" s="1089"/>
      <c r="G3" s="1089"/>
      <c r="H3" s="1089"/>
      <c r="I3" s="1089"/>
      <c r="J3" s="1089" t="s">
        <v>39</v>
      </c>
      <c r="K3" s="1089"/>
      <c r="L3" s="1089"/>
      <c r="M3" s="1089"/>
      <c r="N3" s="1089"/>
      <c r="O3" s="1089" t="s">
        <v>78</v>
      </c>
      <c r="P3" s="1089"/>
      <c r="Q3" s="1089"/>
      <c r="R3" s="1089"/>
      <c r="S3" s="1089"/>
      <c r="T3" s="1089" t="s">
        <v>82</v>
      </c>
      <c r="U3" s="1089"/>
      <c r="V3" s="1089"/>
      <c r="W3" s="1089"/>
      <c r="X3" s="1089"/>
    </row>
    <row r="4" spans="1:24" s="4" customFormat="1" ht="11.25" x14ac:dyDescent="0.2">
      <c r="A4" s="1091"/>
      <c r="B4" s="1091"/>
      <c r="C4" s="1091"/>
      <c r="D4" s="1092"/>
      <c r="E4" s="1086" t="s">
        <v>44</v>
      </c>
      <c r="F4" s="1084" t="s">
        <v>336</v>
      </c>
      <c r="G4" s="1084"/>
      <c r="H4" s="1084"/>
      <c r="I4" s="1090" t="s">
        <v>337</v>
      </c>
      <c r="J4" s="1086" t="s">
        <v>44</v>
      </c>
      <c r="K4" s="1084" t="s">
        <v>339</v>
      </c>
      <c r="L4" s="1084"/>
      <c r="M4" s="1084"/>
      <c r="N4" s="1090" t="s">
        <v>337</v>
      </c>
      <c r="O4" s="1086" t="s">
        <v>44</v>
      </c>
      <c r="P4" s="1084" t="s">
        <v>336</v>
      </c>
      <c r="Q4" s="1084"/>
      <c r="R4" s="1084"/>
      <c r="S4" s="1090" t="s">
        <v>337</v>
      </c>
      <c r="T4" s="1086" t="s">
        <v>44</v>
      </c>
      <c r="U4" s="1084" t="s">
        <v>340</v>
      </c>
      <c r="V4" s="1084"/>
      <c r="W4" s="1084"/>
      <c r="X4" s="1090" t="s">
        <v>337</v>
      </c>
    </row>
    <row r="5" spans="1:24" s="5" customFormat="1" ht="11.25" x14ac:dyDescent="0.2">
      <c r="A5" s="1091"/>
      <c r="B5" s="1091"/>
      <c r="C5" s="1091"/>
      <c r="D5" s="1092"/>
      <c r="E5" s="1086"/>
      <c r="F5" s="452" t="s">
        <v>35</v>
      </c>
      <c r="G5" s="452" t="s">
        <v>36</v>
      </c>
      <c r="H5" s="452" t="s">
        <v>37</v>
      </c>
      <c r="I5" s="1090"/>
      <c r="J5" s="1086"/>
      <c r="K5" s="452" t="s">
        <v>35</v>
      </c>
      <c r="L5" s="452" t="s">
        <v>36</v>
      </c>
      <c r="M5" s="452" t="s">
        <v>37</v>
      </c>
      <c r="N5" s="1090"/>
      <c r="O5" s="1086"/>
      <c r="P5" s="452" t="s">
        <v>35</v>
      </c>
      <c r="Q5" s="452" t="s">
        <v>36</v>
      </c>
      <c r="R5" s="452" t="s">
        <v>37</v>
      </c>
      <c r="S5" s="1090"/>
      <c r="T5" s="1086"/>
      <c r="U5" s="452" t="s">
        <v>35</v>
      </c>
      <c r="V5" s="452" t="s">
        <v>36</v>
      </c>
      <c r="W5" s="452" t="s">
        <v>37</v>
      </c>
      <c r="X5" s="1090"/>
    </row>
    <row r="6" spans="1:24" s="3" customFormat="1" ht="11.25" x14ac:dyDescent="0.2">
      <c r="A6" s="453" t="s">
        <v>0</v>
      </c>
      <c r="B6" s="1094" t="s">
        <v>1</v>
      </c>
      <c r="C6" s="1094"/>
      <c r="D6" s="454" t="s">
        <v>25</v>
      </c>
      <c r="E6" s="455">
        <f>SUM(E7:E9)</f>
        <v>13449651</v>
      </c>
      <c r="F6" s="455">
        <f>SUM(F7:F9)</f>
        <v>14685629</v>
      </c>
      <c r="G6" s="455">
        <f>SUM(G7:G9)</f>
        <v>14750691</v>
      </c>
      <c r="H6" s="456">
        <f t="shared" ref="H6:H36" si="0">G6/F6*100</f>
        <v>100.4430317557389</v>
      </c>
      <c r="I6" s="455">
        <f>SUM(I7:I9)</f>
        <v>13305360</v>
      </c>
      <c r="J6" s="455">
        <f>SUM(J7:J9)</f>
        <v>3687600</v>
      </c>
      <c r="K6" s="455">
        <f t="shared" ref="K6:X6" si="1">SUM(K7:K9)</f>
        <v>4923578</v>
      </c>
      <c r="L6" s="455">
        <f t="shared" si="1"/>
        <v>5000227</v>
      </c>
      <c r="M6" s="456">
        <f t="shared" ref="M6:M36" si="2">L6/K6*100</f>
        <v>101.55677436205946</v>
      </c>
      <c r="N6" s="455">
        <f t="shared" si="1"/>
        <v>4286901</v>
      </c>
      <c r="O6" s="455">
        <f t="shared" si="1"/>
        <v>9762051</v>
      </c>
      <c r="P6" s="455">
        <f t="shared" si="1"/>
        <v>9762051</v>
      </c>
      <c r="Q6" s="455">
        <f t="shared" si="1"/>
        <v>9750464</v>
      </c>
      <c r="R6" s="456">
        <f t="shared" ref="R6:R36" si="3">Q6/P6*100</f>
        <v>99.881305680537821</v>
      </c>
      <c r="S6" s="455">
        <f t="shared" si="1"/>
        <v>9018459</v>
      </c>
      <c r="T6" s="455">
        <f t="shared" si="1"/>
        <v>0</v>
      </c>
      <c r="U6" s="455">
        <f t="shared" si="1"/>
        <v>0</v>
      </c>
      <c r="V6" s="455">
        <f t="shared" si="1"/>
        <v>0</v>
      </c>
      <c r="W6" s="456" t="e">
        <f t="shared" ref="W6:W36" si="4">V6/U6*100</f>
        <v>#DIV/0!</v>
      </c>
      <c r="X6" s="455">
        <f t="shared" si="1"/>
        <v>0</v>
      </c>
    </row>
    <row r="7" spans="1:24" s="3" customFormat="1" ht="11.25" x14ac:dyDescent="0.2">
      <c r="A7" s="457" t="s">
        <v>2</v>
      </c>
      <c r="B7" s="1085" t="s">
        <v>46</v>
      </c>
      <c r="C7" s="1085"/>
      <c r="D7" s="458" t="s">
        <v>25</v>
      </c>
      <c r="E7" s="459">
        <f t="shared" ref="E7:G10" si="5">SUM(J7,O7)</f>
        <v>1103600</v>
      </c>
      <c r="F7" s="459">
        <f t="shared" si="5"/>
        <v>1373996</v>
      </c>
      <c r="G7" s="459">
        <f t="shared" si="5"/>
        <v>1460632</v>
      </c>
      <c r="H7" s="460">
        <f t="shared" si="0"/>
        <v>106.30540409142384</v>
      </c>
      <c r="I7" s="459">
        <v>1122750</v>
      </c>
      <c r="J7" s="461">
        <v>1103600</v>
      </c>
      <c r="K7" s="462">
        <v>1373996</v>
      </c>
      <c r="L7" s="462">
        <v>1460632</v>
      </c>
      <c r="M7" s="460">
        <f t="shared" si="2"/>
        <v>106.30540409142384</v>
      </c>
      <c r="N7" s="462">
        <v>1122750</v>
      </c>
      <c r="O7" s="462">
        <v>0</v>
      </c>
      <c r="P7" s="462">
        <v>0</v>
      </c>
      <c r="Q7" s="462">
        <v>0</v>
      </c>
      <c r="R7" s="460" t="e">
        <f t="shared" si="3"/>
        <v>#DIV/0!</v>
      </c>
      <c r="S7" s="462">
        <v>0</v>
      </c>
      <c r="T7" s="462">
        <v>0</v>
      </c>
      <c r="U7" s="462">
        <v>0</v>
      </c>
      <c r="V7" s="462">
        <v>0</v>
      </c>
      <c r="W7" s="460" t="e">
        <f t="shared" si="4"/>
        <v>#DIV/0!</v>
      </c>
      <c r="X7" s="462"/>
    </row>
    <row r="8" spans="1:24" s="3" customFormat="1" ht="11.25" x14ac:dyDescent="0.2">
      <c r="A8" s="463" t="s">
        <v>3</v>
      </c>
      <c r="B8" s="1095" t="s">
        <v>47</v>
      </c>
      <c r="C8" s="1095"/>
      <c r="D8" s="458" t="s">
        <v>25</v>
      </c>
      <c r="E8" s="459">
        <f t="shared" si="5"/>
        <v>4000</v>
      </c>
      <c r="F8" s="459">
        <f t="shared" si="5"/>
        <v>4000</v>
      </c>
      <c r="G8" s="459">
        <f t="shared" si="5"/>
        <v>160</v>
      </c>
      <c r="H8" s="460">
        <f t="shared" si="0"/>
        <v>4</v>
      </c>
      <c r="I8" s="459">
        <v>5647</v>
      </c>
      <c r="J8" s="464">
        <v>4000</v>
      </c>
      <c r="K8" s="459">
        <v>4000</v>
      </c>
      <c r="L8" s="459">
        <v>160</v>
      </c>
      <c r="M8" s="460">
        <f t="shared" si="2"/>
        <v>4</v>
      </c>
      <c r="N8" s="459">
        <v>5647</v>
      </c>
      <c r="O8" s="459">
        <v>0</v>
      </c>
      <c r="P8" s="459">
        <v>0</v>
      </c>
      <c r="Q8" s="459">
        <v>0</v>
      </c>
      <c r="R8" s="460" t="e">
        <f t="shared" si="3"/>
        <v>#DIV/0!</v>
      </c>
      <c r="S8" s="459">
        <v>0</v>
      </c>
      <c r="T8" s="459">
        <v>0</v>
      </c>
      <c r="U8" s="459">
        <v>0</v>
      </c>
      <c r="V8" s="459">
        <v>0</v>
      </c>
      <c r="W8" s="460" t="e">
        <f t="shared" si="4"/>
        <v>#DIV/0!</v>
      </c>
      <c r="X8" s="459"/>
    </row>
    <row r="9" spans="1:24" s="3" customFormat="1" ht="11.25" x14ac:dyDescent="0.2">
      <c r="A9" s="463" t="s">
        <v>4</v>
      </c>
      <c r="B9" s="465" t="s">
        <v>62</v>
      </c>
      <c r="C9" s="466"/>
      <c r="D9" s="458" t="s">
        <v>25</v>
      </c>
      <c r="E9" s="459">
        <f t="shared" si="5"/>
        <v>12342051</v>
      </c>
      <c r="F9" s="459">
        <f t="shared" si="5"/>
        <v>13307633</v>
      </c>
      <c r="G9" s="459">
        <f t="shared" si="5"/>
        <v>13289899</v>
      </c>
      <c r="H9" s="460">
        <f t="shared" si="0"/>
        <v>99.866738134422548</v>
      </c>
      <c r="I9" s="459">
        <v>12176963</v>
      </c>
      <c r="J9" s="464">
        <v>2580000</v>
      </c>
      <c r="K9" s="459">
        <v>3545582</v>
      </c>
      <c r="L9" s="459">
        <v>3539435</v>
      </c>
      <c r="M9" s="460">
        <f t="shared" si="2"/>
        <v>99.82662930937714</v>
      </c>
      <c r="N9" s="459">
        <v>3158504</v>
      </c>
      <c r="O9" s="459">
        <v>9762051</v>
      </c>
      <c r="P9" s="459">
        <v>9762051</v>
      </c>
      <c r="Q9" s="459">
        <v>9750464</v>
      </c>
      <c r="R9" s="460">
        <f t="shared" si="3"/>
        <v>99.881305680537821</v>
      </c>
      <c r="S9" s="459">
        <v>9018459</v>
      </c>
      <c r="T9" s="459">
        <v>0</v>
      </c>
      <c r="U9" s="459">
        <v>0</v>
      </c>
      <c r="V9" s="459">
        <v>0</v>
      </c>
      <c r="W9" s="460" t="e">
        <f t="shared" si="4"/>
        <v>#DIV/0!</v>
      </c>
      <c r="X9" s="459"/>
    </row>
    <row r="10" spans="1:24" s="3" customFormat="1" ht="11.25" x14ac:dyDescent="0.2">
      <c r="A10" s="453" t="s">
        <v>5</v>
      </c>
      <c r="B10" s="1094" t="s">
        <v>7</v>
      </c>
      <c r="C10" s="1094"/>
      <c r="D10" s="454" t="s">
        <v>25</v>
      </c>
      <c r="E10" s="467">
        <f t="shared" si="5"/>
        <v>0</v>
      </c>
      <c r="F10" s="467">
        <f t="shared" si="5"/>
        <v>468700</v>
      </c>
      <c r="G10" s="467">
        <f t="shared" si="5"/>
        <v>468700</v>
      </c>
      <c r="H10" s="456">
        <f t="shared" si="0"/>
        <v>100</v>
      </c>
      <c r="I10" s="467">
        <f>SUM(N10,S10)</f>
        <v>0</v>
      </c>
      <c r="J10" s="468"/>
      <c r="K10" s="467">
        <v>468700</v>
      </c>
      <c r="L10" s="467">
        <v>468700</v>
      </c>
      <c r="M10" s="456">
        <f t="shared" si="2"/>
        <v>100</v>
      </c>
      <c r="N10" s="467"/>
      <c r="O10" s="467"/>
      <c r="P10" s="467"/>
      <c r="Q10" s="467"/>
      <c r="R10" s="456" t="e">
        <f t="shared" si="3"/>
        <v>#DIV/0!</v>
      </c>
      <c r="S10" s="467"/>
      <c r="T10" s="467">
        <v>0</v>
      </c>
      <c r="U10" s="467"/>
      <c r="V10" s="467"/>
      <c r="W10" s="456" t="e">
        <f t="shared" si="4"/>
        <v>#DIV/0!</v>
      </c>
      <c r="X10" s="467"/>
    </row>
    <row r="11" spans="1:24" s="3" customFormat="1" ht="11.25" x14ac:dyDescent="0.2">
      <c r="A11" s="453" t="s">
        <v>6</v>
      </c>
      <c r="B11" s="1094" t="s">
        <v>9</v>
      </c>
      <c r="C11" s="1094"/>
      <c r="D11" s="454" t="s">
        <v>25</v>
      </c>
      <c r="E11" s="455">
        <f>SUM(E12:E31)</f>
        <v>13449651</v>
      </c>
      <c r="F11" s="455">
        <f>SUM(F12:F31)</f>
        <v>14685629</v>
      </c>
      <c r="G11" s="455">
        <f>SUM(G12:G31)</f>
        <v>14573058</v>
      </c>
      <c r="H11" s="456">
        <f t="shared" si="0"/>
        <v>99.233461501717088</v>
      </c>
      <c r="I11" s="455">
        <f>SUM(I12:I31)</f>
        <v>13120664</v>
      </c>
      <c r="J11" s="455">
        <f>SUM(J12:J31)</f>
        <v>3687600</v>
      </c>
      <c r="K11" s="455">
        <f>SUM(K12:K31)</f>
        <v>4923578</v>
      </c>
      <c r="L11" s="455">
        <f>SUM(L12:L31)</f>
        <v>4822594</v>
      </c>
      <c r="M11" s="456">
        <f t="shared" si="2"/>
        <v>97.948971256269317</v>
      </c>
      <c r="N11" s="455">
        <f>SUM(N12:N31)</f>
        <v>4102205</v>
      </c>
      <c r="O11" s="455">
        <f>SUM(O12:O31)</f>
        <v>9762051</v>
      </c>
      <c r="P11" s="455">
        <f>SUM(P12:P31)</f>
        <v>9762051</v>
      </c>
      <c r="Q11" s="455">
        <f>SUM(Q12:Q31)</f>
        <v>9750464</v>
      </c>
      <c r="R11" s="456">
        <f t="shared" si="3"/>
        <v>99.881305680537821</v>
      </c>
      <c r="S11" s="455">
        <f>SUM(S12:S31)</f>
        <v>9018459</v>
      </c>
      <c r="T11" s="455">
        <f>SUM(T12:T31)</f>
        <v>0</v>
      </c>
      <c r="U11" s="455">
        <f>SUM(U12:U31)</f>
        <v>0</v>
      </c>
      <c r="V11" s="455">
        <f>SUM(V12:V31)</f>
        <v>0</v>
      </c>
      <c r="W11" s="456" t="e">
        <f t="shared" si="4"/>
        <v>#DIV/0!</v>
      </c>
      <c r="X11" s="455">
        <f>SUM(X12:X31)</f>
        <v>0</v>
      </c>
    </row>
    <row r="12" spans="1:24" s="3" customFormat="1" ht="11.25" x14ac:dyDescent="0.2">
      <c r="A12" s="457" t="s">
        <v>8</v>
      </c>
      <c r="B12" s="1085" t="s">
        <v>28</v>
      </c>
      <c r="C12" s="1085"/>
      <c r="D12" s="458" t="s">
        <v>25</v>
      </c>
      <c r="E12" s="459">
        <f t="shared" ref="E12:I29" si="6">SUM(J12,O12)</f>
        <v>898555</v>
      </c>
      <c r="F12" s="459">
        <f t="shared" si="6"/>
        <v>912056</v>
      </c>
      <c r="G12" s="459">
        <f t="shared" si="6"/>
        <v>911692</v>
      </c>
      <c r="H12" s="460">
        <f t="shared" si="0"/>
        <v>99.960090169901846</v>
      </c>
      <c r="I12" s="459">
        <v>760913</v>
      </c>
      <c r="J12" s="469">
        <v>897717</v>
      </c>
      <c r="K12" s="470">
        <v>911218</v>
      </c>
      <c r="L12" s="470">
        <v>910854</v>
      </c>
      <c r="M12" s="460">
        <f t="shared" si="2"/>
        <v>99.960053466898145</v>
      </c>
      <c r="N12" s="471">
        <v>754240</v>
      </c>
      <c r="O12" s="470">
        <v>838</v>
      </c>
      <c r="P12" s="470">
        <v>838</v>
      </c>
      <c r="Q12" s="470">
        <v>838</v>
      </c>
      <c r="R12" s="460">
        <f t="shared" si="3"/>
        <v>100</v>
      </c>
      <c r="S12" s="470">
        <v>6673</v>
      </c>
      <c r="T12" s="470">
        <v>0</v>
      </c>
      <c r="U12" s="470">
        <v>0</v>
      </c>
      <c r="V12" s="470">
        <v>0</v>
      </c>
      <c r="W12" s="460" t="e">
        <f t="shared" si="4"/>
        <v>#DIV/0!</v>
      </c>
      <c r="X12" s="471"/>
    </row>
    <row r="13" spans="1:24" s="3" customFormat="1" ht="11.25" x14ac:dyDescent="0.2">
      <c r="A13" s="457" t="s">
        <v>10</v>
      </c>
      <c r="B13" s="1085" t="s">
        <v>29</v>
      </c>
      <c r="C13" s="1085"/>
      <c r="D13" s="458" t="s">
        <v>25</v>
      </c>
      <c r="E13" s="459">
        <f t="shared" si="6"/>
        <v>970000</v>
      </c>
      <c r="F13" s="459">
        <f t="shared" si="6"/>
        <v>898500</v>
      </c>
      <c r="G13" s="459">
        <f t="shared" si="6"/>
        <v>879502</v>
      </c>
      <c r="H13" s="460">
        <f t="shared" si="0"/>
        <v>97.885587089593756</v>
      </c>
      <c r="I13" s="459">
        <v>848336</v>
      </c>
      <c r="J13" s="469">
        <v>970000</v>
      </c>
      <c r="K13" s="459">
        <v>898500</v>
      </c>
      <c r="L13" s="459">
        <v>879502</v>
      </c>
      <c r="M13" s="460">
        <f t="shared" si="2"/>
        <v>97.885587089593756</v>
      </c>
      <c r="N13" s="459">
        <v>848336</v>
      </c>
      <c r="O13" s="459"/>
      <c r="P13" s="459"/>
      <c r="Q13" s="459">
        <v>0</v>
      </c>
      <c r="R13" s="460" t="e">
        <f t="shared" si="3"/>
        <v>#DIV/0!</v>
      </c>
      <c r="S13" s="459">
        <v>0</v>
      </c>
      <c r="T13" s="459">
        <v>0</v>
      </c>
      <c r="U13" s="459">
        <v>0</v>
      </c>
      <c r="V13" s="459">
        <v>0</v>
      </c>
      <c r="W13" s="460" t="e">
        <f t="shared" si="4"/>
        <v>#DIV/0!</v>
      </c>
      <c r="X13" s="459"/>
    </row>
    <row r="14" spans="1:24" s="3" customFormat="1" ht="11.25" x14ac:dyDescent="0.2">
      <c r="A14" s="457" t="s">
        <v>11</v>
      </c>
      <c r="B14" s="465" t="s">
        <v>63</v>
      </c>
      <c r="C14" s="465"/>
      <c r="D14" s="458" t="s">
        <v>25</v>
      </c>
      <c r="E14" s="459">
        <f t="shared" si="6"/>
        <v>0</v>
      </c>
      <c r="F14" s="459">
        <f t="shared" si="6"/>
        <v>0</v>
      </c>
      <c r="G14" s="459">
        <f t="shared" si="6"/>
        <v>0</v>
      </c>
      <c r="H14" s="460" t="e">
        <f t="shared" si="0"/>
        <v>#DIV/0!</v>
      </c>
      <c r="I14" s="459">
        <f t="shared" si="6"/>
        <v>0</v>
      </c>
      <c r="J14" s="469">
        <v>0</v>
      </c>
      <c r="K14" s="459">
        <v>0</v>
      </c>
      <c r="L14" s="459">
        <v>0</v>
      </c>
      <c r="M14" s="460" t="e">
        <f t="shared" si="2"/>
        <v>#DIV/0!</v>
      </c>
      <c r="N14" s="459">
        <v>0</v>
      </c>
      <c r="O14" s="459">
        <v>0</v>
      </c>
      <c r="P14" s="459">
        <v>0</v>
      </c>
      <c r="Q14" s="459">
        <v>0</v>
      </c>
      <c r="R14" s="460" t="e">
        <f t="shared" si="3"/>
        <v>#DIV/0!</v>
      </c>
      <c r="S14" s="459">
        <v>0</v>
      </c>
      <c r="T14" s="459">
        <v>0</v>
      </c>
      <c r="U14" s="459">
        <v>0</v>
      </c>
      <c r="V14" s="459">
        <v>0</v>
      </c>
      <c r="W14" s="460" t="e">
        <f t="shared" si="4"/>
        <v>#DIV/0!</v>
      </c>
      <c r="X14" s="459"/>
    </row>
    <row r="15" spans="1:24" s="3" customFormat="1" ht="11.25" x14ac:dyDescent="0.2">
      <c r="A15" s="457" t="s">
        <v>12</v>
      </c>
      <c r="B15" s="1085" t="s">
        <v>64</v>
      </c>
      <c r="C15" s="1085"/>
      <c r="D15" s="458" t="s">
        <v>25</v>
      </c>
      <c r="E15" s="459">
        <f t="shared" si="6"/>
        <v>477300</v>
      </c>
      <c r="F15" s="459">
        <f t="shared" si="6"/>
        <v>1758778</v>
      </c>
      <c r="G15" s="459">
        <f t="shared" si="6"/>
        <v>1757038</v>
      </c>
      <c r="H15" s="460">
        <f t="shared" si="0"/>
        <v>99.901067673123052</v>
      </c>
      <c r="I15" s="459">
        <v>1121249</v>
      </c>
      <c r="J15" s="469">
        <v>477300</v>
      </c>
      <c r="K15" s="459">
        <v>1758778</v>
      </c>
      <c r="L15" s="459">
        <v>1757038</v>
      </c>
      <c r="M15" s="460">
        <f t="shared" si="2"/>
        <v>99.901067673123052</v>
      </c>
      <c r="N15" s="459">
        <v>1121249</v>
      </c>
      <c r="O15" s="459">
        <v>0</v>
      </c>
      <c r="P15" s="459">
        <v>0</v>
      </c>
      <c r="Q15" s="459">
        <v>0</v>
      </c>
      <c r="R15" s="460" t="e">
        <f t="shared" si="3"/>
        <v>#DIV/0!</v>
      </c>
      <c r="S15" s="459">
        <v>0</v>
      </c>
      <c r="T15" s="459">
        <v>0</v>
      </c>
      <c r="U15" s="459">
        <v>0</v>
      </c>
      <c r="V15" s="459">
        <v>0</v>
      </c>
      <c r="W15" s="460" t="e">
        <f t="shared" si="4"/>
        <v>#DIV/0!</v>
      </c>
      <c r="X15" s="459"/>
    </row>
    <row r="16" spans="1:24" s="3" customFormat="1" ht="11.25" x14ac:dyDescent="0.2">
      <c r="A16" s="457" t="s">
        <v>13</v>
      </c>
      <c r="B16" s="1085" t="s">
        <v>30</v>
      </c>
      <c r="C16" s="1085"/>
      <c r="D16" s="458" t="s">
        <v>25</v>
      </c>
      <c r="E16" s="459">
        <f t="shared" si="6"/>
        <v>1000</v>
      </c>
      <c r="F16" s="459">
        <f t="shared" si="6"/>
        <v>1000</v>
      </c>
      <c r="G16" s="459">
        <f t="shared" si="6"/>
        <v>692</v>
      </c>
      <c r="H16" s="460">
        <f t="shared" si="0"/>
        <v>69.199999999999989</v>
      </c>
      <c r="I16" s="459">
        <f t="shared" si="6"/>
        <v>632</v>
      </c>
      <c r="J16" s="469">
        <v>1000</v>
      </c>
      <c r="K16" s="459">
        <v>1000</v>
      </c>
      <c r="L16" s="459">
        <v>692</v>
      </c>
      <c r="M16" s="460">
        <f t="shared" si="2"/>
        <v>69.199999999999989</v>
      </c>
      <c r="N16" s="459">
        <v>632</v>
      </c>
      <c r="O16" s="459">
        <v>0</v>
      </c>
      <c r="P16" s="459">
        <v>0</v>
      </c>
      <c r="Q16" s="459">
        <v>0</v>
      </c>
      <c r="R16" s="460" t="e">
        <f t="shared" si="3"/>
        <v>#DIV/0!</v>
      </c>
      <c r="S16" s="459">
        <v>0</v>
      </c>
      <c r="T16" s="459">
        <v>0</v>
      </c>
      <c r="U16" s="459">
        <v>0</v>
      </c>
      <c r="V16" s="459">
        <v>0</v>
      </c>
      <c r="W16" s="460" t="e">
        <f t="shared" si="4"/>
        <v>#DIV/0!</v>
      </c>
      <c r="X16" s="459"/>
    </row>
    <row r="17" spans="1:24" s="3" customFormat="1" ht="11.25" x14ac:dyDescent="0.2">
      <c r="A17" s="457" t="s">
        <v>14</v>
      </c>
      <c r="B17" s="465" t="s">
        <v>48</v>
      </c>
      <c r="C17" s="465"/>
      <c r="D17" s="458" t="s">
        <v>25</v>
      </c>
      <c r="E17" s="459">
        <f t="shared" si="6"/>
        <v>2000</v>
      </c>
      <c r="F17" s="459">
        <f t="shared" si="6"/>
        <v>2000</v>
      </c>
      <c r="G17" s="459">
        <f t="shared" si="6"/>
        <v>1596</v>
      </c>
      <c r="H17" s="460">
        <f t="shared" si="0"/>
        <v>79.800000000000011</v>
      </c>
      <c r="I17" s="459">
        <v>2002</v>
      </c>
      <c r="J17" s="469">
        <v>2000</v>
      </c>
      <c r="K17" s="459">
        <v>2000</v>
      </c>
      <c r="L17" s="459">
        <v>1596</v>
      </c>
      <c r="M17" s="460">
        <f t="shared" si="2"/>
        <v>79.800000000000011</v>
      </c>
      <c r="N17" s="459">
        <v>2002</v>
      </c>
      <c r="O17" s="459">
        <v>0</v>
      </c>
      <c r="P17" s="459">
        <v>0</v>
      </c>
      <c r="Q17" s="459">
        <v>0</v>
      </c>
      <c r="R17" s="460" t="e">
        <f t="shared" si="3"/>
        <v>#DIV/0!</v>
      </c>
      <c r="S17" s="459">
        <v>0</v>
      </c>
      <c r="T17" s="459">
        <v>0</v>
      </c>
      <c r="U17" s="459">
        <v>0</v>
      </c>
      <c r="V17" s="459">
        <v>0</v>
      </c>
      <c r="W17" s="460" t="e">
        <f t="shared" si="4"/>
        <v>#DIV/0!</v>
      </c>
      <c r="X17" s="459"/>
    </row>
    <row r="18" spans="1:24" s="3" customFormat="1" ht="11.25" x14ac:dyDescent="0.2">
      <c r="A18" s="457" t="s">
        <v>15</v>
      </c>
      <c r="B18" s="1085" t="s">
        <v>31</v>
      </c>
      <c r="C18" s="1085"/>
      <c r="D18" s="458" t="s">
        <v>25</v>
      </c>
      <c r="E18" s="459">
        <f t="shared" si="6"/>
        <v>402590</v>
      </c>
      <c r="F18" s="459">
        <f t="shared" si="6"/>
        <v>460090</v>
      </c>
      <c r="G18" s="459">
        <f t="shared" si="6"/>
        <v>459244</v>
      </c>
      <c r="H18" s="460">
        <f t="shared" si="0"/>
        <v>99.816122932469725</v>
      </c>
      <c r="I18" s="459">
        <v>394719</v>
      </c>
      <c r="J18" s="469">
        <v>381500</v>
      </c>
      <c r="K18" s="459">
        <v>439000</v>
      </c>
      <c r="L18" s="459">
        <v>438154</v>
      </c>
      <c r="M18" s="460">
        <f t="shared" si="2"/>
        <v>99.807289293849649</v>
      </c>
      <c r="N18" s="459">
        <v>384719</v>
      </c>
      <c r="O18" s="459">
        <v>21090</v>
      </c>
      <c r="P18" s="459">
        <v>21090</v>
      </c>
      <c r="Q18" s="459">
        <v>21090</v>
      </c>
      <c r="R18" s="460">
        <f t="shared" si="3"/>
        <v>100</v>
      </c>
      <c r="S18" s="459">
        <v>10000</v>
      </c>
      <c r="T18" s="459">
        <v>0</v>
      </c>
      <c r="U18" s="459">
        <v>0</v>
      </c>
      <c r="V18" s="459">
        <v>0</v>
      </c>
      <c r="W18" s="460" t="e">
        <f t="shared" si="4"/>
        <v>#DIV/0!</v>
      </c>
      <c r="X18" s="459"/>
    </row>
    <row r="19" spans="1:24" s="8" customFormat="1" ht="11.25" x14ac:dyDescent="0.2">
      <c r="A19" s="457" t="s">
        <v>16</v>
      </c>
      <c r="B19" s="1085" t="s">
        <v>32</v>
      </c>
      <c r="C19" s="1085"/>
      <c r="D19" s="458" t="s">
        <v>25</v>
      </c>
      <c r="E19" s="459">
        <f t="shared" si="6"/>
        <v>7116671</v>
      </c>
      <c r="F19" s="459">
        <f t="shared" si="6"/>
        <v>7116671</v>
      </c>
      <c r="G19" s="459">
        <f t="shared" si="6"/>
        <v>7108151</v>
      </c>
      <c r="H19" s="460">
        <f t="shared" si="0"/>
        <v>99.880281103341716</v>
      </c>
      <c r="I19" s="459">
        <v>6625341</v>
      </c>
      <c r="J19" s="472">
        <v>0</v>
      </c>
      <c r="K19" s="459">
        <v>0</v>
      </c>
      <c r="L19" s="459">
        <v>0</v>
      </c>
      <c r="M19" s="460" t="e">
        <f t="shared" si="2"/>
        <v>#DIV/0!</v>
      </c>
      <c r="N19" s="459">
        <v>0</v>
      </c>
      <c r="O19" s="459">
        <v>7116671</v>
      </c>
      <c r="P19" s="459">
        <v>7116671</v>
      </c>
      <c r="Q19" s="459">
        <v>7108151</v>
      </c>
      <c r="R19" s="460">
        <f t="shared" si="3"/>
        <v>99.880281103341716</v>
      </c>
      <c r="S19" s="459">
        <v>6625341</v>
      </c>
      <c r="T19" s="473">
        <v>0</v>
      </c>
      <c r="U19" s="473">
        <v>0</v>
      </c>
      <c r="V19" s="473">
        <v>0</v>
      </c>
      <c r="W19" s="460" t="e">
        <f t="shared" si="4"/>
        <v>#DIV/0!</v>
      </c>
      <c r="X19" s="473"/>
    </row>
    <row r="20" spans="1:24" s="3" customFormat="1" ht="11.25" x14ac:dyDescent="0.2">
      <c r="A20" s="457" t="s">
        <v>17</v>
      </c>
      <c r="B20" s="1085" t="s">
        <v>49</v>
      </c>
      <c r="C20" s="1085"/>
      <c r="D20" s="458" t="s">
        <v>25</v>
      </c>
      <c r="E20" s="459">
        <f t="shared" si="6"/>
        <v>2434815</v>
      </c>
      <c r="F20" s="459">
        <f t="shared" si="6"/>
        <v>2434815</v>
      </c>
      <c r="G20" s="459">
        <f t="shared" si="6"/>
        <v>2431918</v>
      </c>
      <c r="H20" s="460">
        <f t="shared" si="0"/>
        <v>99.881017654318711</v>
      </c>
      <c r="I20" s="459">
        <v>2271285</v>
      </c>
      <c r="J20" s="469">
        <v>0</v>
      </c>
      <c r="K20" s="459">
        <v>0</v>
      </c>
      <c r="L20" s="459">
        <v>0</v>
      </c>
      <c r="M20" s="460" t="e">
        <f t="shared" si="2"/>
        <v>#DIV/0!</v>
      </c>
      <c r="N20" s="459">
        <v>0</v>
      </c>
      <c r="O20" s="459">
        <v>2434815</v>
      </c>
      <c r="P20" s="459">
        <v>2434815</v>
      </c>
      <c r="Q20" s="459">
        <v>2431918</v>
      </c>
      <c r="R20" s="460">
        <f t="shared" si="3"/>
        <v>99.881017654318711</v>
      </c>
      <c r="S20" s="459">
        <v>2271285</v>
      </c>
      <c r="T20" s="459">
        <v>0</v>
      </c>
      <c r="U20" s="459">
        <v>0</v>
      </c>
      <c r="V20" s="459">
        <v>0</v>
      </c>
      <c r="W20" s="460" t="e">
        <f t="shared" si="4"/>
        <v>#DIV/0!</v>
      </c>
      <c r="X20" s="459"/>
    </row>
    <row r="21" spans="1:24" s="3" customFormat="1" ht="11.25" x14ac:dyDescent="0.2">
      <c r="A21" s="457" t="s">
        <v>18</v>
      </c>
      <c r="B21" s="1085" t="s">
        <v>50</v>
      </c>
      <c r="C21" s="1085"/>
      <c r="D21" s="458" t="s">
        <v>25</v>
      </c>
      <c r="E21" s="459">
        <f t="shared" si="6"/>
        <v>148816</v>
      </c>
      <c r="F21" s="459">
        <f t="shared" si="6"/>
        <v>148816</v>
      </c>
      <c r="G21" s="459">
        <f t="shared" si="6"/>
        <v>148646</v>
      </c>
      <c r="H21" s="460">
        <f t="shared" si="0"/>
        <v>99.885764971508436</v>
      </c>
      <c r="I21" s="459">
        <v>105160</v>
      </c>
      <c r="J21" s="469">
        <v>0</v>
      </c>
      <c r="K21" s="459">
        <v>0</v>
      </c>
      <c r="L21" s="459">
        <v>0</v>
      </c>
      <c r="M21" s="460" t="e">
        <f t="shared" si="2"/>
        <v>#DIV/0!</v>
      </c>
      <c r="N21" s="459">
        <v>0</v>
      </c>
      <c r="O21" s="459">
        <v>148816</v>
      </c>
      <c r="P21" s="459">
        <v>148816</v>
      </c>
      <c r="Q21" s="459">
        <v>148646</v>
      </c>
      <c r="R21" s="460">
        <f t="shared" si="3"/>
        <v>99.885764971508436</v>
      </c>
      <c r="S21" s="459">
        <v>105160</v>
      </c>
      <c r="T21" s="459">
        <v>0</v>
      </c>
      <c r="U21" s="459">
        <v>0</v>
      </c>
      <c r="V21" s="459">
        <v>0</v>
      </c>
      <c r="W21" s="460" t="e">
        <f t="shared" si="4"/>
        <v>#DIV/0!</v>
      </c>
      <c r="X21" s="459"/>
    </row>
    <row r="22" spans="1:24" s="3" customFormat="1" ht="11.25" x14ac:dyDescent="0.2">
      <c r="A22" s="457" t="s">
        <v>19</v>
      </c>
      <c r="B22" s="1085" t="s">
        <v>65</v>
      </c>
      <c r="C22" s="1085"/>
      <c r="D22" s="458" t="s">
        <v>25</v>
      </c>
      <c r="E22" s="459">
        <f t="shared" si="6"/>
        <v>0</v>
      </c>
      <c r="F22" s="459">
        <f t="shared" si="6"/>
        <v>0</v>
      </c>
      <c r="G22" s="459">
        <f t="shared" si="6"/>
        <v>0</v>
      </c>
      <c r="H22" s="460" t="e">
        <f t="shared" si="0"/>
        <v>#DIV/0!</v>
      </c>
      <c r="I22" s="459">
        <f t="shared" si="6"/>
        <v>0</v>
      </c>
      <c r="J22" s="469">
        <v>0</v>
      </c>
      <c r="K22" s="459">
        <v>0</v>
      </c>
      <c r="L22" s="459">
        <v>0</v>
      </c>
      <c r="M22" s="460" t="e">
        <f t="shared" si="2"/>
        <v>#DIV/0!</v>
      </c>
      <c r="N22" s="459">
        <v>0</v>
      </c>
      <c r="O22" s="459">
        <v>0</v>
      </c>
      <c r="P22" s="459">
        <v>0</v>
      </c>
      <c r="Q22" s="459">
        <v>0</v>
      </c>
      <c r="R22" s="460" t="e">
        <f t="shared" si="3"/>
        <v>#DIV/0!</v>
      </c>
      <c r="S22" s="459">
        <v>0</v>
      </c>
      <c r="T22" s="459">
        <v>0</v>
      </c>
      <c r="U22" s="459">
        <v>0</v>
      </c>
      <c r="V22" s="459">
        <v>0</v>
      </c>
      <c r="W22" s="460" t="e">
        <f t="shared" si="4"/>
        <v>#DIV/0!</v>
      </c>
      <c r="X22" s="459"/>
    </row>
    <row r="23" spans="1:24" s="3" customFormat="1" ht="11.25" x14ac:dyDescent="0.2">
      <c r="A23" s="457" t="s">
        <v>20</v>
      </c>
      <c r="B23" s="465" t="s">
        <v>79</v>
      </c>
      <c r="C23" s="465"/>
      <c r="D23" s="458" t="s">
        <v>25</v>
      </c>
      <c r="E23" s="459">
        <f t="shared" si="6"/>
        <v>0</v>
      </c>
      <c r="F23" s="459">
        <f t="shared" si="6"/>
        <v>0</v>
      </c>
      <c r="G23" s="459">
        <f t="shared" si="6"/>
        <v>0</v>
      </c>
      <c r="H23" s="460" t="e">
        <f t="shared" si="0"/>
        <v>#DIV/0!</v>
      </c>
      <c r="I23" s="459">
        <f t="shared" si="6"/>
        <v>0</v>
      </c>
      <c r="J23" s="469">
        <v>0</v>
      </c>
      <c r="K23" s="459">
        <v>0</v>
      </c>
      <c r="L23" s="459">
        <v>0</v>
      </c>
      <c r="M23" s="460" t="e">
        <f t="shared" si="2"/>
        <v>#DIV/0!</v>
      </c>
      <c r="N23" s="459">
        <v>0</v>
      </c>
      <c r="O23" s="459">
        <v>0</v>
      </c>
      <c r="P23" s="459">
        <v>0</v>
      </c>
      <c r="Q23" s="459">
        <v>0</v>
      </c>
      <c r="R23" s="460" t="e">
        <f t="shared" si="3"/>
        <v>#DIV/0!</v>
      </c>
      <c r="S23" s="459">
        <v>0</v>
      </c>
      <c r="T23" s="459">
        <v>0</v>
      </c>
      <c r="U23" s="459">
        <v>0</v>
      </c>
      <c r="V23" s="459">
        <v>0</v>
      </c>
      <c r="W23" s="460" t="e">
        <f t="shared" si="4"/>
        <v>#DIV/0!</v>
      </c>
      <c r="X23" s="459"/>
    </row>
    <row r="24" spans="1:24" s="3" customFormat="1" ht="11.25" x14ac:dyDescent="0.2">
      <c r="A24" s="457" t="s">
        <v>21</v>
      </c>
      <c r="B24" s="465" t="s">
        <v>73</v>
      </c>
      <c r="C24" s="465"/>
      <c r="D24" s="458" t="s">
        <v>25</v>
      </c>
      <c r="E24" s="459">
        <f t="shared" si="6"/>
        <v>0</v>
      </c>
      <c r="F24" s="459">
        <f t="shared" si="6"/>
        <v>0</v>
      </c>
      <c r="G24" s="459">
        <f t="shared" si="6"/>
        <v>0</v>
      </c>
      <c r="H24" s="460" t="e">
        <f t="shared" si="0"/>
        <v>#DIV/0!</v>
      </c>
      <c r="I24" s="459">
        <f t="shared" si="6"/>
        <v>0</v>
      </c>
      <c r="J24" s="469">
        <v>0</v>
      </c>
      <c r="K24" s="459">
        <v>0</v>
      </c>
      <c r="L24" s="459">
        <v>0</v>
      </c>
      <c r="M24" s="460" t="e">
        <f t="shared" si="2"/>
        <v>#DIV/0!</v>
      </c>
      <c r="N24" s="459">
        <v>0</v>
      </c>
      <c r="O24" s="459">
        <v>0</v>
      </c>
      <c r="P24" s="459">
        <v>0</v>
      </c>
      <c r="Q24" s="459">
        <v>0</v>
      </c>
      <c r="R24" s="460" t="e">
        <f t="shared" si="3"/>
        <v>#DIV/0!</v>
      </c>
      <c r="S24" s="459">
        <v>0</v>
      </c>
      <c r="T24" s="459">
        <v>0</v>
      </c>
      <c r="U24" s="459">
        <v>0</v>
      </c>
      <c r="V24" s="459">
        <v>0</v>
      </c>
      <c r="W24" s="460" t="e">
        <f t="shared" si="4"/>
        <v>#DIV/0!</v>
      </c>
      <c r="X24" s="459"/>
    </row>
    <row r="25" spans="1:24" s="3" customFormat="1" ht="11.25" x14ac:dyDescent="0.2">
      <c r="A25" s="457" t="s">
        <v>22</v>
      </c>
      <c r="B25" s="465" t="s">
        <v>68</v>
      </c>
      <c r="C25" s="465"/>
      <c r="D25" s="458" t="s">
        <v>25</v>
      </c>
      <c r="E25" s="459">
        <f t="shared" si="6"/>
        <v>0</v>
      </c>
      <c r="F25" s="459">
        <f t="shared" si="6"/>
        <v>0</v>
      </c>
      <c r="G25" s="459">
        <f t="shared" si="6"/>
        <v>0</v>
      </c>
      <c r="H25" s="460" t="e">
        <f t="shared" si="0"/>
        <v>#DIV/0!</v>
      </c>
      <c r="I25" s="459">
        <f t="shared" si="6"/>
        <v>0</v>
      </c>
      <c r="J25" s="469">
        <v>0</v>
      </c>
      <c r="K25" s="470">
        <v>0</v>
      </c>
      <c r="L25" s="470">
        <v>0</v>
      </c>
      <c r="M25" s="460" t="e">
        <f t="shared" si="2"/>
        <v>#DIV/0!</v>
      </c>
      <c r="N25" s="471">
        <v>0</v>
      </c>
      <c r="O25" s="470">
        <v>0</v>
      </c>
      <c r="P25" s="470">
        <v>0</v>
      </c>
      <c r="Q25" s="470">
        <v>0</v>
      </c>
      <c r="R25" s="460" t="e">
        <f t="shared" si="3"/>
        <v>#DIV/0!</v>
      </c>
      <c r="S25" s="470">
        <v>0</v>
      </c>
      <c r="T25" s="470">
        <v>0</v>
      </c>
      <c r="U25" s="470">
        <v>0</v>
      </c>
      <c r="V25" s="470">
        <v>0</v>
      </c>
      <c r="W25" s="460" t="e">
        <f t="shared" si="4"/>
        <v>#DIV/0!</v>
      </c>
      <c r="X25" s="470"/>
    </row>
    <row r="26" spans="1:24" s="10" customFormat="1" ht="11.25" x14ac:dyDescent="0.2">
      <c r="A26" s="457" t="s">
        <v>23</v>
      </c>
      <c r="B26" s="1085" t="s">
        <v>69</v>
      </c>
      <c r="C26" s="1085"/>
      <c r="D26" s="458" t="s">
        <v>25</v>
      </c>
      <c r="E26" s="459">
        <f t="shared" si="6"/>
        <v>478004</v>
      </c>
      <c r="F26" s="459">
        <f t="shared" si="6"/>
        <v>499947</v>
      </c>
      <c r="G26" s="459">
        <f t="shared" si="6"/>
        <v>499947</v>
      </c>
      <c r="H26" s="474">
        <f>G26/F26*100</f>
        <v>100</v>
      </c>
      <c r="I26" s="459">
        <v>477478</v>
      </c>
      <c r="J26" s="469">
        <v>478004</v>
      </c>
      <c r="K26" s="471">
        <v>499947</v>
      </c>
      <c r="L26" s="471">
        <v>499947</v>
      </c>
      <c r="M26" s="460">
        <f>L26/K26*100</f>
        <v>100</v>
      </c>
      <c r="N26" s="471">
        <v>477478</v>
      </c>
      <c r="O26" s="471">
        <v>0</v>
      </c>
      <c r="P26" s="471">
        <v>0</v>
      </c>
      <c r="Q26" s="471">
        <v>0</v>
      </c>
      <c r="R26" s="460" t="e">
        <f>Q26/P26*100</f>
        <v>#DIV/0!</v>
      </c>
      <c r="S26" s="471">
        <v>0</v>
      </c>
      <c r="T26" s="459">
        <v>0</v>
      </c>
      <c r="U26" s="459">
        <v>0</v>
      </c>
      <c r="V26" s="459">
        <v>0</v>
      </c>
      <c r="W26" s="460" t="e">
        <f>V26/U26*100</f>
        <v>#DIV/0!</v>
      </c>
      <c r="X26" s="475"/>
    </row>
    <row r="27" spans="1:24" s="10" customFormat="1" ht="11.25" x14ac:dyDescent="0.2">
      <c r="A27" s="457" t="s">
        <v>45</v>
      </c>
      <c r="B27" s="465" t="s">
        <v>70</v>
      </c>
      <c r="C27" s="465"/>
      <c r="D27" s="458" t="s">
        <v>25</v>
      </c>
      <c r="E27" s="459">
        <f t="shared" si="6"/>
        <v>0</v>
      </c>
      <c r="F27" s="459">
        <f t="shared" si="6"/>
        <v>0</v>
      </c>
      <c r="G27" s="459">
        <f t="shared" si="6"/>
        <v>0</v>
      </c>
      <c r="H27" s="474" t="e">
        <f t="shared" si="0"/>
        <v>#DIV/0!</v>
      </c>
      <c r="I27" s="459">
        <f t="shared" si="6"/>
        <v>0</v>
      </c>
      <c r="J27" s="469">
        <v>0</v>
      </c>
      <c r="K27" s="471">
        <v>0</v>
      </c>
      <c r="L27" s="471">
        <v>0</v>
      </c>
      <c r="M27" s="460" t="e">
        <f t="shared" si="2"/>
        <v>#DIV/0!</v>
      </c>
      <c r="N27" s="459">
        <v>0</v>
      </c>
      <c r="O27" s="471">
        <v>0</v>
      </c>
      <c r="P27" s="471">
        <v>0</v>
      </c>
      <c r="Q27" s="471">
        <v>0</v>
      </c>
      <c r="R27" s="460" t="e">
        <f t="shared" si="3"/>
        <v>#DIV/0!</v>
      </c>
      <c r="S27" s="471">
        <v>0</v>
      </c>
      <c r="T27" s="459">
        <v>0</v>
      </c>
      <c r="U27" s="459">
        <v>0</v>
      </c>
      <c r="V27" s="459">
        <v>0</v>
      </c>
      <c r="W27" s="460" t="e">
        <f t="shared" si="4"/>
        <v>#DIV/0!</v>
      </c>
      <c r="X27" s="475"/>
    </row>
    <row r="28" spans="1:24" s="10" customFormat="1" ht="11.25" x14ac:dyDescent="0.2">
      <c r="A28" s="457" t="s">
        <v>51</v>
      </c>
      <c r="B28" s="465" t="s">
        <v>74</v>
      </c>
      <c r="C28" s="465"/>
      <c r="D28" s="458" t="s">
        <v>25</v>
      </c>
      <c r="E28" s="459">
        <f>SUM(J28,O28)</f>
        <v>519671</v>
      </c>
      <c r="F28" s="459">
        <f>SUM(K28,P28)</f>
        <v>452728</v>
      </c>
      <c r="G28" s="459">
        <f>SUM(L28,Q28)</f>
        <v>374404</v>
      </c>
      <c r="H28" s="474">
        <f>G28/F28*100</f>
        <v>82.699545864183349</v>
      </c>
      <c r="I28" s="459">
        <v>513321</v>
      </c>
      <c r="J28" s="469">
        <v>479850</v>
      </c>
      <c r="K28" s="471">
        <v>412907</v>
      </c>
      <c r="L28" s="471">
        <v>334583</v>
      </c>
      <c r="M28" s="460">
        <f>L28/K28*100</f>
        <v>81.031079637787684</v>
      </c>
      <c r="N28" s="459">
        <v>513321</v>
      </c>
      <c r="O28" s="471">
        <v>39821</v>
      </c>
      <c r="P28" s="471">
        <v>39821</v>
      </c>
      <c r="Q28" s="471">
        <v>39821</v>
      </c>
      <c r="R28" s="460">
        <f>Q28/P28*100</f>
        <v>100</v>
      </c>
      <c r="S28" s="471">
        <v>0</v>
      </c>
      <c r="T28" s="459">
        <v>0</v>
      </c>
      <c r="U28" s="459">
        <v>0</v>
      </c>
      <c r="V28" s="459">
        <v>0</v>
      </c>
      <c r="W28" s="460" t="e">
        <f>V28/U28*100</f>
        <v>#DIV/0!</v>
      </c>
      <c r="X28" s="475"/>
    </row>
    <row r="29" spans="1:24" s="12" customFormat="1" ht="11.25" x14ac:dyDescent="0.2">
      <c r="A29" s="457" t="s">
        <v>52</v>
      </c>
      <c r="B29" s="465" t="s">
        <v>67</v>
      </c>
      <c r="C29" s="465"/>
      <c r="D29" s="458" t="s">
        <v>25</v>
      </c>
      <c r="E29" s="459">
        <f t="shared" si="6"/>
        <v>229</v>
      </c>
      <c r="F29" s="459">
        <f t="shared" si="6"/>
        <v>228</v>
      </c>
      <c r="G29" s="459">
        <f t="shared" si="6"/>
        <v>228</v>
      </c>
      <c r="H29" s="474">
        <f t="shared" si="0"/>
        <v>100</v>
      </c>
      <c r="I29" s="459">
        <v>228</v>
      </c>
      <c r="J29" s="469">
        <v>229</v>
      </c>
      <c r="K29" s="471">
        <v>228</v>
      </c>
      <c r="L29" s="471">
        <v>228</v>
      </c>
      <c r="M29" s="460">
        <f t="shared" si="2"/>
        <v>100</v>
      </c>
      <c r="N29" s="471">
        <v>228</v>
      </c>
      <c r="O29" s="471">
        <v>0</v>
      </c>
      <c r="P29" s="471">
        <v>0</v>
      </c>
      <c r="Q29" s="471">
        <v>0</v>
      </c>
      <c r="R29" s="460" t="e">
        <f t="shared" si="3"/>
        <v>#DIV/0!</v>
      </c>
      <c r="S29" s="471">
        <v>0</v>
      </c>
      <c r="T29" s="459">
        <v>0</v>
      </c>
      <c r="U29" s="459">
        <v>0</v>
      </c>
      <c r="V29" s="459">
        <v>0</v>
      </c>
      <c r="W29" s="460" t="e">
        <f t="shared" si="4"/>
        <v>#DIV/0!</v>
      </c>
      <c r="X29" s="475"/>
    </row>
    <row r="30" spans="1:24" s="3" customFormat="1" ht="11.25" x14ac:dyDescent="0.2">
      <c r="A30" s="457" t="s">
        <v>54</v>
      </c>
      <c r="B30" s="465" t="s">
        <v>53</v>
      </c>
      <c r="C30" s="465"/>
      <c r="D30" s="458" t="s">
        <v>25</v>
      </c>
      <c r="E30" s="459">
        <f t="shared" ref="E30:G31" si="7">SUM(J30,O30)</f>
        <v>0</v>
      </c>
      <c r="F30" s="459">
        <f t="shared" si="7"/>
        <v>0</v>
      </c>
      <c r="G30" s="459">
        <f t="shared" si="7"/>
        <v>0</v>
      </c>
      <c r="H30" s="474" t="e">
        <f t="shared" si="0"/>
        <v>#DIV/0!</v>
      </c>
      <c r="I30" s="459">
        <f>SUM(N30,S30)</f>
        <v>0</v>
      </c>
      <c r="J30" s="469">
        <v>0</v>
      </c>
      <c r="K30" s="471">
        <v>0</v>
      </c>
      <c r="L30" s="471">
        <v>0</v>
      </c>
      <c r="M30" s="460" t="e">
        <f t="shared" si="2"/>
        <v>#DIV/0!</v>
      </c>
      <c r="N30" s="471">
        <v>0</v>
      </c>
      <c r="O30" s="471"/>
      <c r="P30" s="471"/>
      <c r="Q30" s="471"/>
      <c r="R30" s="460" t="e">
        <f t="shared" si="3"/>
        <v>#DIV/0!</v>
      </c>
      <c r="S30" s="471">
        <v>0</v>
      </c>
      <c r="T30" s="470">
        <v>0</v>
      </c>
      <c r="U30" s="470">
        <v>0</v>
      </c>
      <c r="V30" s="470">
        <v>0</v>
      </c>
      <c r="W30" s="460" t="e">
        <f t="shared" si="4"/>
        <v>#DIV/0!</v>
      </c>
      <c r="X30" s="475"/>
    </row>
    <row r="31" spans="1:24" s="31" customFormat="1" ht="11.25" x14ac:dyDescent="0.2">
      <c r="A31" s="457" t="s">
        <v>55</v>
      </c>
      <c r="B31" s="465" t="s">
        <v>71</v>
      </c>
      <c r="C31" s="465"/>
      <c r="D31" s="458" t="s">
        <v>25</v>
      </c>
      <c r="E31" s="459">
        <f t="shared" si="7"/>
        <v>0</v>
      </c>
      <c r="F31" s="459">
        <f t="shared" si="7"/>
        <v>0</v>
      </c>
      <c r="G31" s="459">
        <f t="shared" si="7"/>
        <v>0</v>
      </c>
      <c r="H31" s="474" t="e">
        <f t="shared" si="0"/>
        <v>#DIV/0!</v>
      </c>
      <c r="I31" s="459">
        <f>SUM(N31,S31)</f>
        <v>0</v>
      </c>
      <c r="J31" s="469">
        <v>0</v>
      </c>
      <c r="K31" s="476">
        <v>0</v>
      </c>
      <c r="L31" s="476">
        <v>0</v>
      </c>
      <c r="M31" s="460" t="e">
        <f t="shared" si="2"/>
        <v>#DIV/0!</v>
      </c>
      <c r="N31" s="476">
        <v>0</v>
      </c>
      <c r="O31" s="476">
        <v>0</v>
      </c>
      <c r="P31" s="476">
        <v>0</v>
      </c>
      <c r="Q31" s="476">
        <v>0</v>
      </c>
      <c r="R31" s="460" t="e">
        <f t="shared" si="3"/>
        <v>#DIV/0!</v>
      </c>
      <c r="S31" s="476">
        <v>0</v>
      </c>
      <c r="T31" s="459">
        <v>0</v>
      </c>
      <c r="U31" s="459">
        <v>0</v>
      </c>
      <c r="V31" s="459">
        <v>0</v>
      </c>
      <c r="W31" s="460" t="e">
        <f t="shared" si="4"/>
        <v>#DIV/0!</v>
      </c>
      <c r="X31" s="477"/>
    </row>
    <row r="32" spans="1:24" s="31" customFormat="1" ht="11.25" x14ac:dyDescent="0.2">
      <c r="A32" s="457" t="s">
        <v>56</v>
      </c>
      <c r="B32" s="465" t="s">
        <v>72</v>
      </c>
      <c r="C32" s="465"/>
      <c r="D32" s="458" t="s">
        <v>25</v>
      </c>
      <c r="E32" s="459">
        <f>SUM(J32,O32)</f>
        <v>0</v>
      </c>
      <c r="F32" s="459">
        <f>SUM(K32,P32)</f>
        <v>0</v>
      </c>
      <c r="G32" s="459">
        <f>SUM(L32,Q32)</f>
        <v>0</v>
      </c>
      <c r="H32" s="474" t="e">
        <f t="shared" si="0"/>
        <v>#DIV/0!</v>
      </c>
      <c r="I32" s="459">
        <f>SUM(N32,S32)</f>
        <v>0</v>
      </c>
      <c r="J32" s="478">
        <v>0</v>
      </c>
      <c r="K32" s="477">
        <v>0</v>
      </c>
      <c r="L32" s="477">
        <v>0</v>
      </c>
      <c r="M32" s="460" t="e">
        <f t="shared" si="2"/>
        <v>#DIV/0!</v>
      </c>
      <c r="N32" s="477">
        <v>0</v>
      </c>
      <c r="O32" s="477">
        <v>0</v>
      </c>
      <c r="P32" s="477">
        <v>0</v>
      </c>
      <c r="Q32" s="477">
        <v>0</v>
      </c>
      <c r="R32" s="460" t="e">
        <f t="shared" si="3"/>
        <v>#DIV/0!</v>
      </c>
      <c r="S32" s="477">
        <v>0</v>
      </c>
      <c r="T32" s="470">
        <v>0</v>
      </c>
      <c r="U32" s="470">
        <v>0</v>
      </c>
      <c r="V32" s="470">
        <v>0</v>
      </c>
      <c r="W32" s="460" t="e">
        <f t="shared" si="4"/>
        <v>#DIV/0!</v>
      </c>
      <c r="X32" s="477"/>
    </row>
    <row r="33" spans="1:24" s="31" customFormat="1" ht="11.25" x14ac:dyDescent="0.2">
      <c r="A33" s="453" t="s">
        <v>57</v>
      </c>
      <c r="B33" s="479" t="s">
        <v>80</v>
      </c>
      <c r="C33" s="479"/>
      <c r="D33" s="454" t="s">
        <v>25</v>
      </c>
      <c r="E33" s="455">
        <f>E6-E11</f>
        <v>0</v>
      </c>
      <c r="F33" s="455">
        <f>F6-F11</f>
        <v>0</v>
      </c>
      <c r="G33" s="455">
        <f>G6-G11</f>
        <v>177633</v>
      </c>
      <c r="H33" s="480" t="e">
        <f t="shared" si="0"/>
        <v>#DIV/0!</v>
      </c>
      <c r="I33" s="455">
        <f>I6-I11</f>
        <v>184696</v>
      </c>
      <c r="J33" s="455">
        <f>J6-J11</f>
        <v>0</v>
      </c>
      <c r="K33" s="455">
        <f>K6-K11</f>
        <v>0</v>
      </c>
      <c r="L33" s="455">
        <f>L6-L11</f>
        <v>177633</v>
      </c>
      <c r="M33" s="456" t="e">
        <f t="shared" si="2"/>
        <v>#DIV/0!</v>
      </c>
      <c r="N33" s="455">
        <f>N6-N11</f>
        <v>184696</v>
      </c>
      <c r="O33" s="455">
        <f>O6-O11</f>
        <v>0</v>
      </c>
      <c r="P33" s="455">
        <f>P6-P11</f>
        <v>0</v>
      </c>
      <c r="Q33" s="455">
        <f>Q6-Q11</f>
        <v>0</v>
      </c>
      <c r="R33" s="456" t="e">
        <f t="shared" si="3"/>
        <v>#DIV/0!</v>
      </c>
      <c r="S33" s="455">
        <f>S6-S11</f>
        <v>0</v>
      </c>
      <c r="T33" s="455">
        <f>T6-T11</f>
        <v>0</v>
      </c>
      <c r="U33" s="455">
        <f>U6-U11</f>
        <v>0</v>
      </c>
      <c r="V33" s="455">
        <f>V6-V11</f>
        <v>0</v>
      </c>
      <c r="W33" s="456" t="e">
        <f t="shared" si="4"/>
        <v>#DIV/0!</v>
      </c>
      <c r="X33" s="455">
        <f>X6-X11</f>
        <v>0</v>
      </c>
    </row>
    <row r="34" spans="1:24" s="37" customFormat="1" ht="11.25" x14ac:dyDescent="0.2">
      <c r="A34" s="481" t="s">
        <v>59</v>
      </c>
      <c r="B34" s="1093" t="s">
        <v>24</v>
      </c>
      <c r="C34" s="1093"/>
      <c r="D34" s="482" t="s">
        <v>25</v>
      </c>
      <c r="E34" s="483">
        <v>19768</v>
      </c>
      <c r="F34" s="483">
        <v>19768</v>
      </c>
      <c r="G34" s="483">
        <v>19745</v>
      </c>
      <c r="H34" s="474">
        <f t="shared" si="0"/>
        <v>99.883650343990283</v>
      </c>
      <c r="I34" s="483">
        <v>19038</v>
      </c>
      <c r="J34" s="484">
        <v>0</v>
      </c>
      <c r="K34" s="484">
        <v>0</v>
      </c>
      <c r="L34" s="484">
        <v>0</v>
      </c>
      <c r="M34" s="456" t="e">
        <f t="shared" si="2"/>
        <v>#DIV/0!</v>
      </c>
      <c r="N34" s="484">
        <v>0</v>
      </c>
      <c r="O34" s="483">
        <v>19768</v>
      </c>
      <c r="P34" s="483">
        <v>19768</v>
      </c>
      <c r="Q34" s="483">
        <v>19745</v>
      </c>
      <c r="R34" s="456">
        <f t="shared" si="3"/>
        <v>99.883650343990283</v>
      </c>
      <c r="S34" s="483">
        <v>19038</v>
      </c>
      <c r="T34" s="484">
        <v>0</v>
      </c>
      <c r="U34" s="484">
        <v>0</v>
      </c>
      <c r="V34" s="484">
        <v>0</v>
      </c>
      <c r="W34" s="456" t="e">
        <f t="shared" si="4"/>
        <v>#DIV/0!</v>
      </c>
      <c r="X34" s="484"/>
    </row>
    <row r="35" spans="1:24" s="37" customFormat="1" ht="11.25" x14ac:dyDescent="0.2">
      <c r="A35" s="485" t="s">
        <v>60</v>
      </c>
      <c r="B35" s="1087" t="s">
        <v>33</v>
      </c>
      <c r="C35" s="1087"/>
      <c r="D35" s="485" t="s">
        <v>26</v>
      </c>
      <c r="E35" s="483">
        <v>27</v>
      </c>
      <c r="F35" s="483">
        <v>27</v>
      </c>
      <c r="G35" s="483">
        <v>27</v>
      </c>
      <c r="H35" s="474">
        <f t="shared" si="0"/>
        <v>100</v>
      </c>
      <c r="I35" s="483">
        <v>27</v>
      </c>
      <c r="J35" s="484">
        <v>0</v>
      </c>
      <c r="K35" s="486">
        <v>0</v>
      </c>
      <c r="L35" s="484">
        <v>0</v>
      </c>
      <c r="M35" s="456" t="e">
        <f t="shared" si="2"/>
        <v>#DIV/0!</v>
      </c>
      <c r="N35" s="484">
        <v>0</v>
      </c>
      <c r="O35" s="483">
        <v>27</v>
      </c>
      <c r="P35" s="483">
        <v>27</v>
      </c>
      <c r="Q35" s="483">
        <v>27</v>
      </c>
      <c r="R35" s="456">
        <f t="shared" si="3"/>
        <v>100</v>
      </c>
      <c r="S35" s="483">
        <v>27</v>
      </c>
      <c r="T35" s="484">
        <v>0</v>
      </c>
      <c r="U35" s="484">
        <v>0</v>
      </c>
      <c r="V35" s="484">
        <v>0</v>
      </c>
      <c r="W35" s="456" t="e">
        <f t="shared" si="4"/>
        <v>#DIV/0!</v>
      </c>
      <c r="X35" s="484"/>
    </row>
    <row r="36" spans="1:24" s="37" customFormat="1" ht="11.25" x14ac:dyDescent="0.2">
      <c r="A36" s="481" t="s">
        <v>61</v>
      </c>
      <c r="B36" s="1093" t="s">
        <v>27</v>
      </c>
      <c r="C36" s="1093"/>
      <c r="D36" s="482" t="s">
        <v>26</v>
      </c>
      <c r="E36" s="483">
        <v>30</v>
      </c>
      <c r="F36" s="483">
        <v>30</v>
      </c>
      <c r="G36" s="483">
        <v>30</v>
      </c>
      <c r="H36" s="474">
        <f t="shared" si="0"/>
        <v>100</v>
      </c>
      <c r="I36" s="483">
        <v>29</v>
      </c>
      <c r="J36" s="484">
        <v>0</v>
      </c>
      <c r="K36" s="486">
        <v>0</v>
      </c>
      <c r="L36" s="484">
        <v>0</v>
      </c>
      <c r="M36" s="456" t="e">
        <f t="shared" si="2"/>
        <v>#DIV/0!</v>
      </c>
      <c r="N36" s="484">
        <v>0</v>
      </c>
      <c r="O36" s="483">
        <v>30</v>
      </c>
      <c r="P36" s="483">
        <v>30</v>
      </c>
      <c r="Q36" s="483">
        <v>30</v>
      </c>
      <c r="R36" s="456">
        <f t="shared" si="3"/>
        <v>100</v>
      </c>
      <c r="S36" s="483">
        <v>29</v>
      </c>
      <c r="T36" s="484">
        <v>0</v>
      </c>
      <c r="U36" s="484">
        <v>0</v>
      </c>
      <c r="V36" s="484">
        <v>0</v>
      </c>
      <c r="W36" s="456" t="e">
        <f t="shared" si="4"/>
        <v>#DIV/0!</v>
      </c>
      <c r="X36" s="484"/>
    </row>
    <row r="37" spans="1:24" ht="11.25" x14ac:dyDescent="0.15">
      <c r="A37" s="451"/>
      <c r="B37" s="122"/>
      <c r="C37" s="122"/>
      <c r="D37" s="122"/>
      <c r="E37" s="122"/>
      <c r="F37" s="122"/>
      <c r="G37" s="122"/>
      <c r="H37" s="122"/>
      <c r="I37" s="122"/>
      <c r="J37" s="122"/>
      <c r="K37" s="122"/>
      <c r="L37" s="122"/>
      <c r="M37" s="122"/>
      <c r="N37" s="122"/>
      <c r="O37" s="122"/>
      <c r="P37" s="122"/>
      <c r="Q37" s="122"/>
      <c r="R37" s="122"/>
      <c r="S37" s="122"/>
      <c r="T37" s="122"/>
      <c r="U37" s="122"/>
      <c r="V37" s="122"/>
      <c r="W37" s="122"/>
      <c r="X37" s="122"/>
    </row>
    <row r="38" spans="1:24" ht="11.25" x14ac:dyDescent="0.15">
      <c r="A38" s="451"/>
      <c r="B38" s="122"/>
      <c r="C38" s="122"/>
      <c r="D38" s="122"/>
      <c r="E38" s="122"/>
      <c r="F38" s="122"/>
      <c r="G38" s="122"/>
      <c r="H38" s="122"/>
      <c r="I38" s="122"/>
      <c r="J38" s="122"/>
      <c r="K38" s="122"/>
      <c r="L38" s="122"/>
      <c r="M38" s="122"/>
      <c r="N38" s="122"/>
      <c r="O38" s="122"/>
      <c r="P38" s="122"/>
      <c r="Q38" s="122"/>
      <c r="R38" s="122"/>
      <c r="S38" s="122"/>
      <c r="T38" s="122"/>
      <c r="U38" s="122"/>
      <c r="V38" s="122"/>
      <c r="W38" s="122"/>
      <c r="X38" s="122"/>
    </row>
    <row r="54" spans="11:11" customFormat="1" ht="11.25" x14ac:dyDescent="0.15">
      <c r="K54" s="996"/>
    </row>
  </sheetData>
  <mergeCells count="38">
    <mergeCell ref="B36:C36"/>
    <mergeCell ref="B20:C20"/>
    <mergeCell ref="B6:C6"/>
    <mergeCell ref="B7:C7"/>
    <mergeCell ref="B8:C8"/>
    <mergeCell ref="B10:C10"/>
    <mergeCell ref="B11:C11"/>
    <mergeCell ref="B12:C12"/>
    <mergeCell ref="B13:C13"/>
    <mergeCell ref="B15:C15"/>
    <mergeCell ref="B16:C16"/>
    <mergeCell ref="B18:C18"/>
    <mergeCell ref="B34:C34"/>
    <mergeCell ref="B19:C19"/>
    <mergeCell ref="B21:C21"/>
    <mergeCell ref="B22:C22"/>
    <mergeCell ref="E4:E5"/>
    <mergeCell ref="K4:M4"/>
    <mergeCell ref="N4:N5"/>
    <mergeCell ref="O4:O5"/>
    <mergeCell ref="P4:R4"/>
    <mergeCell ref="I4:I5"/>
    <mergeCell ref="F4:H4"/>
    <mergeCell ref="B26:C26"/>
    <mergeCell ref="J4:J5"/>
    <mergeCell ref="B35:C35"/>
    <mergeCell ref="A1:X1"/>
    <mergeCell ref="T3:X3"/>
    <mergeCell ref="T4:T5"/>
    <mergeCell ref="U4:W4"/>
    <mergeCell ref="X4:X5"/>
    <mergeCell ref="S4:S5"/>
    <mergeCell ref="A3:A5"/>
    <mergeCell ref="B3:C5"/>
    <mergeCell ref="D3:D5"/>
    <mergeCell ref="E3:I3"/>
    <mergeCell ref="J3:N3"/>
    <mergeCell ref="O3:S3"/>
  </mergeCells>
  <pageMargins left="0.70866141732283472" right="0.70866141732283472" top="0.78740157480314965" bottom="0.78740157480314965" header="0.31496062992125984" footer="0.31496062992125984"/>
  <pageSetup paperSize="9" scale="72" firstPageNumber="84" orientation="landscape" useFirstPageNumber="1" r:id="rId1"/>
  <headerFoot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9"/>
  <sheetViews>
    <sheetView workbookViewId="0">
      <selection activeCell="A107" sqref="A107:XFD107"/>
    </sheetView>
  </sheetViews>
  <sheetFormatPr defaultRowHeight="12" x14ac:dyDescent="0.2"/>
  <cols>
    <col min="1" max="1" width="58" style="862" customWidth="1"/>
    <col min="2" max="2" width="33.5" style="862" customWidth="1"/>
    <col min="3" max="5" width="25.75" style="862" customWidth="1"/>
    <col min="6" max="6" width="22.75" style="862" customWidth="1"/>
    <col min="7" max="7" width="17.5" style="862" customWidth="1"/>
    <col min="8" max="8" width="4.5" style="862" customWidth="1"/>
    <col min="9" max="16384" width="10" style="862"/>
  </cols>
  <sheetData>
    <row r="1" spans="1:9" s="861" customFormat="1" ht="18.75" x14ac:dyDescent="0.3">
      <c r="A1" s="425" t="s">
        <v>92</v>
      </c>
      <c r="B1" s="425" t="s">
        <v>1067</v>
      </c>
      <c r="C1" s="425"/>
      <c r="D1" s="425"/>
      <c r="E1" s="425"/>
    </row>
    <row r="2" spans="1:9" x14ac:dyDescent="0.2">
      <c r="B2" s="862" t="s">
        <v>1068</v>
      </c>
    </row>
    <row r="3" spans="1:9" s="861" customFormat="1" x14ac:dyDescent="0.2">
      <c r="A3" s="1442" t="s">
        <v>354</v>
      </c>
      <c r="B3" s="1442"/>
      <c r="C3" s="1442"/>
      <c r="D3" s="1442"/>
      <c r="E3" s="1442"/>
      <c r="F3" s="1442"/>
      <c r="G3" s="1442"/>
      <c r="H3" s="1442"/>
      <c r="I3" s="1442"/>
    </row>
    <row r="5" spans="1:9" s="864" customFormat="1" x14ac:dyDescent="0.2">
      <c r="A5" s="1461" t="s">
        <v>93</v>
      </c>
      <c r="B5" s="1462"/>
      <c r="C5" s="863" t="s">
        <v>25</v>
      </c>
      <c r="D5" s="1463" t="s">
        <v>355</v>
      </c>
      <c r="E5" s="1463"/>
      <c r="F5" s="1463"/>
      <c r="G5" s="1463"/>
      <c r="H5" s="1463"/>
      <c r="I5" s="1463"/>
    </row>
    <row r="6" spans="1:9" ht="15" customHeight="1" x14ac:dyDescent="0.2">
      <c r="A6" s="1466" t="s">
        <v>356</v>
      </c>
      <c r="B6" s="1466"/>
      <c r="C6" s="865">
        <f>SUM(C7:C9)</f>
        <v>393383.14</v>
      </c>
      <c r="D6" s="1467"/>
      <c r="E6" s="1468"/>
      <c r="F6" s="1468"/>
      <c r="G6" s="1468"/>
      <c r="H6" s="1468"/>
      <c r="I6" s="1468"/>
    </row>
    <row r="7" spans="1:9" ht="47.25" customHeight="1" x14ac:dyDescent="0.2">
      <c r="A7" s="1469" t="s">
        <v>94</v>
      </c>
      <c r="B7" s="1470"/>
      <c r="C7" s="866">
        <v>232303.21</v>
      </c>
      <c r="D7" s="1471" t="s">
        <v>1069</v>
      </c>
      <c r="E7" s="1472"/>
      <c r="F7" s="1472"/>
      <c r="G7" s="1472"/>
      <c r="H7" s="1472"/>
      <c r="I7" s="1473"/>
    </row>
    <row r="8" spans="1:9" s="861" customFormat="1" ht="27" customHeight="1" x14ac:dyDescent="0.2">
      <c r="A8" s="1474" t="s">
        <v>95</v>
      </c>
      <c r="B8" s="1475"/>
      <c r="C8" s="867">
        <v>161079.93</v>
      </c>
      <c r="D8" s="1471" t="s">
        <v>1070</v>
      </c>
      <c r="E8" s="1472"/>
      <c r="F8" s="1472"/>
      <c r="G8" s="1472"/>
      <c r="H8" s="1472"/>
      <c r="I8" s="1473"/>
    </row>
    <row r="9" spans="1:9" s="861" customFormat="1" ht="15" customHeight="1" x14ac:dyDescent="0.2">
      <c r="A9" s="1474" t="s">
        <v>96</v>
      </c>
      <c r="B9" s="1475"/>
      <c r="C9" s="868"/>
      <c r="D9" s="1476"/>
      <c r="E9" s="1477"/>
      <c r="F9" s="1477"/>
      <c r="G9" s="1477"/>
      <c r="H9" s="1477"/>
      <c r="I9" s="1478"/>
    </row>
    <row r="10" spans="1:9" x14ac:dyDescent="0.2">
      <c r="C10" s="869"/>
    </row>
    <row r="11" spans="1:9" x14ac:dyDescent="0.2">
      <c r="A11" s="1442" t="s">
        <v>359</v>
      </c>
      <c r="B11" s="1442"/>
      <c r="C11" s="1442"/>
      <c r="D11" s="1442"/>
      <c r="E11" s="1442"/>
      <c r="F11" s="1442"/>
      <c r="G11" s="1442"/>
      <c r="H11" s="1442"/>
      <c r="I11" s="1442"/>
    </row>
    <row r="12" spans="1:9" x14ac:dyDescent="0.2">
      <c r="C12" s="869"/>
      <c r="D12" s="870"/>
      <c r="E12" s="870"/>
      <c r="F12" s="870"/>
      <c r="G12" s="870"/>
      <c r="H12" s="870"/>
      <c r="I12" s="870"/>
    </row>
    <row r="13" spans="1:9" x14ac:dyDescent="0.2">
      <c r="A13" s="863" t="s">
        <v>93</v>
      </c>
      <c r="B13" s="863" t="s">
        <v>97</v>
      </c>
      <c r="C13" s="863" t="s">
        <v>25</v>
      </c>
      <c r="D13" s="871"/>
      <c r="E13" s="872"/>
      <c r="F13" s="872"/>
      <c r="G13" s="872"/>
      <c r="H13" s="872"/>
      <c r="I13" s="872"/>
    </row>
    <row r="14" spans="1:9" ht="15" customHeight="1" x14ac:dyDescent="0.2">
      <c r="A14" s="873" t="s">
        <v>98</v>
      </c>
      <c r="B14" s="874"/>
      <c r="C14" s="875"/>
      <c r="D14" s="876"/>
      <c r="E14" s="877"/>
      <c r="F14" s="877"/>
      <c r="G14" s="877"/>
      <c r="H14" s="877"/>
      <c r="I14" s="877"/>
    </row>
    <row r="15" spans="1:9" ht="15" customHeight="1" x14ac:dyDescent="0.2">
      <c r="A15" s="1464" t="s">
        <v>99</v>
      </c>
      <c r="B15" s="878" t="s">
        <v>100</v>
      </c>
      <c r="C15" s="879">
        <f>157303.21+86079.93</f>
        <v>243383.13999999998</v>
      </c>
      <c r="D15" s="880"/>
      <c r="E15" s="881"/>
      <c r="F15" s="881"/>
      <c r="G15" s="881"/>
      <c r="H15" s="881"/>
      <c r="I15" s="881"/>
    </row>
    <row r="16" spans="1:9" ht="15" customHeight="1" x14ac:dyDescent="0.2">
      <c r="A16" s="1465"/>
      <c r="B16" s="882" t="s">
        <v>100</v>
      </c>
      <c r="C16" s="883"/>
      <c r="D16" s="880"/>
      <c r="E16" s="881"/>
      <c r="F16" s="881"/>
      <c r="G16" s="881"/>
      <c r="H16" s="881"/>
      <c r="I16" s="881"/>
    </row>
    <row r="17" spans="1:9" ht="15" customHeight="1" x14ac:dyDescent="0.2">
      <c r="A17" s="1465"/>
      <c r="B17" s="882" t="s">
        <v>101</v>
      </c>
      <c r="C17" s="884">
        <v>150000</v>
      </c>
      <c r="D17" s="885"/>
      <c r="E17" s="886"/>
      <c r="F17" s="886"/>
      <c r="G17" s="886"/>
      <c r="H17" s="886"/>
      <c r="I17" s="886"/>
    </row>
    <row r="18" spans="1:9" ht="15" customHeight="1" x14ac:dyDescent="0.2">
      <c r="A18" s="887" t="s">
        <v>356</v>
      </c>
      <c r="B18" s="888"/>
      <c r="C18" s="889">
        <f>SUM(C14:C17)</f>
        <v>393383.14</v>
      </c>
      <c r="D18" s="890"/>
      <c r="E18" s="890"/>
      <c r="F18" s="890"/>
      <c r="G18" s="890"/>
      <c r="H18" s="890"/>
      <c r="I18" s="890"/>
    </row>
    <row r="19" spans="1:9" s="892" customFormat="1" x14ac:dyDescent="0.2">
      <c r="A19" s="891"/>
      <c r="C19" s="893"/>
      <c r="D19" s="894"/>
      <c r="E19" s="894"/>
      <c r="F19" s="894"/>
      <c r="G19" s="894"/>
      <c r="H19" s="894"/>
      <c r="I19" s="894"/>
    </row>
    <row r="20" spans="1:9" x14ac:dyDescent="0.2">
      <c r="A20" s="1442" t="s">
        <v>360</v>
      </c>
      <c r="B20" s="1442"/>
      <c r="C20" s="1442"/>
      <c r="D20" s="1442"/>
      <c r="E20" s="1442"/>
      <c r="F20" s="1442"/>
      <c r="G20" s="1442"/>
      <c r="H20" s="1442"/>
      <c r="I20" s="1442"/>
    </row>
    <row r="21" spans="1:9" x14ac:dyDescent="0.2">
      <c r="C21" s="869"/>
    </row>
    <row r="22" spans="1:9" s="896" customFormat="1" x14ac:dyDescent="0.2">
      <c r="A22" s="863" t="s">
        <v>97</v>
      </c>
      <c r="B22" s="863" t="s">
        <v>361</v>
      </c>
      <c r="C22" s="895" t="s">
        <v>362</v>
      </c>
      <c r="D22" s="863" t="s">
        <v>363</v>
      </c>
      <c r="E22" s="863" t="s">
        <v>364</v>
      </c>
      <c r="F22" s="1463" t="s">
        <v>365</v>
      </c>
      <c r="G22" s="1463"/>
      <c r="H22" s="1463"/>
      <c r="I22" s="1463"/>
    </row>
    <row r="23" spans="1:9" ht="66" customHeight="1" x14ac:dyDescent="0.2">
      <c r="A23" s="897" t="s">
        <v>102</v>
      </c>
      <c r="B23" s="374">
        <f>238678.81+441.99</f>
        <v>239120.8</v>
      </c>
      <c r="C23" s="374">
        <f>84063.17+30000</f>
        <v>114063.17</v>
      </c>
      <c r="D23" s="374">
        <f>118185.04+30000</f>
        <v>148185.03999999998</v>
      </c>
      <c r="E23" s="898">
        <f>B23+C23-D23</f>
        <v>204998.93</v>
      </c>
      <c r="F23" s="1485" t="s">
        <v>1071</v>
      </c>
      <c r="G23" s="1486"/>
      <c r="H23" s="1486"/>
      <c r="I23" s="1487"/>
    </row>
    <row r="24" spans="1:9" ht="75" customHeight="1" x14ac:dyDescent="0.2">
      <c r="A24" s="878" t="s">
        <v>103</v>
      </c>
      <c r="B24" s="375">
        <v>807373.99</v>
      </c>
      <c r="C24" s="375">
        <f>2236758+4200</f>
        <v>2240958</v>
      </c>
      <c r="D24" s="375">
        <f>382098+1702870</f>
        <v>2084968</v>
      </c>
      <c r="E24" s="899">
        <f t="shared" ref="E24:E26" si="0">B24+C24-D24</f>
        <v>963363.99000000022</v>
      </c>
      <c r="F24" s="1488" t="s">
        <v>1072</v>
      </c>
      <c r="G24" s="1489"/>
      <c r="H24" s="1489"/>
      <c r="I24" s="1490"/>
    </row>
    <row r="25" spans="1:9" ht="24.75" customHeight="1" x14ac:dyDescent="0.2">
      <c r="A25" s="878" t="s">
        <v>101</v>
      </c>
      <c r="B25" s="375">
        <v>518.61</v>
      </c>
      <c r="C25" s="375">
        <v>100000</v>
      </c>
      <c r="D25" s="375">
        <v>100100</v>
      </c>
      <c r="E25" s="899">
        <f t="shared" si="0"/>
        <v>418.61000000000058</v>
      </c>
      <c r="F25" s="1491" t="s">
        <v>1073</v>
      </c>
      <c r="G25" s="1492"/>
      <c r="H25" s="1492"/>
      <c r="I25" s="1493"/>
    </row>
    <row r="26" spans="1:9" ht="36.75" customHeight="1" x14ac:dyDescent="0.2">
      <c r="A26" s="882" t="s">
        <v>104</v>
      </c>
      <c r="B26" s="376">
        <v>71023.23</v>
      </c>
      <c r="C26" s="376">
        <v>173923.04</v>
      </c>
      <c r="D26" s="376">
        <v>143165</v>
      </c>
      <c r="E26" s="899">
        <f t="shared" si="0"/>
        <v>101781.27000000002</v>
      </c>
      <c r="F26" s="1471" t="s">
        <v>1074</v>
      </c>
      <c r="G26" s="1472"/>
      <c r="H26" s="1472"/>
      <c r="I26" s="1473"/>
    </row>
    <row r="27" spans="1:9" s="861" customFormat="1" x14ac:dyDescent="0.2">
      <c r="A27" s="413" t="s">
        <v>34</v>
      </c>
      <c r="B27" s="865">
        <f>SUM(B23:B26)</f>
        <v>1118036.6300000001</v>
      </c>
      <c r="C27" s="865">
        <f t="shared" ref="C27:E27" si="1">SUM(C23:C26)</f>
        <v>2628944.21</v>
      </c>
      <c r="D27" s="865">
        <f t="shared" si="1"/>
        <v>2476418.04</v>
      </c>
      <c r="E27" s="865">
        <f t="shared" si="1"/>
        <v>1270562.8000000003</v>
      </c>
      <c r="F27" s="1494"/>
      <c r="G27" s="1494"/>
      <c r="H27" s="1494"/>
      <c r="I27" s="1495"/>
    </row>
    <row r="28" spans="1:9" x14ac:dyDescent="0.2">
      <c r="C28" s="869"/>
    </row>
    <row r="29" spans="1:9" x14ac:dyDescent="0.2">
      <c r="A29" s="1442" t="s">
        <v>370</v>
      </c>
      <c r="B29" s="1442"/>
      <c r="C29" s="1442"/>
      <c r="D29" s="1442"/>
      <c r="E29" s="1442"/>
      <c r="F29" s="1442"/>
      <c r="G29" s="1442"/>
      <c r="H29" s="1442"/>
      <c r="I29" s="1442"/>
    </row>
    <row r="30" spans="1:9" x14ac:dyDescent="0.2">
      <c r="C30" s="869"/>
    </row>
    <row r="31" spans="1:9" x14ac:dyDescent="0.2">
      <c r="A31" s="863" t="s">
        <v>105</v>
      </c>
      <c r="B31" s="863" t="s">
        <v>25</v>
      </c>
      <c r="C31" s="895" t="s">
        <v>106</v>
      </c>
      <c r="D31" s="1463" t="s">
        <v>107</v>
      </c>
      <c r="E31" s="1463"/>
      <c r="F31" s="1463"/>
      <c r="G31" s="1463"/>
      <c r="H31" s="1463"/>
      <c r="I31" s="1463"/>
    </row>
    <row r="32" spans="1:9" ht="37.5" customHeight="1" x14ac:dyDescent="0.2">
      <c r="A32" s="399" t="s">
        <v>1075</v>
      </c>
      <c r="B32" s="898">
        <v>137201</v>
      </c>
      <c r="C32" s="900"/>
      <c r="D32" s="1479" t="s">
        <v>1076</v>
      </c>
      <c r="E32" s="1480"/>
      <c r="F32" s="1480"/>
      <c r="G32" s="1480"/>
      <c r="H32" s="1480"/>
      <c r="I32" s="1481"/>
    </row>
    <row r="33" spans="1:9" ht="52.5" customHeight="1" x14ac:dyDescent="0.2">
      <c r="A33" s="399" t="s">
        <v>1077</v>
      </c>
      <c r="B33" s="901">
        <v>326258</v>
      </c>
      <c r="C33" s="902"/>
      <c r="D33" s="1482" t="s">
        <v>1078</v>
      </c>
      <c r="E33" s="1483"/>
      <c r="F33" s="1483"/>
      <c r="G33" s="1483"/>
      <c r="H33" s="1483"/>
      <c r="I33" s="1484"/>
    </row>
    <row r="34" spans="1:9" ht="54" customHeight="1" x14ac:dyDescent="0.2">
      <c r="A34" s="399" t="s">
        <v>1079</v>
      </c>
      <c r="B34" s="901">
        <v>5775</v>
      </c>
      <c r="C34" s="903"/>
      <c r="D34" s="1482" t="s">
        <v>1080</v>
      </c>
      <c r="E34" s="1483"/>
      <c r="F34" s="1483"/>
      <c r="G34" s="1483"/>
      <c r="H34" s="1483"/>
      <c r="I34" s="1484"/>
    </row>
    <row r="35" spans="1:9" s="861" customFormat="1" x14ac:dyDescent="0.2">
      <c r="A35" s="413" t="s">
        <v>34</v>
      </c>
      <c r="B35" s="865">
        <f>SUM(B32:B34)</f>
        <v>469234</v>
      </c>
      <c r="C35" s="1445"/>
      <c r="D35" s="1446"/>
      <c r="E35" s="1446"/>
      <c r="F35" s="1446"/>
      <c r="G35" s="1446"/>
      <c r="H35" s="1446"/>
      <c r="I35" s="1496"/>
    </row>
    <row r="36" spans="1:9" x14ac:dyDescent="0.2">
      <c r="C36" s="869"/>
    </row>
    <row r="37" spans="1:9" x14ac:dyDescent="0.2">
      <c r="A37" s="1442" t="s">
        <v>372</v>
      </c>
      <c r="B37" s="1442"/>
      <c r="C37" s="1442"/>
      <c r="D37" s="1442"/>
      <c r="E37" s="1442"/>
      <c r="F37" s="1442"/>
      <c r="G37" s="1442"/>
      <c r="H37" s="1442"/>
      <c r="I37" s="1442"/>
    </row>
    <row r="38" spans="1:9" x14ac:dyDescent="0.2">
      <c r="C38" s="869"/>
    </row>
    <row r="39" spans="1:9" x14ac:dyDescent="0.2">
      <c r="A39" s="863" t="s">
        <v>105</v>
      </c>
      <c r="B39" s="863" t="s">
        <v>25</v>
      </c>
      <c r="C39" s="895" t="s">
        <v>106</v>
      </c>
      <c r="D39" s="1499" t="s">
        <v>107</v>
      </c>
      <c r="E39" s="1499"/>
      <c r="F39" s="1499"/>
      <c r="G39" s="1499"/>
      <c r="H39" s="1499"/>
      <c r="I39" s="1500"/>
    </row>
    <row r="40" spans="1:9" ht="15" customHeight="1" x14ac:dyDescent="0.2">
      <c r="A40" s="904"/>
      <c r="B40" s="898"/>
      <c r="C40" s="900"/>
      <c r="D40" s="1443" t="s">
        <v>518</v>
      </c>
      <c r="E40" s="1444"/>
      <c r="F40" s="1444"/>
      <c r="G40" s="1444"/>
      <c r="H40" s="1444"/>
      <c r="I40" s="1153"/>
    </row>
    <row r="41" spans="1:9" s="861" customFormat="1" x14ac:dyDescent="0.2">
      <c r="A41" s="413" t="s">
        <v>34</v>
      </c>
      <c r="B41" s="865">
        <f>SUM(B40:B40)</f>
        <v>0</v>
      </c>
      <c r="C41" s="1445"/>
      <c r="D41" s="1446"/>
      <c r="E41" s="1446"/>
      <c r="F41" s="1446"/>
      <c r="G41" s="1446"/>
      <c r="H41" s="1446"/>
      <c r="I41" s="1446"/>
    </row>
    <row r="42" spans="1:9" x14ac:dyDescent="0.2">
      <c r="C42" s="869"/>
    </row>
    <row r="43" spans="1:9" x14ac:dyDescent="0.2">
      <c r="A43" s="1442" t="s">
        <v>374</v>
      </c>
      <c r="B43" s="1442"/>
      <c r="C43" s="1442"/>
      <c r="D43" s="1442"/>
      <c r="E43" s="1442"/>
      <c r="F43" s="1442"/>
      <c r="G43" s="1442"/>
      <c r="H43" s="1442"/>
      <c r="I43" s="1442"/>
    </row>
    <row r="44" spans="1:9" x14ac:dyDescent="0.2">
      <c r="C44" s="869"/>
    </row>
    <row r="45" spans="1:9" x14ac:dyDescent="0.2">
      <c r="A45" s="863" t="s">
        <v>25</v>
      </c>
      <c r="B45" s="895" t="s">
        <v>375</v>
      </c>
      <c r="C45" s="1501" t="s">
        <v>108</v>
      </c>
      <c r="D45" s="1501"/>
      <c r="E45" s="1501"/>
      <c r="F45" s="1501"/>
      <c r="G45" s="1501"/>
      <c r="H45" s="1501"/>
      <c r="I45" s="1502"/>
    </row>
    <row r="46" spans="1:9" x14ac:dyDescent="0.2">
      <c r="A46" s="905">
        <v>30000</v>
      </c>
      <c r="B46" s="905">
        <v>30000</v>
      </c>
      <c r="C46" s="1497" t="s">
        <v>1081</v>
      </c>
      <c r="D46" s="1497"/>
      <c r="E46" s="1497"/>
      <c r="F46" s="1497"/>
      <c r="G46" s="1497"/>
      <c r="H46" s="1497"/>
      <c r="I46" s="1498"/>
    </row>
    <row r="47" spans="1:9" s="861" customFormat="1" x14ac:dyDescent="0.2">
      <c r="A47" s="865">
        <f>A46</f>
        <v>30000</v>
      </c>
      <c r="B47" s="865">
        <f>B46</f>
        <v>30000</v>
      </c>
      <c r="C47" s="1447" t="s">
        <v>34</v>
      </c>
      <c r="D47" s="1447"/>
      <c r="E47" s="1447"/>
      <c r="F47" s="1447"/>
      <c r="G47" s="1447"/>
      <c r="H47" s="1447"/>
      <c r="I47" s="1448"/>
    </row>
    <row r="48" spans="1:9" x14ac:dyDescent="0.2">
      <c r="C48" s="869"/>
    </row>
    <row r="49" spans="1:9" x14ac:dyDescent="0.2">
      <c r="A49" s="1442" t="s">
        <v>377</v>
      </c>
      <c r="B49" s="1442"/>
      <c r="C49" s="1442"/>
      <c r="D49" s="1442"/>
      <c r="E49" s="1442"/>
      <c r="F49" s="1442"/>
      <c r="G49" s="1442"/>
      <c r="H49" s="1442"/>
      <c r="I49" s="1442"/>
    </row>
    <row r="50" spans="1:9" x14ac:dyDescent="0.2">
      <c r="C50" s="869"/>
    </row>
    <row r="51" spans="1:9" s="864" customFormat="1" ht="36" x14ac:dyDescent="0.2">
      <c r="A51" s="1449" t="s">
        <v>114</v>
      </c>
      <c r="B51" s="1450"/>
      <c r="C51" s="906" t="s">
        <v>115</v>
      </c>
      <c r="D51" s="906" t="s">
        <v>116</v>
      </c>
      <c r="E51" s="906" t="s">
        <v>117</v>
      </c>
      <c r="F51" s="906" t="s">
        <v>118</v>
      </c>
      <c r="G51" s="906" t="s">
        <v>119</v>
      </c>
    </row>
    <row r="52" spans="1:9" x14ac:dyDescent="0.2">
      <c r="A52" s="1451" t="s">
        <v>1082</v>
      </c>
      <c r="B52" s="1452"/>
      <c r="C52" s="393" t="s">
        <v>203</v>
      </c>
      <c r="D52" s="394"/>
      <c r="E52" s="394">
        <v>535500</v>
      </c>
      <c r="F52" s="395">
        <v>42855</v>
      </c>
      <c r="G52" s="395">
        <v>42855</v>
      </c>
    </row>
    <row r="53" spans="1:9" x14ac:dyDescent="0.2">
      <c r="A53" s="1453"/>
      <c r="B53" s="1454"/>
      <c r="C53" s="396" t="s">
        <v>274</v>
      </c>
      <c r="D53" s="397"/>
      <c r="E53" s="397">
        <v>57600</v>
      </c>
      <c r="F53" s="398">
        <v>42855</v>
      </c>
      <c r="G53" s="398">
        <v>42855</v>
      </c>
    </row>
    <row r="54" spans="1:9" x14ac:dyDescent="0.2">
      <c r="A54" s="1453"/>
      <c r="B54" s="1454"/>
      <c r="C54" s="396" t="s">
        <v>262</v>
      </c>
      <c r="D54" s="397"/>
      <c r="E54" s="397">
        <v>133890</v>
      </c>
      <c r="F54" s="398">
        <v>42855</v>
      </c>
      <c r="G54" s="398">
        <v>42855</v>
      </c>
    </row>
    <row r="55" spans="1:9" x14ac:dyDescent="0.2">
      <c r="A55" s="1453"/>
      <c r="B55" s="1454"/>
      <c r="C55" s="396" t="s">
        <v>263</v>
      </c>
      <c r="D55" s="397"/>
      <c r="E55" s="397">
        <v>48200</v>
      </c>
      <c r="F55" s="398">
        <v>42855</v>
      </c>
      <c r="G55" s="398">
        <v>42855</v>
      </c>
    </row>
    <row r="56" spans="1:9" x14ac:dyDescent="0.2">
      <c r="A56" s="1453"/>
      <c r="B56" s="1454"/>
      <c r="C56" s="396" t="s">
        <v>128</v>
      </c>
      <c r="D56" s="397"/>
      <c r="E56" s="397">
        <v>2250</v>
      </c>
      <c r="F56" s="398">
        <v>42855</v>
      </c>
      <c r="G56" s="398">
        <v>42855</v>
      </c>
    </row>
    <row r="57" spans="1:9" x14ac:dyDescent="0.2">
      <c r="A57" s="1453"/>
      <c r="B57" s="1454"/>
      <c r="C57" s="396" t="s">
        <v>207</v>
      </c>
      <c r="D57" s="397"/>
      <c r="E57" s="397">
        <v>10710</v>
      </c>
      <c r="F57" s="398">
        <v>42855</v>
      </c>
      <c r="G57" s="398">
        <v>42855</v>
      </c>
    </row>
    <row r="58" spans="1:9" x14ac:dyDescent="0.2">
      <c r="A58" s="1455"/>
      <c r="B58" s="1456"/>
      <c r="C58" s="399" t="s">
        <v>261</v>
      </c>
      <c r="D58" s="400">
        <v>788150</v>
      </c>
      <c r="E58" s="400"/>
      <c r="F58" s="401">
        <v>42855</v>
      </c>
      <c r="G58" s="401">
        <v>42855</v>
      </c>
    </row>
    <row r="59" spans="1:9" x14ac:dyDescent="0.2">
      <c r="A59" s="1457" t="s">
        <v>1083</v>
      </c>
      <c r="B59" s="1458"/>
      <c r="C59" s="402" t="s">
        <v>255</v>
      </c>
      <c r="D59" s="403">
        <v>4700</v>
      </c>
      <c r="E59" s="403"/>
      <c r="F59" s="404">
        <v>42873</v>
      </c>
      <c r="G59" s="404">
        <v>42873</v>
      </c>
    </row>
    <row r="60" spans="1:9" x14ac:dyDescent="0.2">
      <c r="A60" s="1453"/>
      <c r="B60" s="1454"/>
      <c r="C60" s="396" t="s">
        <v>256</v>
      </c>
      <c r="D60" s="405"/>
      <c r="E60" s="397">
        <v>4200</v>
      </c>
      <c r="F60" s="398">
        <v>42873</v>
      </c>
      <c r="G60" s="398">
        <v>42873</v>
      </c>
    </row>
    <row r="61" spans="1:9" x14ac:dyDescent="0.2">
      <c r="A61" s="1455"/>
      <c r="B61" s="1456"/>
      <c r="C61" s="399" t="s">
        <v>237</v>
      </c>
      <c r="D61" s="406"/>
      <c r="E61" s="400">
        <v>500</v>
      </c>
      <c r="F61" s="401">
        <v>42873</v>
      </c>
      <c r="G61" s="401">
        <v>42873</v>
      </c>
    </row>
    <row r="62" spans="1:9" x14ac:dyDescent="0.2">
      <c r="A62" s="1455" t="s">
        <v>1084</v>
      </c>
      <c r="B62" s="1456"/>
      <c r="C62" s="396" t="s">
        <v>203</v>
      </c>
      <c r="D62" s="397"/>
      <c r="E62" s="397">
        <v>37100</v>
      </c>
      <c r="F62" s="398">
        <v>42916</v>
      </c>
      <c r="G62" s="398">
        <v>42916</v>
      </c>
    </row>
    <row r="63" spans="1:9" x14ac:dyDescent="0.2">
      <c r="A63" s="1459"/>
      <c r="B63" s="1460"/>
      <c r="C63" s="399" t="s">
        <v>205</v>
      </c>
      <c r="D63" s="400">
        <v>37100</v>
      </c>
      <c r="E63" s="400"/>
      <c r="F63" s="401">
        <v>42916</v>
      </c>
      <c r="G63" s="401">
        <v>42916</v>
      </c>
    </row>
    <row r="64" spans="1:9" x14ac:dyDescent="0.2">
      <c r="A64" s="1459" t="s">
        <v>1085</v>
      </c>
      <c r="B64" s="1460"/>
      <c r="C64" s="907" t="s">
        <v>123</v>
      </c>
      <c r="D64" s="403"/>
      <c r="E64" s="908">
        <v>30000</v>
      </c>
      <c r="F64" s="404">
        <v>42916</v>
      </c>
      <c r="G64" s="404">
        <v>42916</v>
      </c>
    </row>
    <row r="65" spans="1:7" x14ac:dyDescent="0.2">
      <c r="A65" s="1457"/>
      <c r="B65" s="1458"/>
      <c r="C65" s="909" t="s">
        <v>205</v>
      </c>
      <c r="D65" s="397">
        <v>30000</v>
      </c>
      <c r="E65" s="910"/>
      <c r="F65" s="398">
        <v>42916</v>
      </c>
      <c r="G65" s="398">
        <v>42916</v>
      </c>
    </row>
    <row r="66" spans="1:7" x14ac:dyDescent="0.2">
      <c r="A66" s="1457" t="s">
        <v>1086</v>
      </c>
      <c r="B66" s="1458"/>
      <c r="C66" s="402" t="s">
        <v>203</v>
      </c>
      <c r="D66" s="403"/>
      <c r="E66" s="403">
        <v>124800</v>
      </c>
      <c r="F66" s="404">
        <v>42947</v>
      </c>
      <c r="G66" s="404">
        <v>42947</v>
      </c>
    </row>
    <row r="67" spans="1:7" x14ac:dyDescent="0.2">
      <c r="A67" s="1453"/>
      <c r="B67" s="1454"/>
      <c r="C67" s="396" t="s">
        <v>262</v>
      </c>
      <c r="D67" s="397"/>
      <c r="E67" s="397">
        <v>31200</v>
      </c>
      <c r="F67" s="398">
        <v>42947</v>
      </c>
      <c r="G67" s="398">
        <v>42947</v>
      </c>
    </row>
    <row r="68" spans="1:7" x14ac:dyDescent="0.2">
      <c r="A68" s="1453"/>
      <c r="B68" s="1454"/>
      <c r="C68" s="396" t="s">
        <v>263</v>
      </c>
      <c r="D68" s="397"/>
      <c r="E68" s="397">
        <v>11235</v>
      </c>
      <c r="F68" s="398">
        <v>42947</v>
      </c>
      <c r="G68" s="398">
        <v>42947</v>
      </c>
    </row>
    <row r="69" spans="1:7" x14ac:dyDescent="0.2">
      <c r="A69" s="1453"/>
      <c r="B69" s="1454"/>
      <c r="C69" s="396" t="s">
        <v>128</v>
      </c>
      <c r="D69" s="397"/>
      <c r="E69" s="397">
        <v>525</v>
      </c>
      <c r="F69" s="398">
        <v>42947</v>
      </c>
      <c r="G69" s="398">
        <v>42947</v>
      </c>
    </row>
    <row r="70" spans="1:7" x14ac:dyDescent="0.2">
      <c r="A70" s="1453"/>
      <c r="B70" s="1454"/>
      <c r="C70" s="396" t="s">
        <v>207</v>
      </c>
      <c r="D70" s="397"/>
      <c r="E70" s="397">
        <v>2500</v>
      </c>
      <c r="F70" s="398">
        <v>42947</v>
      </c>
      <c r="G70" s="398">
        <v>42947</v>
      </c>
    </row>
    <row r="71" spans="1:7" x14ac:dyDescent="0.2">
      <c r="A71" s="1455"/>
      <c r="B71" s="1456"/>
      <c r="C71" s="399" t="s">
        <v>261</v>
      </c>
      <c r="D71" s="400">
        <v>170260</v>
      </c>
      <c r="E71" s="400"/>
      <c r="F71" s="401">
        <v>42947</v>
      </c>
      <c r="G71" s="401">
        <v>42947</v>
      </c>
    </row>
    <row r="72" spans="1:7" x14ac:dyDescent="0.2">
      <c r="A72" s="1453" t="s">
        <v>1087</v>
      </c>
      <c r="B72" s="1454"/>
      <c r="C72" s="396" t="s">
        <v>124</v>
      </c>
      <c r="D72" s="397"/>
      <c r="E72" s="397">
        <v>1494103</v>
      </c>
      <c r="F72" s="398">
        <v>42983</v>
      </c>
      <c r="G72" s="398">
        <v>42983</v>
      </c>
    </row>
    <row r="73" spans="1:7" x14ac:dyDescent="0.2">
      <c r="A73" s="1453"/>
      <c r="B73" s="1454"/>
      <c r="C73" s="396" t="s">
        <v>261</v>
      </c>
      <c r="D73" s="397">
        <v>1494103</v>
      </c>
      <c r="E73" s="397"/>
      <c r="F73" s="398">
        <v>42983</v>
      </c>
      <c r="G73" s="398">
        <v>42983</v>
      </c>
    </row>
    <row r="74" spans="1:7" x14ac:dyDescent="0.2">
      <c r="A74" s="1457" t="s">
        <v>1088</v>
      </c>
      <c r="B74" s="1458"/>
      <c r="C74" s="402" t="s">
        <v>271</v>
      </c>
      <c r="D74" s="403"/>
      <c r="E74" s="403">
        <v>25000</v>
      </c>
      <c r="F74" s="404">
        <v>42993</v>
      </c>
      <c r="G74" s="404">
        <v>42993</v>
      </c>
    </row>
    <row r="75" spans="1:7" x14ac:dyDescent="0.2">
      <c r="A75" s="1455"/>
      <c r="B75" s="1456"/>
      <c r="C75" s="399" t="s">
        <v>205</v>
      </c>
      <c r="D75" s="400">
        <v>25000</v>
      </c>
      <c r="E75" s="400"/>
      <c r="F75" s="401">
        <v>42993</v>
      </c>
      <c r="G75" s="401">
        <v>42993</v>
      </c>
    </row>
    <row r="76" spans="1:7" x14ac:dyDescent="0.2">
      <c r="A76" s="1457" t="s">
        <v>1089</v>
      </c>
      <c r="B76" s="1458"/>
      <c r="C76" s="402" t="s">
        <v>203</v>
      </c>
      <c r="D76" s="403"/>
      <c r="E76" s="403">
        <v>44800</v>
      </c>
      <c r="F76" s="404">
        <v>43034</v>
      </c>
      <c r="G76" s="404">
        <v>43034</v>
      </c>
    </row>
    <row r="77" spans="1:7" x14ac:dyDescent="0.2">
      <c r="A77" s="1453"/>
      <c r="B77" s="1454"/>
      <c r="C77" s="396" t="s">
        <v>262</v>
      </c>
      <c r="D77" s="397"/>
      <c r="E77" s="397">
        <v>11200</v>
      </c>
      <c r="F77" s="398">
        <v>43034</v>
      </c>
      <c r="G77" s="398">
        <v>43034</v>
      </c>
    </row>
    <row r="78" spans="1:7" x14ac:dyDescent="0.2">
      <c r="A78" s="1453"/>
      <c r="B78" s="1454"/>
      <c r="C78" s="396" t="s">
        <v>263</v>
      </c>
      <c r="D78" s="397"/>
      <c r="E78" s="397">
        <v>4040</v>
      </c>
      <c r="F78" s="398">
        <v>43034</v>
      </c>
      <c r="G78" s="398">
        <v>43034</v>
      </c>
    </row>
    <row r="79" spans="1:7" x14ac:dyDescent="0.2">
      <c r="A79" s="1453"/>
      <c r="B79" s="1454"/>
      <c r="C79" s="396" t="s">
        <v>128</v>
      </c>
      <c r="D79" s="397"/>
      <c r="E79" s="397">
        <v>190</v>
      </c>
      <c r="F79" s="398">
        <v>43034</v>
      </c>
      <c r="G79" s="398">
        <v>43034</v>
      </c>
    </row>
    <row r="80" spans="1:7" x14ac:dyDescent="0.2">
      <c r="A80" s="1453"/>
      <c r="B80" s="1454"/>
      <c r="C80" s="396" t="s">
        <v>207</v>
      </c>
      <c r="D80" s="397"/>
      <c r="E80" s="397">
        <v>900</v>
      </c>
      <c r="F80" s="398">
        <v>43034</v>
      </c>
      <c r="G80" s="398">
        <v>43034</v>
      </c>
    </row>
    <row r="81" spans="1:7" x14ac:dyDescent="0.2">
      <c r="A81" s="1455"/>
      <c r="B81" s="1456"/>
      <c r="C81" s="399" t="s">
        <v>261</v>
      </c>
      <c r="D81" s="400">
        <v>61130</v>
      </c>
      <c r="E81" s="400"/>
      <c r="F81" s="401">
        <v>43034</v>
      </c>
      <c r="G81" s="401">
        <v>43034</v>
      </c>
    </row>
    <row r="82" spans="1:7" x14ac:dyDescent="0.2">
      <c r="A82" s="1457" t="s">
        <v>1090</v>
      </c>
      <c r="B82" s="1458"/>
      <c r="C82" s="402" t="s">
        <v>203</v>
      </c>
      <c r="D82" s="403"/>
      <c r="E82" s="403">
        <v>26000</v>
      </c>
      <c r="F82" s="404">
        <v>43039</v>
      </c>
      <c r="G82" s="404">
        <v>43039</v>
      </c>
    </row>
    <row r="83" spans="1:7" x14ac:dyDescent="0.2">
      <c r="A83" s="1455"/>
      <c r="B83" s="1456"/>
      <c r="C83" s="399" t="s">
        <v>205</v>
      </c>
      <c r="D83" s="400">
        <v>26000</v>
      </c>
      <c r="E83" s="400"/>
      <c r="F83" s="401">
        <v>43039</v>
      </c>
      <c r="G83" s="401">
        <v>43039</v>
      </c>
    </row>
    <row r="84" spans="1:7" x14ac:dyDescent="0.2">
      <c r="A84" s="1457" t="s">
        <v>1091</v>
      </c>
      <c r="B84" s="1458"/>
      <c r="C84" s="402" t="s">
        <v>203</v>
      </c>
      <c r="D84" s="403"/>
      <c r="E84" s="403">
        <v>15000</v>
      </c>
      <c r="F84" s="404">
        <v>43069</v>
      </c>
      <c r="G84" s="404">
        <v>43069</v>
      </c>
    </row>
    <row r="85" spans="1:7" x14ac:dyDescent="0.2">
      <c r="A85" s="1455"/>
      <c r="B85" s="1456"/>
      <c r="C85" s="399" t="s">
        <v>205</v>
      </c>
      <c r="D85" s="400">
        <v>15000</v>
      </c>
      <c r="E85" s="400"/>
      <c r="F85" s="401">
        <v>43069</v>
      </c>
      <c r="G85" s="401">
        <v>43069</v>
      </c>
    </row>
    <row r="86" spans="1:7" x14ac:dyDescent="0.2">
      <c r="A86" s="1457" t="s">
        <v>1092</v>
      </c>
      <c r="B86" s="1458"/>
      <c r="C86" s="402" t="s">
        <v>203</v>
      </c>
      <c r="D86" s="403"/>
      <c r="E86" s="403">
        <v>22000</v>
      </c>
      <c r="F86" s="404">
        <v>43100</v>
      </c>
      <c r="G86" s="404">
        <v>43100</v>
      </c>
    </row>
    <row r="87" spans="1:7" x14ac:dyDescent="0.2">
      <c r="A87" s="1455"/>
      <c r="B87" s="1456"/>
      <c r="C87" s="399" t="s">
        <v>205</v>
      </c>
      <c r="D87" s="400">
        <v>22000</v>
      </c>
      <c r="E87" s="400"/>
      <c r="F87" s="401">
        <v>43100</v>
      </c>
      <c r="G87" s="401">
        <v>43100</v>
      </c>
    </row>
    <row r="88" spans="1:7" x14ac:dyDescent="0.2">
      <c r="A88" s="1453" t="s">
        <v>1093</v>
      </c>
      <c r="B88" s="1454"/>
      <c r="C88" s="396" t="s">
        <v>262</v>
      </c>
      <c r="D88" s="397"/>
      <c r="E88" s="397">
        <v>65988</v>
      </c>
      <c r="F88" s="398">
        <v>43100</v>
      </c>
      <c r="G88" s="398">
        <v>43100</v>
      </c>
    </row>
    <row r="89" spans="1:7" x14ac:dyDescent="0.2">
      <c r="A89" s="1453"/>
      <c r="B89" s="1454"/>
      <c r="C89" s="396" t="s">
        <v>263</v>
      </c>
      <c r="D89" s="397"/>
      <c r="E89" s="397">
        <v>17662</v>
      </c>
      <c r="F89" s="398">
        <v>43100</v>
      </c>
      <c r="G89" s="398">
        <v>43100</v>
      </c>
    </row>
    <row r="90" spans="1:7" x14ac:dyDescent="0.2">
      <c r="A90" s="1453"/>
      <c r="B90" s="1454"/>
      <c r="C90" s="396" t="s">
        <v>205</v>
      </c>
      <c r="D90" s="397">
        <v>83650</v>
      </c>
      <c r="E90" s="397"/>
      <c r="F90" s="398">
        <v>43100</v>
      </c>
      <c r="G90" s="398">
        <v>43100</v>
      </c>
    </row>
    <row r="91" spans="1:7" x14ac:dyDescent="0.2">
      <c r="A91" s="1453"/>
      <c r="B91" s="1454"/>
      <c r="C91" s="396" t="s">
        <v>128</v>
      </c>
      <c r="D91" s="397"/>
      <c r="E91" s="397">
        <v>1638.74</v>
      </c>
      <c r="F91" s="398">
        <v>43100</v>
      </c>
      <c r="G91" s="398">
        <v>43100</v>
      </c>
    </row>
    <row r="92" spans="1:7" x14ac:dyDescent="0.2">
      <c r="A92" s="1453"/>
      <c r="B92" s="1454"/>
      <c r="C92" s="396" t="s">
        <v>205</v>
      </c>
      <c r="D92" s="397">
        <v>1638.74</v>
      </c>
      <c r="E92" s="397"/>
      <c r="F92" s="398">
        <v>43100</v>
      </c>
      <c r="G92" s="398">
        <v>43100</v>
      </c>
    </row>
    <row r="93" spans="1:7" x14ac:dyDescent="0.2">
      <c r="A93" s="1453"/>
      <c r="B93" s="1454"/>
      <c r="C93" s="396" t="s">
        <v>276</v>
      </c>
      <c r="D93" s="397"/>
      <c r="E93" s="397">
        <v>7896.3</v>
      </c>
      <c r="F93" s="398">
        <v>43100</v>
      </c>
      <c r="G93" s="398">
        <v>43100</v>
      </c>
    </row>
    <row r="94" spans="1:7" x14ac:dyDescent="0.2">
      <c r="A94" s="1455"/>
      <c r="B94" s="1456"/>
      <c r="C94" s="399" t="s">
        <v>205</v>
      </c>
      <c r="D94" s="400">
        <v>7896.3</v>
      </c>
      <c r="E94" s="400"/>
      <c r="F94" s="401">
        <v>43100</v>
      </c>
      <c r="G94" s="401">
        <v>43100</v>
      </c>
    </row>
    <row r="95" spans="1:7" x14ac:dyDescent="0.2">
      <c r="A95" s="1457" t="s">
        <v>1094</v>
      </c>
      <c r="B95" s="1458"/>
      <c r="C95" s="402" t="s">
        <v>277</v>
      </c>
      <c r="D95" s="403"/>
      <c r="E95" s="403">
        <v>-7000</v>
      </c>
      <c r="F95" s="404">
        <v>43100</v>
      </c>
      <c r="G95" s="404">
        <v>43100</v>
      </c>
    </row>
    <row r="96" spans="1:7" x14ac:dyDescent="0.2">
      <c r="A96" s="1453"/>
      <c r="B96" s="1454"/>
      <c r="C96" s="396" t="s">
        <v>207</v>
      </c>
      <c r="D96" s="397"/>
      <c r="E96" s="397">
        <v>3646.3</v>
      </c>
      <c r="F96" s="398">
        <v>43100</v>
      </c>
      <c r="G96" s="398">
        <v>43100</v>
      </c>
    </row>
    <row r="97" spans="1:7" x14ac:dyDescent="0.2">
      <c r="A97" s="1453"/>
      <c r="B97" s="1454"/>
      <c r="C97" s="396" t="s">
        <v>276</v>
      </c>
      <c r="D97" s="397"/>
      <c r="E97" s="397">
        <v>3353.7</v>
      </c>
      <c r="F97" s="398">
        <v>43100</v>
      </c>
      <c r="G97" s="398">
        <v>43100</v>
      </c>
    </row>
    <row r="98" spans="1:7" x14ac:dyDescent="0.2">
      <c r="A98" s="1453"/>
      <c r="B98" s="1454"/>
      <c r="C98" s="396" t="s">
        <v>246</v>
      </c>
      <c r="D98" s="397"/>
      <c r="E98" s="397">
        <v>-15050</v>
      </c>
      <c r="F98" s="398">
        <v>43100</v>
      </c>
      <c r="G98" s="398">
        <v>43100</v>
      </c>
    </row>
    <row r="99" spans="1:7" x14ac:dyDescent="0.2">
      <c r="A99" s="1455"/>
      <c r="B99" s="1456"/>
      <c r="C99" s="399" t="s">
        <v>207</v>
      </c>
      <c r="D99" s="400"/>
      <c r="E99" s="400">
        <v>15050</v>
      </c>
      <c r="F99" s="401">
        <v>43100</v>
      </c>
      <c r="G99" s="401">
        <v>43100</v>
      </c>
    </row>
    <row r="100" spans="1:7" x14ac:dyDescent="0.2">
      <c r="A100" s="1503" t="s">
        <v>1095</v>
      </c>
      <c r="B100" s="1504"/>
      <c r="C100" s="396" t="s">
        <v>212</v>
      </c>
      <c r="D100" s="397"/>
      <c r="E100" s="397">
        <v>-35395</v>
      </c>
      <c r="F100" s="398">
        <v>43100</v>
      </c>
      <c r="G100" s="398">
        <v>43100</v>
      </c>
    </row>
    <row r="101" spans="1:7" x14ac:dyDescent="0.2">
      <c r="A101" s="1505"/>
      <c r="B101" s="1506"/>
      <c r="C101" s="399" t="s">
        <v>120</v>
      </c>
      <c r="D101" s="400"/>
      <c r="E101" s="400">
        <v>35395</v>
      </c>
      <c r="F101" s="401">
        <v>43100</v>
      </c>
      <c r="G101" s="401">
        <v>43100</v>
      </c>
    </row>
    <row r="102" spans="1:7" x14ac:dyDescent="0.2">
      <c r="A102" s="1505" t="s">
        <v>1096</v>
      </c>
      <c r="B102" s="1506"/>
      <c r="C102" s="402" t="s">
        <v>274</v>
      </c>
      <c r="D102" s="403"/>
      <c r="E102" s="403">
        <v>-154305</v>
      </c>
      <c r="F102" s="398">
        <v>43100</v>
      </c>
      <c r="G102" s="398">
        <v>43100</v>
      </c>
    </row>
    <row r="103" spans="1:7" x14ac:dyDescent="0.2">
      <c r="A103" s="1505"/>
      <c r="B103" s="1506"/>
      <c r="C103" s="396" t="s">
        <v>203</v>
      </c>
      <c r="D103" s="397"/>
      <c r="E103" s="397">
        <v>143234</v>
      </c>
      <c r="F103" s="398">
        <v>43100</v>
      </c>
      <c r="G103" s="398">
        <v>43100</v>
      </c>
    </row>
    <row r="104" spans="1:7" x14ac:dyDescent="0.2">
      <c r="A104" s="1507"/>
      <c r="B104" s="1508"/>
      <c r="C104" s="396" t="s">
        <v>275</v>
      </c>
      <c r="D104" s="397"/>
      <c r="E104" s="397">
        <v>11071</v>
      </c>
      <c r="F104" s="398">
        <v>43100</v>
      </c>
      <c r="G104" s="398">
        <v>43100</v>
      </c>
    </row>
    <row r="105" spans="1:7" x14ac:dyDescent="0.2">
      <c r="A105" s="1457" t="s">
        <v>1097</v>
      </c>
      <c r="B105" s="1458"/>
      <c r="C105" s="402" t="s">
        <v>124</v>
      </c>
      <c r="D105" s="403"/>
      <c r="E105" s="403">
        <v>-224115.45</v>
      </c>
      <c r="F105" s="404">
        <v>43100</v>
      </c>
      <c r="G105" s="404">
        <v>43100</v>
      </c>
    </row>
    <row r="106" spans="1:7" x14ac:dyDescent="0.2">
      <c r="A106" s="1455"/>
      <c r="B106" s="1456"/>
      <c r="C106" s="399" t="s">
        <v>261</v>
      </c>
      <c r="D106" s="400">
        <v>-224115.45</v>
      </c>
      <c r="E106" s="400"/>
      <c r="F106" s="401">
        <v>43100</v>
      </c>
      <c r="G106" s="401">
        <v>43100</v>
      </c>
    </row>
    <row r="107" spans="1:7" x14ac:dyDescent="0.2">
      <c r="A107" s="1457" t="s">
        <v>1098</v>
      </c>
      <c r="B107" s="1458"/>
      <c r="C107" s="402" t="s">
        <v>212</v>
      </c>
      <c r="D107" s="403"/>
      <c r="E107" s="403">
        <v>-3.8</v>
      </c>
      <c r="F107" s="404">
        <v>43100</v>
      </c>
      <c r="G107" s="404">
        <v>43100</v>
      </c>
    </row>
    <row r="108" spans="1:7" x14ac:dyDescent="0.2">
      <c r="A108" s="1453"/>
      <c r="B108" s="1454"/>
      <c r="C108" s="396" t="s">
        <v>120</v>
      </c>
      <c r="D108" s="397"/>
      <c r="E108" s="397">
        <v>-801.9</v>
      </c>
      <c r="F108" s="398">
        <v>43100</v>
      </c>
      <c r="G108" s="398">
        <v>43100</v>
      </c>
    </row>
    <row r="109" spans="1:7" x14ac:dyDescent="0.2">
      <c r="A109" s="1455"/>
      <c r="B109" s="1456"/>
      <c r="C109" s="399" t="s">
        <v>261</v>
      </c>
      <c r="D109" s="400">
        <v>-805.7</v>
      </c>
      <c r="E109" s="400"/>
      <c r="F109" s="401">
        <v>43100</v>
      </c>
      <c r="G109" s="401">
        <v>43100</v>
      </c>
    </row>
    <row r="110" spans="1:7" x14ac:dyDescent="0.2">
      <c r="A110" s="1457" t="s">
        <v>1099</v>
      </c>
      <c r="B110" s="1458"/>
      <c r="C110" s="402" t="s">
        <v>203</v>
      </c>
      <c r="D110" s="403"/>
      <c r="E110" s="403">
        <v>-78936</v>
      </c>
      <c r="F110" s="404">
        <v>43100</v>
      </c>
      <c r="G110" s="404">
        <v>43100</v>
      </c>
    </row>
    <row r="111" spans="1:7" x14ac:dyDescent="0.2">
      <c r="A111" s="1453"/>
      <c r="B111" s="1454"/>
      <c r="C111" s="396" t="s">
        <v>273</v>
      </c>
      <c r="D111" s="397"/>
      <c r="E111" s="397">
        <v>-52168</v>
      </c>
      <c r="F111" s="398">
        <v>43100</v>
      </c>
      <c r="G111" s="398">
        <v>43100</v>
      </c>
    </row>
    <row r="112" spans="1:7" x14ac:dyDescent="0.2">
      <c r="A112" s="1455"/>
      <c r="B112" s="1456"/>
      <c r="C112" s="399" t="s">
        <v>261</v>
      </c>
      <c r="D112" s="400">
        <v>-131104</v>
      </c>
      <c r="E112" s="400"/>
      <c r="F112" s="401">
        <v>43100</v>
      </c>
      <c r="G112" s="401">
        <v>43100</v>
      </c>
    </row>
    <row r="113" spans="1:7" x14ac:dyDescent="0.2">
      <c r="A113" s="1453" t="s">
        <v>1100</v>
      </c>
      <c r="B113" s="1454"/>
      <c r="C113" s="396" t="s">
        <v>232</v>
      </c>
      <c r="D113" s="397"/>
      <c r="E113" s="397">
        <v>-63500</v>
      </c>
      <c r="F113" s="398">
        <v>43100</v>
      </c>
      <c r="G113" s="398">
        <v>43100</v>
      </c>
    </row>
    <row r="114" spans="1:7" x14ac:dyDescent="0.2">
      <c r="A114" s="1453"/>
      <c r="B114" s="1454"/>
      <c r="C114" s="396" t="s">
        <v>228</v>
      </c>
      <c r="D114" s="397"/>
      <c r="E114" s="397">
        <v>63500</v>
      </c>
      <c r="F114" s="398">
        <v>43100</v>
      </c>
      <c r="G114" s="398">
        <v>43100</v>
      </c>
    </row>
    <row r="115" spans="1:7" x14ac:dyDescent="0.2">
      <c r="A115" s="1453"/>
      <c r="B115" s="1454"/>
      <c r="C115" s="396" t="s">
        <v>233</v>
      </c>
      <c r="D115" s="397"/>
      <c r="E115" s="397">
        <v>-5200</v>
      </c>
      <c r="F115" s="398">
        <v>43100</v>
      </c>
      <c r="G115" s="398">
        <v>43100</v>
      </c>
    </row>
    <row r="116" spans="1:7" x14ac:dyDescent="0.2">
      <c r="A116" s="1453"/>
      <c r="B116" s="1454"/>
      <c r="C116" s="396" t="s">
        <v>230</v>
      </c>
      <c r="D116" s="397"/>
      <c r="E116" s="397">
        <v>5200</v>
      </c>
      <c r="F116" s="398">
        <v>43100</v>
      </c>
      <c r="G116" s="398">
        <v>43100</v>
      </c>
    </row>
    <row r="117" spans="1:7" x14ac:dyDescent="0.2">
      <c r="A117" s="1453"/>
      <c r="B117" s="1454"/>
      <c r="C117" s="396" t="s">
        <v>229</v>
      </c>
      <c r="D117" s="397"/>
      <c r="E117" s="397">
        <v>-22900</v>
      </c>
      <c r="F117" s="398">
        <v>43100</v>
      </c>
      <c r="G117" s="398">
        <v>43100</v>
      </c>
    </row>
    <row r="118" spans="1:7" x14ac:dyDescent="0.2">
      <c r="A118" s="1453"/>
      <c r="B118" s="1454"/>
      <c r="C118" s="396" t="s">
        <v>228</v>
      </c>
      <c r="D118" s="397"/>
      <c r="E118" s="397">
        <v>22900</v>
      </c>
      <c r="F118" s="398">
        <v>43100</v>
      </c>
      <c r="G118" s="398">
        <v>43100</v>
      </c>
    </row>
    <row r="119" spans="1:7" x14ac:dyDescent="0.2">
      <c r="A119" s="1453"/>
      <c r="B119" s="1454"/>
      <c r="C119" s="396" t="s">
        <v>265</v>
      </c>
      <c r="D119" s="397"/>
      <c r="E119" s="397">
        <v>-40000</v>
      </c>
      <c r="F119" s="398">
        <v>43100</v>
      </c>
      <c r="G119" s="398">
        <v>43100</v>
      </c>
    </row>
    <row r="120" spans="1:7" x14ac:dyDescent="0.2">
      <c r="A120" s="1453"/>
      <c r="B120" s="1454"/>
      <c r="C120" s="396" t="s">
        <v>254</v>
      </c>
      <c r="D120" s="397"/>
      <c r="E120" s="397">
        <v>20000</v>
      </c>
      <c r="F120" s="398">
        <v>43100</v>
      </c>
      <c r="G120" s="398">
        <v>43100</v>
      </c>
    </row>
    <row r="121" spans="1:7" x14ac:dyDescent="0.2">
      <c r="A121" s="1453"/>
      <c r="B121" s="1454"/>
      <c r="C121" s="396" t="s">
        <v>1101</v>
      </c>
      <c r="D121" s="397"/>
      <c r="E121" s="397">
        <v>20000</v>
      </c>
      <c r="F121" s="398">
        <v>43100</v>
      </c>
      <c r="G121" s="398">
        <v>43100</v>
      </c>
    </row>
    <row r="122" spans="1:7" x14ac:dyDescent="0.2">
      <c r="A122" s="1453"/>
      <c r="B122" s="1454"/>
      <c r="C122" s="396" t="s">
        <v>266</v>
      </c>
      <c r="D122" s="397"/>
      <c r="E122" s="397">
        <v>-17000</v>
      </c>
      <c r="F122" s="398">
        <v>43100</v>
      </c>
      <c r="G122" s="398">
        <v>43100</v>
      </c>
    </row>
    <row r="123" spans="1:7" x14ac:dyDescent="0.2">
      <c r="A123" s="1453"/>
      <c r="B123" s="1454"/>
      <c r="C123" s="396" t="s">
        <v>269</v>
      </c>
      <c r="D123" s="397"/>
      <c r="E123" s="397">
        <v>14300</v>
      </c>
      <c r="F123" s="398">
        <v>43100</v>
      </c>
      <c r="G123" s="398">
        <v>43100</v>
      </c>
    </row>
    <row r="124" spans="1:7" x14ac:dyDescent="0.2">
      <c r="A124" s="1453"/>
      <c r="B124" s="1454"/>
      <c r="C124" s="396" t="s">
        <v>272</v>
      </c>
      <c r="D124" s="397"/>
      <c r="E124" s="397">
        <v>400</v>
      </c>
      <c r="F124" s="398">
        <v>43100</v>
      </c>
      <c r="G124" s="398">
        <v>43100</v>
      </c>
    </row>
    <row r="125" spans="1:7" x14ac:dyDescent="0.2">
      <c r="A125" s="1453"/>
      <c r="B125" s="1454"/>
      <c r="C125" s="396" t="s">
        <v>267</v>
      </c>
      <c r="D125" s="397"/>
      <c r="E125" s="397">
        <v>2300</v>
      </c>
      <c r="F125" s="398">
        <v>43100</v>
      </c>
      <c r="G125" s="398">
        <v>43100</v>
      </c>
    </row>
    <row r="126" spans="1:7" x14ac:dyDescent="0.2">
      <c r="A126" s="1453"/>
      <c r="B126" s="1454"/>
      <c r="C126" s="396" t="s">
        <v>268</v>
      </c>
      <c r="D126" s="397"/>
      <c r="E126" s="397">
        <v>-900</v>
      </c>
      <c r="F126" s="398">
        <v>43100</v>
      </c>
      <c r="G126" s="398">
        <v>43100</v>
      </c>
    </row>
    <row r="127" spans="1:7" x14ac:dyDescent="0.2">
      <c r="A127" s="1453"/>
      <c r="B127" s="1454"/>
      <c r="C127" s="396" t="s">
        <v>267</v>
      </c>
      <c r="D127" s="397"/>
      <c r="E127" s="397">
        <v>900</v>
      </c>
      <c r="F127" s="398">
        <v>43100</v>
      </c>
      <c r="G127" s="398">
        <v>43100</v>
      </c>
    </row>
    <row r="128" spans="1:7" x14ac:dyDescent="0.2">
      <c r="A128" s="1453"/>
      <c r="B128" s="1454"/>
      <c r="C128" s="396" t="s">
        <v>1102</v>
      </c>
      <c r="D128" s="397"/>
      <c r="E128" s="397">
        <v>-13000</v>
      </c>
      <c r="F128" s="398">
        <v>43100</v>
      </c>
      <c r="G128" s="398">
        <v>43100</v>
      </c>
    </row>
    <row r="129" spans="1:7" x14ac:dyDescent="0.2">
      <c r="A129" s="1453"/>
      <c r="B129" s="1454"/>
      <c r="C129" s="396" t="s">
        <v>228</v>
      </c>
      <c r="D129" s="397"/>
      <c r="E129" s="397">
        <v>13000</v>
      </c>
      <c r="F129" s="398">
        <v>43100</v>
      </c>
      <c r="G129" s="398">
        <v>43100</v>
      </c>
    </row>
    <row r="130" spans="1:7" x14ac:dyDescent="0.2">
      <c r="A130" s="1453"/>
      <c r="B130" s="1454"/>
      <c r="C130" s="396" t="s">
        <v>231</v>
      </c>
      <c r="D130" s="397"/>
      <c r="E130" s="397">
        <v>-29400</v>
      </c>
      <c r="F130" s="398">
        <v>43100</v>
      </c>
      <c r="G130" s="398">
        <v>43100</v>
      </c>
    </row>
    <row r="131" spans="1:7" x14ac:dyDescent="0.2">
      <c r="A131" s="1453"/>
      <c r="B131" s="1454"/>
      <c r="C131" s="396" t="s">
        <v>228</v>
      </c>
      <c r="D131" s="397"/>
      <c r="E131" s="397">
        <v>14800</v>
      </c>
      <c r="F131" s="398">
        <v>43100</v>
      </c>
      <c r="G131" s="398">
        <v>43100</v>
      </c>
    </row>
    <row r="132" spans="1:7" x14ac:dyDescent="0.2">
      <c r="A132" s="1453"/>
      <c r="B132" s="1454"/>
      <c r="C132" s="396" t="s">
        <v>1101</v>
      </c>
      <c r="D132" s="397"/>
      <c r="E132" s="397">
        <v>4700</v>
      </c>
      <c r="F132" s="398">
        <v>43100</v>
      </c>
      <c r="G132" s="398">
        <v>43100</v>
      </c>
    </row>
    <row r="133" spans="1:7" x14ac:dyDescent="0.2">
      <c r="A133" s="1453"/>
      <c r="B133" s="1454"/>
      <c r="C133" s="396" t="s">
        <v>258</v>
      </c>
      <c r="D133" s="397"/>
      <c r="E133" s="397">
        <v>7800</v>
      </c>
      <c r="F133" s="398">
        <v>43100</v>
      </c>
      <c r="G133" s="398">
        <v>43100</v>
      </c>
    </row>
    <row r="134" spans="1:7" x14ac:dyDescent="0.2">
      <c r="A134" s="1455"/>
      <c r="B134" s="1456"/>
      <c r="C134" s="399" t="s">
        <v>267</v>
      </c>
      <c r="D134" s="400"/>
      <c r="E134" s="400">
        <v>2100</v>
      </c>
      <c r="F134" s="401">
        <v>43100</v>
      </c>
      <c r="G134" s="401">
        <v>43100</v>
      </c>
    </row>
    <row r="135" spans="1:7" x14ac:dyDescent="0.2">
      <c r="A135" s="1453" t="s">
        <v>1103</v>
      </c>
      <c r="B135" s="1454"/>
      <c r="C135" s="396" t="s">
        <v>283</v>
      </c>
      <c r="D135" s="397"/>
      <c r="E135" s="397">
        <v>2000</v>
      </c>
      <c r="F135" s="398">
        <v>43100</v>
      </c>
      <c r="G135" s="398">
        <v>43100</v>
      </c>
    </row>
    <row r="136" spans="1:7" x14ac:dyDescent="0.2">
      <c r="A136" s="1453"/>
      <c r="B136" s="1454"/>
      <c r="C136" s="396" t="s">
        <v>828</v>
      </c>
      <c r="D136" s="397"/>
      <c r="E136" s="397">
        <v>-90000</v>
      </c>
      <c r="F136" s="398">
        <v>43100</v>
      </c>
      <c r="G136" s="398">
        <v>43100</v>
      </c>
    </row>
    <row r="137" spans="1:7" x14ac:dyDescent="0.2">
      <c r="A137" s="1453"/>
      <c r="B137" s="1454"/>
      <c r="C137" s="396" t="s">
        <v>210</v>
      </c>
      <c r="D137" s="397"/>
      <c r="E137" s="397">
        <v>88000</v>
      </c>
      <c r="F137" s="398">
        <v>43100</v>
      </c>
      <c r="G137" s="398">
        <v>43100</v>
      </c>
    </row>
    <row r="138" spans="1:7" x14ac:dyDescent="0.2">
      <c r="A138" s="1457" t="s">
        <v>1104</v>
      </c>
      <c r="B138" s="1458"/>
      <c r="C138" s="402" t="s">
        <v>270</v>
      </c>
      <c r="D138" s="403"/>
      <c r="E138" s="403">
        <v>-16300</v>
      </c>
      <c r="F138" s="404">
        <v>43100</v>
      </c>
      <c r="G138" s="404">
        <v>43100</v>
      </c>
    </row>
    <row r="139" spans="1:7" x14ac:dyDescent="0.2">
      <c r="A139" s="1455"/>
      <c r="B139" s="1456"/>
      <c r="C139" s="399" t="s">
        <v>130</v>
      </c>
      <c r="D139" s="400"/>
      <c r="E139" s="400">
        <v>16300</v>
      </c>
      <c r="F139" s="401">
        <v>43100</v>
      </c>
      <c r="G139" s="401">
        <v>43100</v>
      </c>
    </row>
    <row r="140" spans="1:7" x14ac:dyDescent="0.2">
      <c r="A140" s="1457" t="s">
        <v>1105</v>
      </c>
      <c r="B140" s="1458"/>
      <c r="C140" s="402" t="s">
        <v>264</v>
      </c>
      <c r="D140" s="403"/>
      <c r="E140" s="403">
        <v>-42000</v>
      </c>
      <c r="F140" s="404">
        <v>43100</v>
      </c>
      <c r="G140" s="404">
        <v>43100</v>
      </c>
    </row>
    <row r="141" spans="1:7" x14ac:dyDescent="0.2">
      <c r="A141" s="1455"/>
      <c r="B141" s="1456"/>
      <c r="C141" s="399" t="s">
        <v>271</v>
      </c>
      <c r="D141" s="400"/>
      <c r="E141" s="400">
        <v>42000</v>
      </c>
      <c r="F141" s="401">
        <v>43100</v>
      </c>
      <c r="G141" s="401">
        <v>43100</v>
      </c>
    </row>
    <row r="142" spans="1:7" x14ac:dyDescent="0.2">
      <c r="A142" s="1457" t="s">
        <v>1106</v>
      </c>
      <c r="B142" s="1458"/>
      <c r="C142" s="402" t="s">
        <v>234</v>
      </c>
      <c r="D142" s="403"/>
      <c r="E142" s="403">
        <v>-97000</v>
      </c>
      <c r="F142" s="404">
        <v>43100</v>
      </c>
      <c r="G142" s="404">
        <v>43100</v>
      </c>
    </row>
    <row r="143" spans="1:7" x14ac:dyDescent="0.2">
      <c r="A143" s="1453"/>
      <c r="B143" s="1454"/>
      <c r="C143" s="396" t="s">
        <v>241</v>
      </c>
      <c r="D143" s="397"/>
      <c r="E143" s="397">
        <v>29000</v>
      </c>
      <c r="F143" s="398">
        <v>43100</v>
      </c>
      <c r="G143" s="398">
        <v>43100</v>
      </c>
    </row>
    <row r="144" spans="1:7" x14ac:dyDescent="0.2">
      <c r="A144" s="1453"/>
      <c r="B144" s="1454"/>
      <c r="C144" s="396" t="s">
        <v>250</v>
      </c>
      <c r="D144" s="397"/>
      <c r="E144" s="397">
        <v>5700</v>
      </c>
      <c r="F144" s="398">
        <v>43100</v>
      </c>
      <c r="G144" s="398">
        <v>43100</v>
      </c>
    </row>
    <row r="145" spans="1:7" x14ac:dyDescent="0.2">
      <c r="A145" s="1453"/>
      <c r="B145" s="1454"/>
      <c r="C145" s="396" t="s">
        <v>282</v>
      </c>
      <c r="D145" s="397"/>
      <c r="E145" s="397">
        <v>25100</v>
      </c>
      <c r="F145" s="398">
        <v>43100</v>
      </c>
      <c r="G145" s="398">
        <v>43100</v>
      </c>
    </row>
    <row r="146" spans="1:7" x14ac:dyDescent="0.2">
      <c r="A146" s="1453"/>
      <c r="B146" s="1454"/>
      <c r="C146" s="396" t="s">
        <v>213</v>
      </c>
      <c r="D146" s="397"/>
      <c r="E146" s="397">
        <v>21600</v>
      </c>
      <c r="F146" s="398">
        <v>43100</v>
      </c>
      <c r="G146" s="398">
        <v>43100</v>
      </c>
    </row>
    <row r="147" spans="1:7" x14ac:dyDescent="0.2">
      <c r="A147" s="1453"/>
      <c r="B147" s="1454"/>
      <c r="C147" s="396" t="s">
        <v>251</v>
      </c>
      <c r="D147" s="397"/>
      <c r="E147" s="397">
        <v>8500</v>
      </c>
      <c r="F147" s="398">
        <v>43100</v>
      </c>
      <c r="G147" s="398">
        <v>43100</v>
      </c>
    </row>
    <row r="148" spans="1:7" x14ac:dyDescent="0.2">
      <c r="A148" s="1453"/>
      <c r="B148" s="1454"/>
      <c r="C148" s="396" t="s">
        <v>240</v>
      </c>
      <c r="D148" s="397"/>
      <c r="E148" s="397">
        <v>5700</v>
      </c>
      <c r="F148" s="398">
        <v>43100</v>
      </c>
      <c r="G148" s="398">
        <v>43100</v>
      </c>
    </row>
    <row r="149" spans="1:7" x14ac:dyDescent="0.2">
      <c r="A149" s="1453"/>
      <c r="B149" s="1454"/>
      <c r="C149" s="396" t="s">
        <v>121</v>
      </c>
      <c r="D149" s="397"/>
      <c r="E149" s="397">
        <v>800</v>
      </c>
      <c r="F149" s="398">
        <v>43100</v>
      </c>
      <c r="G149" s="398">
        <v>43100</v>
      </c>
    </row>
    <row r="150" spans="1:7" x14ac:dyDescent="0.2">
      <c r="A150" s="1453"/>
      <c r="B150" s="1454"/>
      <c r="C150" s="396" t="s">
        <v>280</v>
      </c>
      <c r="D150" s="397"/>
      <c r="E150" s="397">
        <v>600</v>
      </c>
      <c r="F150" s="398">
        <v>43100</v>
      </c>
      <c r="G150" s="398">
        <v>43100</v>
      </c>
    </row>
    <row r="151" spans="1:7" x14ac:dyDescent="0.2">
      <c r="A151" s="1453"/>
      <c r="B151" s="1454"/>
      <c r="C151" s="396" t="s">
        <v>244</v>
      </c>
      <c r="D151" s="397"/>
      <c r="E151" s="397">
        <v>-34000</v>
      </c>
      <c r="F151" s="398">
        <v>43100</v>
      </c>
      <c r="G151" s="398">
        <v>43100</v>
      </c>
    </row>
    <row r="152" spans="1:7" x14ac:dyDescent="0.2">
      <c r="A152" s="1453"/>
      <c r="B152" s="1454"/>
      <c r="C152" s="396" t="s">
        <v>242</v>
      </c>
      <c r="D152" s="397"/>
      <c r="E152" s="397">
        <v>19700</v>
      </c>
      <c r="F152" s="398">
        <v>43100</v>
      </c>
      <c r="G152" s="398">
        <v>43100</v>
      </c>
    </row>
    <row r="153" spans="1:7" x14ac:dyDescent="0.2">
      <c r="A153" s="1453"/>
      <c r="B153" s="1454"/>
      <c r="C153" s="396" t="s">
        <v>1107</v>
      </c>
      <c r="D153" s="397"/>
      <c r="E153" s="397">
        <v>10300</v>
      </c>
      <c r="F153" s="398">
        <v>43100</v>
      </c>
      <c r="G153" s="398">
        <v>43100</v>
      </c>
    </row>
    <row r="154" spans="1:7" x14ac:dyDescent="0.2">
      <c r="A154" s="1453"/>
      <c r="B154" s="1454"/>
      <c r="C154" s="396" t="s">
        <v>243</v>
      </c>
      <c r="D154" s="397"/>
      <c r="E154" s="397">
        <v>4000</v>
      </c>
      <c r="F154" s="398">
        <v>43100</v>
      </c>
      <c r="G154" s="398">
        <v>43100</v>
      </c>
    </row>
    <row r="155" spans="1:7" x14ac:dyDescent="0.2">
      <c r="A155" s="1453"/>
      <c r="B155" s="1454"/>
      <c r="C155" s="396" t="s">
        <v>245</v>
      </c>
      <c r="D155" s="397"/>
      <c r="E155" s="397">
        <v>-1000</v>
      </c>
      <c r="F155" s="398">
        <v>43100</v>
      </c>
      <c r="G155" s="398">
        <v>43100</v>
      </c>
    </row>
    <row r="156" spans="1:7" x14ac:dyDescent="0.2">
      <c r="A156" s="1453"/>
      <c r="B156" s="1454"/>
      <c r="C156" s="396" t="s">
        <v>280</v>
      </c>
      <c r="D156" s="397"/>
      <c r="E156" s="397">
        <v>1000</v>
      </c>
      <c r="F156" s="398">
        <v>43100</v>
      </c>
      <c r="G156" s="398">
        <v>43100</v>
      </c>
    </row>
    <row r="157" spans="1:7" x14ac:dyDescent="0.2">
      <c r="A157" s="1453"/>
      <c r="B157" s="1454"/>
      <c r="C157" s="396" t="s">
        <v>257</v>
      </c>
      <c r="D157" s="397"/>
      <c r="E157" s="397">
        <v>-4400</v>
      </c>
      <c r="F157" s="398">
        <v>43100</v>
      </c>
      <c r="G157" s="398">
        <v>43100</v>
      </c>
    </row>
    <row r="158" spans="1:7" x14ac:dyDescent="0.2">
      <c r="A158" s="1453"/>
      <c r="B158" s="1454"/>
      <c r="C158" s="396" t="s">
        <v>281</v>
      </c>
      <c r="D158" s="397"/>
      <c r="E158" s="397">
        <v>4400</v>
      </c>
      <c r="F158" s="398">
        <v>43100</v>
      </c>
      <c r="G158" s="398">
        <v>43100</v>
      </c>
    </row>
    <row r="159" spans="1:7" x14ac:dyDescent="0.2">
      <c r="A159" s="1453"/>
      <c r="B159" s="1454"/>
      <c r="C159" s="396" t="s">
        <v>239</v>
      </c>
      <c r="D159" s="397"/>
      <c r="E159" s="397">
        <v>-1300</v>
      </c>
      <c r="F159" s="398">
        <v>43100</v>
      </c>
      <c r="G159" s="398">
        <v>43100</v>
      </c>
    </row>
    <row r="160" spans="1:7" x14ac:dyDescent="0.2">
      <c r="A160" s="1453"/>
      <c r="B160" s="1454"/>
      <c r="C160" s="396" t="s">
        <v>281</v>
      </c>
      <c r="D160" s="397"/>
      <c r="E160" s="397">
        <v>700</v>
      </c>
      <c r="F160" s="398">
        <v>43100</v>
      </c>
      <c r="G160" s="398">
        <v>43100</v>
      </c>
    </row>
    <row r="161" spans="1:7" x14ac:dyDescent="0.2">
      <c r="A161" s="1453"/>
      <c r="B161" s="1454"/>
      <c r="C161" s="396" t="s">
        <v>280</v>
      </c>
      <c r="D161" s="397"/>
      <c r="E161" s="397">
        <v>500</v>
      </c>
      <c r="F161" s="398">
        <v>43100</v>
      </c>
      <c r="G161" s="398">
        <v>43100</v>
      </c>
    </row>
    <row r="162" spans="1:7" x14ac:dyDescent="0.2">
      <c r="A162" s="1453"/>
      <c r="B162" s="1454"/>
      <c r="C162" s="396" t="s">
        <v>243</v>
      </c>
      <c r="D162" s="397"/>
      <c r="E162" s="397">
        <v>100</v>
      </c>
      <c r="F162" s="398">
        <v>43100</v>
      </c>
      <c r="G162" s="398">
        <v>43100</v>
      </c>
    </row>
    <row r="163" spans="1:7" x14ac:dyDescent="0.2">
      <c r="A163" s="1453"/>
      <c r="B163" s="1454"/>
      <c r="C163" s="396" t="s">
        <v>238</v>
      </c>
      <c r="D163" s="397"/>
      <c r="E163" s="397">
        <v>-11500</v>
      </c>
      <c r="F163" s="398">
        <v>43100</v>
      </c>
      <c r="G163" s="398">
        <v>43100</v>
      </c>
    </row>
    <row r="164" spans="1:7" x14ac:dyDescent="0.2">
      <c r="A164" s="1453"/>
      <c r="B164" s="1454"/>
      <c r="C164" s="396" t="s">
        <v>243</v>
      </c>
      <c r="D164" s="397"/>
      <c r="E164" s="397">
        <v>400</v>
      </c>
      <c r="F164" s="398">
        <v>43100</v>
      </c>
      <c r="G164" s="398">
        <v>43100</v>
      </c>
    </row>
    <row r="165" spans="1:7" x14ac:dyDescent="0.2">
      <c r="A165" s="1453"/>
      <c r="B165" s="1454"/>
      <c r="C165" s="396" t="s">
        <v>235</v>
      </c>
      <c r="D165" s="397"/>
      <c r="E165" s="397">
        <v>11100</v>
      </c>
      <c r="F165" s="398">
        <v>43100</v>
      </c>
      <c r="G165" s="398">
        <v>43100</v>
      </c>
    </row>
    <row r="166" spans="1:7" x14ac:dyDescent="0.2">
      <c r="A166" s="1453"/>
      <c r="B166" s="1454"/>
      <c r="C166" s="396" t="s">
        <v>259</v>
      </c>
      <c r="D166" s="397"/>
      <c r="E166" s="397">
        <v>-5100</v>
      </c>
      <c r="F166" s="398">
        <v>43100</v>
      </c>
      <c r="G166" s="398">
        <v>43100</v>
      </c>
    </row>
    <row r="167" spans="1:7" x14ac:dyDescent="0.2">
      <c r="A167" s="1453"/>
      <c r="B167" s="1454"/>
      <c r="C167" s="396" t="s">
        <v>235</v>
      </c>
      <c r="D167" s="397"/>
      <c r="E167" s="397">
        <v>5100</v>
      </c>
      <c r="F167" s="398">
        <v>43100</v>
      </c>
      <c r="G167" s="398">
        <v>43100</v>
      </c>
    </row>
    <row r="168" spans="1:7" x14ac:dyDescent="0.2">
      <c r="A168" s="1453"/>
      <c r="B168" s="1454"/>
      <c r="C168" s="396" t="s">
        <v>259</v>
      </c>
      <c r="D168" s="397"/>
      <c r="E168" s="397">
        <v>-42200</v>
      </c>
      <c r="F168" s="398">
        <v>43100</v>
      </c>
      <c r="G168" s="398">
        <v>43100</v>
      </c>
    </row>
    <row r="169" spans="1:7" x14ac:dyDescent="0.2">
      <c r="A169" s="1455"/>
      <c r="B169" s="1456"/>
      <c r="C169" s="399" t="s">
        <v>260</v>
      </c>
      <c r="D169" s="400"/>
      <c r="E169" s="400">
        <v>42200</v>
      </c>
      <c r="F169" s="401">
        <v>43100</v>
      </c>
      <c r="G169" s="401">
        <v>43100</v>
      </c>
    </row>
    <row r="170" spans="1:7" x14ac:dyDescent="0.2">
      <c r="A170" s="1453" t="s">
        <v>1108</v>
      </c>
      <c r="B170" s="1454"/>
      <c r="C170" s="396" t="s">
        <v>211</v>
      </c>
      <c r="D170" s="397"/>
      <c r="E170" s="397">
        <v>-62500</v>
      </c>
      <c r="F170" s="398">
        <v>43100</v>
      </c>
      <c r="G170" s="398">
        <v>43100</v>
      </c>
    </row>
    <row r="171" spans="1:7" x14ac:dyDescent="0.2">
      <c r="A171" s="1453"/>
      <c r="B171" s="1454"/>
      <c r="C171" s="396" t="s">
        <v>231</v>
      </c>
      <c r="D171" s="397"/>
      <c r="E171" s="397">
        <v>-4800</v>
      </c>
      <c r="F171" s="398">
        <v>43100</v>
      </c>
      <c r="G171" s="398">
        <v>43100</v>
      </c>
    </row>
    <row r="172" spans="1:7" x14ac:dyDescent="0.2">
      <c r="A172" s="1453"/>
      <c r="B172" s="1454"/>
      <c r="C172" s="396" t="s">
        <v>233</v>
      </c>
      <c r="D172" s="397"/>
      <c r="E172" s="397">
        <v>-1200</v>
      </c>
      <c r="F172" s="398">
        <v>43100</v>
      </c>
      <c r="G172" s="398">
        <v>43100</v>
      </c>
    </row>
    <row r="173" spans="1:7" x14ac:dyDescent="0.2">
      <c r="A173" s="1453"/>
      <c r="B173" s="1454"/>
      <c r="C173" s="396" t="s">
        <v>123</v>
      </c>
      <c r="D173" s="397"/>
      <c r="E173" s="397">
        <f>62500+4800+1200</f>
        <v>68500</v>
      </c>
      <c r="F173" s="398">
        <v>43100</v>
      </c>
      <c r="G173" s="398">
        <v>43100</v>
      </c>
    </row>
    <row r="174" spans="1:7" x14ac:dyDescent="0.2">
      <c r="A174" s="1453"/>
      <c r="B174" s="1454"/>
      <c r="C174" s="396" t="s">
        <v>131</v>
      </c>
      <c r="D174" s="397"/>
      <c r="E174" s="397">
        <v>-16100</v>
      </c>
      <c r="F174" s="398">
        <v>43100</v>
      </c>
      <c r="G174" s="398">
        <v>43100</v>
      </c>
    </row>
    <row r="175" spans="1:7" x14ac:dyDescent="0.2">
      <c r="A175" s="1453"/>
      <c r="B175" s="1454"/>
      <c r="C175" s="396" t="s">
        <v>236</v>
      </c>
      <c r="D175" s="397"/>
      <c r="E175" s="397">
        <v>1600</v>
      </c>
      <c r="F175" s="398">
        <v>43100</v>
      </c>
      <c r="G175" s="398">
        <v>43100</v>
      </c>
    </row>
    <row r="176" spans="1:7" x14ac:dyDescent="0.2">
      <c r="A176" s="1453"/>
      <c r="B176" s="1454"/>
      <c r="C176" s="396" t="s">
        <v>279</v>
      </c>
      <c r="D176" s="397"/>
      <c r="E176" s="397">
        <v>14500</v>
      </c>
      <c r="F176" s="398">
        <v>43100</v>
      </c>
      <c r="G176" s="398">
        <v>43100</v>
      </c>
    </row>
    <row r="177" spans="1:7" x14ac:dyDescent="0.2">
      <c r="A177" s="1453"/>
      <c r="B177" s="1454"/>
      <c r="C177" s="396" t="s">
        <v>247</v>
      </c>
      <c r="D177" s="397"/>
      <c r="E177" s="397">
        <v>-3000</v>
      </c>
      <c r="F177" s="398">
        <v>43100</v>
      </c>
      <c r="G177" s="398">
        <v>43100</v>
      </c>
    </row>
    <row r="178" spans="1:7" x14ac:dyDescent="0.2">
      <c r="A178" s="1453"/>
      <c r="B178" s="1454"/>
      <c r="C178" s="396" t="s">
        <v>248</v>
      </c>
      <c r="D178" s="397"/>
      <c r="E178" s="397">
        <v>-1000</v>
      </c>
      <c r="F178" s="398">
        <v>43100</v>
      </c>
      <c r="G178" s="398">
        <v>43100</v>
      </c>
    </row>
    <row r="179" spans="1:7" x14ac:dyDescent="0.2">
      <c r="A179" s="1453"/>
      <c r="B179" s="1454"/>
      <c r="C179" s="396" t="s">
        <v>123</v>
      </c>
      <c r="D179" s="397"/>
      <c r="E179" s="397">
        <f>3000+1000</f>
        <v>4000</v>
      </c>
      <c r="F179" s="398">
        <v>43100</v>
      </c>
      <c r="G179" s="398">
        <v>43100</v>
      </c>
    </row>
    <row r="180" spans="1:7" x14ac:dyDescent="0.2">
      <c r="A180" s="1453"/>
      <c r="B180" s="1454"/>
      <c r="C180" s="396" t="s">
        <v>259</v>
      </c>
      <c r="D180" s="397"/>
      <c r="E180" s="397">
        <v>-48000</v>
      </c>
      <c r="F180" s="398">
        <v>43100</v>
      </c>
      <c r="G180" s="398">
        <v>43100</v>
      </c>
    </row>
    <row r="181" spans="1:7" x14ac:dyDescent="0.2">
      <c r="A181" s="1453"/>
      <c r="B181" s="1454"/>
      <c r="C181" s="396" t="s">
        <v>209</v>
      </c>
      <c r="D181" s="397"/>
      <c r="E181" s="397">
        <v>48000</v>
      </c>
      <c r="F181" s="398">
        <v>43100</v>
      </c>
      <c r="G181" s="398">
        <v>43100</v>
      </c>
    </row>
    <row r="182" spans="1:7" x14ac:dyDescent="0.2">
      <c r="A182" s="1457" t="s">
        <v>1109</v>
      </c>
      <c r="B182" s="1458"/>
      <c r="C182" s="402" t="s">
        <v>284</v>
      </c>
      <c r="D182" s="403">
        <v>7000</v>
      </c>
      <c r="E182" s="403"/>
      <c r="F182" s="404">
        <v>43100</v>
      </c>
      <c r="G182" s="404">
        <v>43100</v>
      </c>
    </row>
    <row r="183" spans="1:7" x14ac:dyDescent="0.2">
      <c r="A183" s="1453"/>
      <c r="B183" s="1454"/>
      <c r="C183" s="396" t="s">
        <v>285</v>
      </c>
      <c r="D183" s="397">
        <v>195000</v>
      </c>
      <c r="E183" s="397"/>
      <c r="F183" s="398">
        <v>43100</v>
      </c>
      <c r="G183" s="398">
        <v>43100</v>
      </c>
    </row>
    <row r="184" spans="1:7" x14ac:dyDescent="0.2">
      <c r="A184" s="1453"/>
      <c r="B184" s="1454"/>
      <c r="C184" s="396" t="s">
        <v>209</v>
      </c>
      <c r="D184" s="397"/>
      <c r="E184" s="397">
        <v>127500</v>
      </c>
      <c r="F184" s="398">
        <v>43100</v>
      </c>
      <c r="G184" s="398">
        <v>43100</v>
      </c>
    </row>
    <row r="185" spans="1:7" x14ac:dyDescent="0.2">
      <c r="A185" s="1453"/>
      <c r="B185" s="1454"/>
      <c r="C185" s="396" t="s">
        <v>130</v>
      </c>
      <c r="D185" s="397"/>
      <c r="E185" s="397">
        <v>13700</v>
      </c>
      <c r="F185" s="398">
        <v>43100</v>
      </c>
      <c r="G185" s="398">
        <v>43100</v>
      </c>
    </row>
    <row r="186" spans="1:7" x14ac:dyDescent="0.2">
      <c r="A186" s="1453"/>
      <c r="B186" s="1454"/>
      <c r="C186" s="396" t="s">
        <v>279</v>
      </c>
      <c r="D186" s="397"/>
      <c r="E186" s="397">
        <v>60800</v>
      </c>
      <c r="F186" s="398">
        <v>43100</v>
      </c>
      <c r="G186" s="398">
        <v>43100</v>
      </c>
    </row>
    <row r="187" spans="1:7" x14ac:dyDescent="0.2">
      <c r="A187" s="1453"/>
      <c r="B187" s="1454"/>
      <c r="C187" s="396" t="s">
        <v>249</v>
      </c>
      <c r="D187" s="397">
        <v>-21000</v>
      </c>
      <c r="E187" s="397"/>
      <c r="F187" s="398">
        <v>43100</v>
      </c>
      <c r="G187" s="398">
        <v>43100</v>
      </c>
    </row>
    <row r="188" spans="1:7" x14ac:dyDescent="0.2">
      <c r="A188" s="1455"/>
      <c r="B188" s="1456"/>
      <c r="C188" s="399" t="s">
        <v>286</v>
      </c>
      <c r="D188" s="400">
        <v>21000</v>
      </c>
      <c r="E188" s="400"/>
      <c r="F188" s="401">
        <v>43100</v>
      </c>
      <c r="G188" s="401">
        <v>43100</v>
      </c>
    </row>
    <row r="189" spans="1:7" x14ac:dyDescent="0.2">
      <c r="A189" s="1453" t="s">
        <v>1109</v>
      </c>
      <c r="B189" s="1454"/>
      <c r="C189" s="396" t="s">
        <v>1110</v>
      </c>
      <c r="D189" s="397">
        <v>13825</v>
      </c>
      <c r="E189" s="397"/>
      <c r="F189" s="398">
        <v>43100</v>
      </c>
      <c r="G189" s="398">
        <v>43100</v>
      </c>
    </row>
    <row r="190" spans="1:7" x14ac:dyDescent="0.2">
      <c r="A190" s="1453"/>
      <c r="B190" s="1454"/>
      <c r="C190" s="396" t="s">
        <v>1111</v>
      </c>
      <c r="D190" s="397">
        <v>-4100</v>
      </c>
      <c r="E190" s="397"/>
      <c r="F190" s="398">
        <v>43100</v>
      </c>
      <c r="G190" s="398">
        <v>43100</v>
      </c>
    </row>
    <row r="191" spans="1:7" x14ac:dyDescent="0.2">
      <c r="A191" s="1453"/>
      <c r="B191" s="1454"/>
      <c r="C191" s="396" t="s">
        <v>1112</v>
      </c>
      <c r="D191" s="397">
        <v>-600</v>
      </c>
      <c r="E191" s="397"/>
      <c r="F191" s="398">
        <v>43100</v>
      </c>
      <c r="G191" s="398">
        <v>43100</v>
      </c>
    </row>
    <row r="192" spans="1:7" x14ac:dyDescent="0.2">
      <c r="A192" s="1453"/>
      <c r="B192" s="1454"/>
      <c r="C192" s="396" t="s">
        <v>1113</v>
      </c>
      <c r="D192" s="397"/>
      <c r="E192" s="397">
        <v>880</v>
      </c>
      <c r="F192" s="398">
        <v>43100</v>
      </c>
      <c r="G192" s="398">
        <v>43100</v>
      </c>
    </row>
    <row r="193" spans="1:7" x14ac:dyDescent="0.2">
      <c r="A193" s="1453"/>
      <c r="B193" s="1454"/>
      <c r="C193" s="396" t="s">
        <v>1114</v>
      </c>
      <c r="D193" s="397"/>
      <c r="E193" s="397">
        <v>1155</v>
      </c>
      <c r="F193" s="398">
        <v>43100</v>
      </c>
      <c r="G193" s="398">
        <v>43100</v>
      </c>
    </row>
    <row r="194" spans="1:7" x14ac:dyDescent="0.2">
      <c r="A194" s="1453"/>
      <c r="B194" s="1454"/>
      <c r="C194" s="396" t="s">
        <v>271</v>
      </c>
      <c r="D194" s="397"/>
      <c r="E194" s="397">
        <v>5400</v>
      </c>
      <c r="F194" s="398">
        <v>43100</v>
      </c>
      <c r="G194" s="398">
        <v>43100</v>
      </c>
    </row>
    <row r="195" spans="1:7" x14ac:dyDescent="0.2">
      <c r="A195" s="1453"/>
      <c r="B195" s="1454"/>
      <c r="C195" s="396" t="s">
        <v>253</v>
      </c>
      <c r="D195" s="397"/>
      <c r="E195" s="397">
        <v>1400</v>
      </c>
      <c r="F195" s="398">
        <v>43100</v>
      </c>
      <c r="G195" s="398">
        <v>43100</v>
      </c>
    </row>
    <row r="196" spans="1:7" x14ac:dyDescent="0.2">
      <c r="A196" s="1509"/>
      <c r="B196" s="1510"/>
      <c r="C196" s="396" t="s">
        <v>278</v>
      </c>
      <c r="D196" s="397"/>
      <c r="E196" s="397">
        <v>290</v>
      </c>
      <c r="F196" s="398">
        <v>43100</v>
      </c>
      <c r="G196" s="398">
        <v>43100</v>
      </c>
    </row>
    <row r="197" spans="1:7" x14ac:dyDescent="0.2">
      <c r="A197" s="1511" t="s">
        <v>132</v>
      </c>
      <c r="B197" s="1512"/>
      <c r="C197" s="390"/>
      <c r="D197" s="416">
        <f>SUM(D52:D196)</f>
        <v>2621727.8899999997</v>
      </c>
      <c r="E197" s="416">
        <f>SUM(E52:E196)</f>
        <v>2621727.89</v>
      </c>
      <c r="F197" s="1513"/>
      <c r="G197" s="1514"/>
    </row>
    <row r="198" spans="1:7" x14ac:dyDescent="0.2">
      <c r="A198" s="911"/>
      <c r="B198" s="911"/>
      <c r="C198" s="912"/>
      <c r="D198" s="913"/>
      <c r="E198" s="913"/>
      <c r="F198" s="914"/>
      <c r="G198" s="914"/>
    </row>
    <row r="199" spans="1:7" ht="36" x14ac:dyDescent="0.2">
      <c r="A199" s="1449" t="s">
        <v>114</v>
      </c>
      <c r="B199" s="1450"/>
      <c r="C199" s="906" t="s">
        <v>115</v>
      </c>
      <c r="D199" s="906" t="s">
        <v>116</v>
      </c>
      <c r="E199" s="906" t="s">
        <v>117</v>
      </c>
      <c r="F199" s="906" t="s">
        <v>118</v>
      </c>
      <c r="G199" s="906" t="s">
        <v>119</v>
      </c>
    </row>
    <row r="200" spans="1:7" x14ac:dyDescent="0.2">
      <c r="A200" s="1451" t="s">
        <v>1115</v>
      </c>
      <c r="B200" s="1452"/>
      <c r="C200" s="393" t="s">
        <v>1116</v>
      </c>
      <c r="D200" s="394"/>
      <c r="E200" s="394">
        <v>-1100</v>
      </c>
      <c r="F200" s="395">
        <v>43100</v>
      </c>
      <c r="G200" s="395">
        <v>43100</v>
      </c>
    </row>
    <row r="201" spans="1:7" x14ac:dyDescent="0.2">
      <c r="A201" s="1453"/>
      <c r="B201" s="1454"/>
      <c r="C201" s="396" t="s">
        <v>1117</v>
      </c>
      <c r="D201" s="397"/>
      <c r="E201" s="397">
        <v>-350</v>
      </c>
      <c r="F201" s="398">
        <v>43100</v>
      </c>
      <c r="G201" s="398">
        <v>43100</v>
      </c>
    </row>
    <row r="202" spans="1:7" x14ac:dyDescent="0.2">
      <c r="A202" s="1453"/>
      <c r="B202" s="1454"/>
      <c r="C202" s="396" t="s">
        <v>311</v>
      </c>
      <c r="D202" s="397"/>
      <c r="E202" s="397">
        <v>-3100</v>
      </c>
      <c r="F202" s="398">
        <v>43100</v>
      </c>
      <c r="G202" s="398">
        <v>43100</v>
      </c>
    </row>
    <row r="203" spans="1:7" x14ac:dyDescent="0.2">
      <c r="A203" s="1453"/>
      <c r="B203" s="1454"/>
      <c r="C203" s="396" t="s">
        <v>295</v>
      </c>
      <c r="D203" s="397"/>
      <c r="E203" s="397">
        <v>-21000</v>
      </c>
      <c r="F203" s="398">
        <v>43100</v>
      </c>
      <c r="G203" s="398">
        <v>43100</v>
      </c>
    </row>
    <row r="204" spans="1:7" x14ac:dyDescent="0.2">
      <c r="A204" s="1453"/>
      <c r="B204" s="1454"/>
      <c r="C204" s="396" t="s">
        <v>296</v>
      </c>
      <c r="D204" s="397"/>
      <c r="E204" s="397">
        <v>-1000</v>
      </c>
      <c r="F204" s="398">
        <v>43100</v>
      </c>
      <c r="G204" s="398">
        <v>43100</v>
      </c>
    </row>
    <row r="205" spans="1:7" x14ac:dyDescent="0.2">
      <c r="A205" s="1453"/>
      <c r="B205" s="1454"/>
      <c r="C205" s="396" t="s">
        <v>297</v>
      </c>
      <c r="D205" s="397"/>
      <c r="E205" s="397">
        <v>-7050</v>
      </c>
      <c r="F205" s="398">
        <v>43100</v>
      </c>
      <c r="G205" s="398">
        <v>43100</v>
      </c>
    </row>
    <row r="206" spans="1:7" x14ac:dyDescent="0.2">
      <c r="A206" s="1453"/>
      <c r="B206" s="1454"/>
      <c r="C206" s="396" t="s">
        <v>312</v>
      </c>
      <c r="D206" s="397"/>
      <c r="E206" s="397">
        <v>-3400</v>
      </c>
      <c r="F206" s="398">
        <v>43100</v>
      </c>
      <c r="G206" s="398">
        <v>43100</v>
      </c>
    </row>
    <row r="207" spans="1:7" x14ac:dyDescent="0.2">
      <c r="A207" s="1453"/>
      <c r="B207" s="1454"/>
      <c r="C207" s="396" t="s">
        <v>1118</v>
      </c>
      <c r="D207" s="397"/>
      <c r="E207" s="397">
        <v>2350</v>
      </c>
      <c r="F207" s="398">
        <v>43100</v>
      </c>
      <c r="G207" s="398">
        <v>43100</v>
      </c>
    </row>
    <row r="208" spans="1:7" x14ac:dyDescent="0.2">
      <c r="A208" s="1453"/>
      <c r="B208" s="1454"/>
      <c r="C208" s="396" t="s">
        <v>214</v>
      </c>
      <c r="D208" s="397"/>
      <c r="E208" s="397">
        <v>1500</v>
      </c>
      <c r="F208" s="398">
        <v>43100</v>
      </c>
      <c r="G208" s="398">
        <v>43100</v>
      </c>
    </row>
    <row r="209" spans="1:7" x14ac:dyDescent="0.2">
      <c r="A209" s="1453"/>
      <c r="B209" s="1454"/>
      <c r="C209" s="396" t="s">
        <v>1119</v>
      </c>
      <c r="D209" s="397"/>
      <c r="E209" s="397">
        <v>100</v>
      </c>
      <c r="F209" s="398">
        <v>43100</v>
      </c>
      <c r="G209" s="398">
        <v>43100</v>
      </c>
    </row>
    <row r="210" spans="1:7" x14ac:dyDescent="0.2">
      <c r="A210" s="1453"/>
      <c r="B210" s="1454"/>
      <c r="C210" s="396" t="s">
        <v>294</v>
      </c>
      <c r="D210" s="397"/>
      <c r="E210" s="397">
        <v>50</v>
      </c>
      <c r="F210" s="398">
        <v>43100</v>
      </c>
      <c r="G210" s="398">
        <v>43100</v>
      </c>
    </row>
    <row r="211" spans="1:7" x14ac:dyDescent="0.2">
      <c r="A211" s="1453"/>
      <c r="B211" s="1454"/>
      <c r="C211" s="396" t="s">
        <v>287</v>
      </c>
      <c r="D211" s="397"/>
      <c r="E211" s="397">
        <v>33000</v>
      </c>
      <c r="F211" s="398">
        <v>43100</v>
      </c>
      <c r="G211" s="398">
        <v>43100</v>
      </c>
    </row>
    <row r="212" spans="1:7" x14ac:dyDescent="0.2">
      <c r="A212" s="1453"/>
      <c r="B212" s="1454"/>
      <c r="C212" s="396" t="s">
        <v>290</v>
      </c>
      <c r="D212" s="397"/>
      <c r="E212" s="397">
        <v>-29150</v>
      </c>
      <c r="F212" s="398">
        <v>43100</v>
      </c>
      <c r="G212" s="398">
        <v>43100</v>
      </c>
    </row>
    <row r="213" spans="1:7" x14ac:dyDescent="0.2">
      <c r="A213" s="1453"/>
      <c r="B213" s="1454"/>
      <c r="C213" s="396" t="s">
        <v>291</v>
      </c>
      <c r="D213" s="397"/>
      <c r="E213" s="397">
        <v>-40900</v>
      </c>
      <c r="F213" s="398">
        <v>43100</v>
      </c>
      <c r="G213" s="398">
        <v>43100</v>
      </c>
    </row>
    <row r="214" spans="1:7" x14ac:dyDescent="0.2">
      <c r="A214" s="1453"/>
      <c r="B214" s="1454"/>
      <c r="C214" s="396" t="s">
        <v>293</v>
      </c>
      <c r="D214" s="397"/>
      <c r="E214" s="397">
        <v>8750</v>
      </c>
      <c r="F214" s="398">
        <v>43100</v>
      </c>
      <c r="G214" s="398">
        <v>43100</v>
      </c>
    </row>
    <row r="215" spans="1:7" x14ac:dyDescent="0.2">
      <c r="A215" s="1453"/>
      <c r="B215" s="1454"/>
      <c r="C215" s="396" t="s">
        <v>299</v>
      </c>
      <c r="D215" s="397"/>
      <c r="E215" s="397">
        <v>40765</v>
      </c>
      <c r="F215" s="398">
        <v>43100</v>
      </c>
      <c r="G215" s="398">
        <v>43100</v>
      </c>
    </row>
    <row r="216" spans="1:7" x14ac:dyDescent="0.2">
      <c r="A216" s="1453"/>
      <c r="B216" s="1454"/>
      <c r="C216" s="396" t="s">
        <v>300</v>
      </c>
      <c r="D216" s="397"/>
      <c r="E216" s="397">
        <v>10535</v>
      </c>
      <c r="F216" s="398">
        <v>43100</v>
      </c>
      <c r="G216" s="398">
        <v>43100</v>
      </c>
    </row>
    <row r="217" spans="1:7" x14ac:dyDescent="0.2">
      <c r="A217" s="1453"/>
      <c r="B217" s="1454"/>
      <c r="C217" s="396" t="s">
        <v>774</v>
      </c>
      <c r="D217" s="397"/>
      <c r="E217" s="397">
        <v>10000</v>
      </c>
      <c r="F217" s="398">
        <v>43100</v>
      </c>
      <c r="G217" s="398">
        <v>43100</v>
      </c>
    </row>
    <row r="218" spans="1:7" x14ac:dyDescent="0.2">
      <c r="A218" s="1453"/>
      <c r="B218" s="1454"/>
      <c r="C218" s="396" t="s">
        <v>298</v>
      </c>
      <c r="D218" s="397"/>
      <c r="E218" s="397">
        <f>7475+500</f>
        <v>7975</v>
      </c>
      <c r="F218" s="398">
        <v>43100</v>
      </c>
      <c r="G218" s="398">
        <v>43100</v>
      </c>
    </row>
    <row r="219" spans="1:7" x14ac:dyDescent="0.2">
      <c r="A219" s="1453"/>
      <c r="B219" s="1454"/>
      <c r="C219" s="396" t="s">
        <v>313</v>
      </c>
      <c r="D219" s="397"/>
      <c r="E219" s="397">
        <v>4250</v>
      </c>
      <c r="F219" s="398">
        <v>43100</v>
      </c>
      <c r="G219" s="398">
        <v>43100</v>
      </c>
    </row>
    <row r="220" spans="1:7" x14ac:dyDescent="0.2">
      <c r="A220" s="1453"/>
      <c r="B220" s="1454"/>
      <c r="C220" s="396" t="s">
        <v>314</v>
      </c>
      <c r="D220" s="397"/>
      <c r="E220" s="397">
        <v>-4750</v>
      </c>
      <c r="F220" s="398">
        <v>43100</v>
      </c>
      <c r="G220" s="398">
        <v>43100</v>
      </c>
    </row>
    <row r="221" spans="1:7" x14ac:dyDescent="0.2">
      <c r="A221" s="1453"/>
      <c r="B221" s="1454"/>
      <c r="C221" s="396" t="s">
        <v>1120</v>
      </c>
      <c r="D221" s="397"/>
      <c r="E221" s="397">
        <v>-7475</v>
      </c>
      <c r="F221" s="398">
        <v>43100</v>
      </c>
      <c r="G221" s="398">
        <v>43100</v>
      </c>
    </row>
    <row r="222" spans="1:7" x14ac:dyDescent="0.2">
      <c r="A222" s="1453"/>
      <c r="B222" s="1454"/>
      <c r="C222" s="396" t="s">
        <v>316</v>
      </c>
      <c r="D222" s="397"/>
      <c r="E222" s="397">
        <v>-9000</v>
      </c>
      <c r="F222" s="398">
        <v>43100</v>
      </c>
      <c r="G222" s="398">
        <v>43100</v>
      </c>
    </row>
    <row r="223" spans="1:7" x14ac:dyDescent="0.2">
      <c r="A223" s="1453"/>
      <c r="B223" s="1454"/>
      <c r="C223" s="396" t="s">
        <v>1121</v>
      </c>
      <c r="D223" s="397"/>
      <c r="E223" s="397">
        <v>-100</v>
      </c>
      <c r="F223" s="398">
        <v>43100</v>
      </c>
      <c r="G223" s="398">
        <v>43100</v>
      </c>
    </row>
    <row r="224" spans="1:7" x14ac:dyDescent="0.2">
      <c r="A224" s="1453"/>
      <c r="B224" s="1454"/>
      <c r="C224" s="396" t="s">
        <v>306</v>
      </c>
      <c r="D224" s="397"/>
      <c r="E224" s="397">
        <v>-8900</v>
      </c>
      <c r="F224" s="398">
        <v>43100</v>
      </c>
      <c r="G224" s="398">
        <v>43100</v>
      </c>
    </row>
    <row r="225" spans="1:7" x14ac:dyDescent="0.2">
      <c r="A225" s="1453"/>
      <c r="B225" s="1454"/>
      <c r="C225" s="396" t="s">
        <v>308</v>
      </c>
      <c r="D225" s="397"/>
      <c r="E225" s="397">
        <v>-1000</v>
      </c>
      <c r="F225" s="398">
        <v>43100</v>
      </c>
      <c r="G225" s="398">
        <v>43100</v>
      </c>
    </row>
    <row r="226" spans="1:7" x14ac:dyDescent="0.2">
      <c r="A226" s="1453"/>
      <c r="B226" s="1454"/>
      <c r="C226" s="396" t="s">
        <v>1122</v>
      </c>
      <c r="D226" s="397"/>
      <c r="E226" s="397">
        <v>-500</v>
      </c>
      <c r="F226" s="398">
        <v>43100</v>
      </c>
      <c r="G226" s="398">
        <v>43100</v>
      </c>
    </row>
    <row r="227" spans="1:7" x14ac:dyDescent="0.2">
      <c r="A227" s="1453"/>
      <c r="B227" s="1454"/>
      <c r="C227" s="396" t="s">
        <v>305</v>
      </c>
      <c r="D227" s="397"/>
      <c r="E227" s="397">
        <v>-2400</v>
      </c>
      <c r="F227" s="398">
        <v>43100</v>
      </c>
      <c r="G227" s="398">
        <v>43100</v>
      </c>
    </row>
    <row r="228" spans="1:7" x14ac:dyDescent="0.2">
      <c r="A228" s="1453"/>
      <c r="B228" s="1454"/>
      <c r="C228" s="396" t="s">
        <v>304</v>
      </c>
      <c r="D228" s="397"/>
      <c r="E228" s="397">
        <v>-7400</v>
      </c>
      <c r="F228" s="398">
        <v>43100</v>
      </c>
      <c r="G228" s="398">
        <v>43100</v>
      </c>
    </row>
    <row r="229" spans="1:7" x14ac:dyDescent="0.2">
      <c r="A229" s="1453"/>
      <c r="B229" s="1454"/>
      <c r="C229" s="396" t="s">
        <v>303</v>
      </c>
      <c r="D229" s="397"/>
      <c r="E229" s="397">
        <v>100</v>
      </c>
      <c r="F229" s="398">
        <v>43100</v>
      </c>
      <c r="G229" s="398">
        <v>43100</v>
      </c>
    </row>
    <row r="230" spans="1:7" x14ac:dyDescent="0.2">
      <c r="A230" s="1453"/>
      <c r="B230" s="1454"/>
      <c r="C230" s="396" t="s">
        <v>317</v>
      </c>
      <c r="D230" s="397"/>
      <c r="E230" s="397">
        <v>4400</v>
      </c>
      <c r="F230" s="398">
        <v>43100</v>
      </c>
      <c r="G230" s="398">
        <v>43100</v>
      </c>
    </row>
    <row r="231" spans="1:7" x14ac:dyDescent="0.2">
      <c r="A231" s="1453"/>
      <c r="B231" s="1454"/>
      <c r="C231" s="396" t="s">
        <v>307</v>
      </c>
      <c r="D231" s="397"/>
      <c r="E231" s="397">
        <v>5200</v>
      </c>
      <c r="F231" s="398">
        <v>43100</v>
      </c>
      <c r="G231" s="398">
        <v>43100</v>
      </c>
    </row>
    <row r="232" spans="1:7" x14ac:dyDescent="0.2">
      <c r="A232" s="1453"/>
      <c r="B232" s="1454"/>
      <c r="C232" s="396" t="s">
        <v>1123</v>
      </c>
      <c r="D232" s="397"/>
      <c r="E232" s="397">
        <v>500</v>
      </c>
      <c r="F232" s="398">
        <v>43100</v>
      </c>
      <c r="G232" s="398">
        <v>43100</v>
      </c>
    </row>
    <row r="233" spans="1:7" x14ac:dyDescent="0.2">
      <c r="A233" s="1453"/>
      <c r="B233" s="1454"/>
      <c r="C233" s="396" t="s">
        <v>287</v>
      </c>
      <c r="D233" s="397"/>
      <c r="E233" s="397">
        <v>19100</v>
      </c>
      <c r="F233" s="398">
        <v>43100</v>
      </c>
      <c r="G233" s="398">
        <v>43100</v>
      </c>
    </row>
    <row r="234" spans="1:7" x14ac:dyDescent="0.2">
      <c r="A234" s="1453"/>
      <c r="B234" s="1454"/>
      <c r="C234" s="396" t="s">
        <v>320</v>
      </c>
      <c r="D234" s="397"/>
      <c r="E234" s="397">
        <v>-5700</v>
      </c>
      <c r="F234" s="398">
        <v>43100</v>
      </c>
      <c r="G234" s="398">
        <v>43100</v>
      </c>
    </row>
    <row r="235" spans="1:7" x14ac:dyDescent="0.2">
      <c r="A235" s="1453"/>
      <c r="B235" s="1454"/>
      <c r="C235" s="396" t="s">
        <v>287</v>
      </c>
      <c r="D235" s="397"/>
      <c r="E235" s="397">
        <v>5700</v>
      </c>
      <c r="F235" s="398">
        <v>43100</v>
      </c>
      <c r="G235" s="398">
        <v>43100</v>
      </c>
    </row>
    <row r="236" spans="1:7" x14ac:dyDescent="0.2">
      <c r="A236" s="1453"/>
      <c r="B236" s="1454"/>
      <c r="C236" s="396" t="s">
        <v>301</v>
      </c>
      <c r="D236" s="397"/>
      <c r="E236" s="397">
        <v>150</v>
      </c>
      <c r="F236" s="398">
        <v>43100</v>
      </c>
      <c r="G236" s="398">
        <v>43100</v>
      </c>
    </row>
    <row r="237" spans="1:7" x14ac:dyDescent="0.2">
      <c r="A237" s="1453"/>
      <c r="B237" s="1454"/>
      <c r="C237" s="396" t="s">
        <v>319</v>
      </c>
      <c r="D237" s="397"/>
      <c r="E237" s="397">
        <v>-17050</v>
      </c>
      <c r="F237" s="398">
        <v>43100</v>
      </c>
      <c r="G237" s="398">
        <v>43100</v>
      </c>
    </row>
    <row r="238" spans="1:7" x14ac:dyDescent="0.2">
      <c r="A238" s="1453"/>
      <c r="B238" s="1454"/>
      <c r="C238" s="396" t="s">
        <v>1124</v>
      </c>
      <c r="D238" s="397"/>
      <c r="E238" s="397">
        <v>6000</v>
      </c>
      <c r="F238" s="398">
        <v>43100</v>
      </c>
      <c r="G238" s="398">
        <v>43100</v>
      </c>
    </row>
    <row r="239" spans="1:7" x14ac:dyDescent="0.2">
      <c r="A239" s="1453"/>
      <c r="B239" s="1454"/>
      <c r="C239" s="396" t="s">
        <v>287</v>
      </c>
      <c r="D239" s="397"/>
      <c r="E239" s="397">
        <v>10900</v>
      </c>
      <c r="F239" s="398">
        <v>43100</v>
      </c>
      <c r="G239" s="398">
        <v>43100</v>
      </c>
    </row>
    <row r="240" spans="1:7" x14ac:dyDescent="0.2">
      <c r="A240" s="1453"/>
      <c r="B240" s="1454"/>
      <c r="C240" s="396" t="s">
        <v>302</v>
      </c>
      <c r="D240" s="397"/>
      <c r="E240" s="397">
        <v>-12950</v>
      </c>
      <c r="F240" s="398">
        <v>43100</v>
      </c>
      <c r="G240" s="398">
        <v>43100</v>
      </c>
    </row>
    <row r="241" spans="1:7" x14ac:dyDescent="0.2">
      <c r="A241" s="1453"/>
      <c r="B241" s="1454"/>
      <c r="C241" s="396" t="s">
        <v>287</v>
      </c>
      <c r="D241" s="397"/>
      <c r="E241" s="397">
        <v>12950</v>
      </c>
      <c r="F241" s="398">
        <v>43100</v>
      </c>
      <c r="G241" s="398">
        <v>43100</v>
      </c>
    </row>
    <row r="242" spans="1:7" x14ac:dyDescent="0.2">
      <c r="A242" s="1457" t="s">
        <v>1125</v>
      </c>
      <c r="B242" s="1458"/>
      <c r="C242" s="402" t="s">
        <v>292</v>
      </c>
      <c r="D242" s="403">
        <v>315400</v>
      </c>
      <c r="E242" s="403"/>
      <c r="F242" s="404">
        <v>43100</v>
      </c>
      <c r="G242" s="404">
        <v>43100</v>
      </c>
    </row>
    <row r="243" spans="1:7" x14ac:dyDescent="0.2">
      <c r="A243" s="1453"/>
      <c r="B243" s="1454"/>
      <c r="C243" s="396" t="s">
        <v>287</v>
      </c>
      <c r="D243" s="397"/>
      <c r="E243" s="397">
        <v>20100</v>
      </c>
      <c r="F243" s="398">
        <v>43100</v>
      </c>
      <c r="G243" s="398">
        <v>43100</v>
      </c>
    </row>
    <row r="244" spans="1:7" x14ac:dyDescent="0.2">
      <c r="A244" s="1453"/>
      <c r="B244" s="1454"/>
      <c r="C244" s="396" t="s">
        <v>288</v>
      </c>
      <c r="D244" s="397"/>
      <c r="E244" s="397">
        <v>27220</v>
      </c>
      <c r="F244" s="398">
        <v>43100</v>
      </c>
      <c r="G244" s="398">
        <v>43100</v>
      </c>
    </row>
    <row r="245" spans="1:7" x14ac:dyDescent="0.2">
      <c r="A245" s="1453"/>
      <c r="B245" s="1454"/>
      <c r="C245" s="396" t="s">
        <v>774</v>
      </c>
      <c r="D245" s="397"/>
      <c r="E245" s="397">
        <v>1110</v>
      </c>
      <c r="F245" s="398">
        <v>43100</v>
      </c>
      <c r="G245" s="398">
        <v>43100</v>
      </c>
    </row>
    <row r="246" spans="1:7" x14ac:dyDescent="0.2">
      <c r="A246" s="1453"/>
      <c r="B246" s="1454"/>
      <c r="C246" s="396" t="s">
        <v>318</v>
      </c>
      <c r="D246" s="397"/>
      <c r="E246" s="397">
        <v>430</v>
      </c>
      <c r="F246" s="398">
        <v>43100</v>
      </c>
      <c r="G246" s="398">
        <v>43100</v>
      </c>
    </row>
    <row r="247" spans="1:7" x14ac:dyDescent="0.2">
      <c r="A247" s="1453"/>
      <c r="B247" s="1454"/>
      <c r="C247" s="396" t="s">
        <v>289</v>
      </c>
      <c r="D247" s="397"/>
      <c r="E247" s="397">
        <v>3590</v>
      </c>
      <c r="F247" s="398">
        <v>43100</v>
      </c>
      <c r="G247" s="398">
        <v>43100</v>
      </c>
    </row>
    <row r="248" spans="1:7" x14ac:dyDescent="0.2">
      <c r="A248" s="1453"/>
      <c r="B248" s="1454"/>
      <c r="C248" s="396" t="s">
        <v>1126</v>
      </c>
      <c r="D248" s="397"/>
      <c r="E248" s="397">
        <v>79250</v>
      </c>
      <c r="F248" s="398">
        <v>43100</v>
      </c>
      <c r="G248" s="398">
        <v>43100</v>
      </c>
    </row>
    <row r="249" spans="1:7" x14ac:dyDescent="0.2">
      <c r="A249" s="1453"/>
      <c r="B249" s="1454"/>
      <c r="C249" s="396" t="s">
        <v>313</v>
      </c>
      <c r="D249" s="397"/>
      <c r="E249" s="397">
        <v>183700</v>
      </c>
      <c r="F249" s="398">
        <v>43100</v>
      </c>
      <c r="G249" s="398">
        <v>43100</v>
      </c>
    </row>
    <row r="250" spans="1:7" x14ac:dyDescent="0.2">
      <c r="A250" s="1453"/>
      <c r="B250" s="1454"/>
      <c r="C250" s="396" t="s">
        <v>309</v>
      </c>
      <c r="D250" s="397">
        <v>15000</v>
      </c>
      <c r="E250" s="397"/>
      <c r="F250" s="398">
        <v>43100</v>
      </c>
      <c r="G250" s="398">
        <v>43100</v>
      </c>
    </row>
    <row r="251" spans="1:7" x14ac:dyDescent="0.2">
      <c r="A251" s="1453"/>
      <c r="B251" s="1454"/>
      <c r="C251" s="396" t="s">
        <v>313</v>
      </c>
      <c r="D251" s="397"/>
      <c r="E251" s="397">
        <v>9200</v>
      </c>
      <c r="F251" s="398">
        <v>43100</v>
      </c>
      <c r="G251" s="398">
        <v>43100</v>
      </c>
    </row>
    <row r="252" spans="1:7" x14ac:dyDescent="0.2">
      <c r="A252" s="1453"/>
      <c r="B252" s="1454"/>
      <c r="C252" s="396" t="s">
        <v>315</v>
      </c>
      <c r="D252" s="397"/>
      <c r="E252" s="397">
        <v>5800</v>
      </c>
      <c r="F252" s="398">
        <v>43100</v>
      </c>
      <c r="G252" s="398">
        <v>43100</v>
      </c>
    </row>
    <row r="253" spans="1:7" x14ac:dyDescent="0.2">
      <c r="A253" s="1453"/>
      <c r="B253" s="1454"/>
      <c r="C253" s="396" t="s">
        <v>310</v>
      </c>
      <c r="D253" s="397">
        <v>27000</v>
      </c>
      <c r="E253" s="397"/>
      <c r="F253" s="398">
        <v>43100</v>
      </c>
      <c r="G253" s="398">
        <v>43100</v>
      </c>
    </row>
    <row r="254" spans="1:7" x14ac:dyDescent="0.2">
      <c r="A254" s="1509"/>
      <c r="B254" s="1510"/>
      <c r="C254" s="915" t="s">
        <v>313</v>
      </c>
      <c r="D254" s="916"/>
      <c r="E254" s="916">
        <v>27000</v>
      </c>
      <c r="F254" s="917">
        <v>43100</v>
      </c>
      <c r="G254" s="917">
        <v>43100</v>
      </c>
    </row>
    <row r="255" spans="1:7" x14ac:dyDescent="0.2">
      <c r="A255" s="1515" t="s">
        <v>132</v>
      </c>
      <c r="B255" s="1516"/>
      <c r="C255" s="407"/>
      <c r="D255" s="417">
        <f>SUM(D200:D254)</f>
        <v>357400</v>
      </c>
      <c r="E255" s="417">
        <f>SUM(E200:E254)</f>
        <v>357400</v>
      </c>
      <c r="F255" s="1517"/>
      <c r="G255" s="1518"/>
    </row>
    <row r="256" spans="1:7" x14ac:dyDescent="0.2">
      <c r="A256" s="918"/>
      <c r="B256" s="918"/>
      <c r="C256" s="919"/>
      <c r="D256" s="920"/>
      <c r="E256" s="920"/>
      <c r="F256" s="921"/>
      <c r="G256" s="921"/>
    </row>
    <row r="257" spans="1:9" x14ac:dyDescent="0.2">
      <c r="A257" s="432"/>
      <c r="B257" s="432"/>
      <c r="C257" s="922"/>
      <c r="D257" s="922"/>
      <c r="E257" s="923"/>
    </row>
    <row r="258" spans="1:9" x14ac:dyDescent="0.2">
      <c r="A258" s="1523" t="s">
        <v>397</v>
      </c>
      <c r="B258" s="1523"/>
      <c r="C258" s="1523"/>
      <c r="D258" s="1523"/>
      <c r="E258" s="1523"/>
      <c r="F258" s="1523"/>
      <c r="G258" s="1523"/>
      <c r="H258" s="1523"/>
      <c r="I258" s="1523"/>
    </row>
    <row r="259" spans="1:9" x14ac:dyDescent="0.2">
      <c r="A259" s="1524" t="s">
        <v>1127</v>
      </c>
      <c r="B259" s="1525"/>
      <c r="C259" s="1525"/>
      <c r="D259" s="1525"/>
      <c r="E259" s="1525"/>
      <c r="F259" s="1525"/>
      <c r="G259" s="1525"/>
      <c r="H259" s="1525"/>
      <c r="I259" s="1526"/>
    </row>
    <row r="260" spans="1:9" x14ac:dyDescent="0.2">
      <c r="A260" s="1527" t="s">
        <v>1128</v>
      </c>
      <c r="B260" s="1528"/>
      <c r="C260" s="1528"/>
      <c r="D260" s="1528"/>
      <c r="E260" s="1528"/>
      <c r="F260" s="1528"/>
      <c r="G260" s="1528"/>
      <c r="H260" s="1528"/>
      <c r="I260" s="1206"/>
    </row>
    <row r="261" spans="1:9" x14ac:dyDescent="0.2">
      <c r="A261" s="1529"/>
      <c r="B261" s="1529"/>
      <c r="C261" s="1529"/>
      <c r="D261" s="1529"/>
      <c r="E261" s="1529"/>
      <c r="F261" s="1529"/>
      <c r="G261" s="1529"/>
      <c r="H261" s="1529"/>
      <c r="I261" s="1529"/>
    </row>
    <row r="262" spans="1:9" s="861" customFormat="1" x14ac:dyDescent="0.2">
      <c r="A262" s="1530" t="s">
        <v>399</v>
      </c>
      <c r="B262" s="1530"/>
      <c r="C262" s="1530"/>
      <c r="D262" s="1530"/>
      <c r="E262" s="1530"/>
      <c r="F262" s="1530"/>
      <c r="G262" s="1530"/>
      <c r="H262" s="1530"/>
      <c r="I262" s="1530"/>
    </row>
    <row r="263" spans="1:9" x14ac:dyDescent="0.2">
      <c r="A263" s="1519" t="s">
        <v>112</v>
      </c>
      <c r="B263" s="1520"/>
      <c r="C263" s="1520"/>
      <c r="D263" s="1520"/>
      <c r="E263" s="1520"/>
      <c r="F263" s="1520"/>
      <c r="G263" s="1520"/>
      <c r="H263" s="1520"/>
      <c r="I263" s="1521"/>
    </row>
    <row r="264" spans="1:9" ht="27" customHeight="1" x14ac:dyDescent="0.2">
      <c r="A264" s="1522" t="s">
        <v>1129</v>
      </c>
      <c r="B264" s="1218"/>
      <c r="C264" s="1218"/>
      <c r="D264" s="1218"/>
      <c r="E264" s="1218"/>
      <c r="F264" s="1218"/>
      <c r="G264" s="1218"/>
      <c r="H264" s="1218"/>
      <c r="I264" s="1208"/>
    </row>
    <row r="267" spans="1:9" x14ac:dyDescent="0.2">
      <c r="A267" s="862" t="s">
        <v>443</v>
      </c>
      <c r="D267" s="1441" t="s">
        <v>1130</v>
      </c>
      <c r="E267" s="1441"/>
      <c r="F267" s="1441"/>
      <c r="G267" s="1441"/>
    </row>
    <row r="268" spans="1:9" x14ac:dyDescent="0.2">
      <c r="A268" s="862" t="s">
        <v>1131</v>
      </c>
      <c r="D268" s="1441" t="s">
        <v>1132</v>
      </c>
      <c r="E268" s="1441"/>
      <c r="F268" s="1441"/>
      <c r="G268" s="1441"/>
    </row>
    <row r="269" spans="1:9" x14ac:dyDescent="0.2">
      <c r="D269" s="1441" t="s">
        <v>1133</v>
      </c>
      <c r="E269" s="1441"/>
      <c r="F269" s="1441"/>
      <c r="G269" s="1441"/>
    </row>
  </sheetData>
  <mergeCells count="79">
    <mergeCell ref="A263:I263"/>
    <mergeCell ref="A264:I264"/>
    <mergeCell ref="D267:G267"/>
    <mergeCell ref="D268:G268"/>
    <mergeCell ref="A258:I258"/>
    <mergeCell ref="A259:I259"/>
    <mergeCell ref="A260:I260"/>
    <mergeCell ref="A261:I261"/>
    <mergeCell ref="A262:I262"/>
    <mergeCell ref="A199:B199"/>
    <mergeCell ref="A200:B241"/>
    <mergeCell ref="A242:B254"/>
    <mergeCell ref="A255:B255"/>
    <mergeCell ref="F255:G255"/>
    <mergeCell ref="A170:B181"/>
    <mergeCell ref="A182:B188"/>
    <mergeCell ref="A189:B196"/>
    <mergeCell ref="A197:B197"/>
    <mergeCell ref="F197:G197"/>
    <mergeCell ref="A113:B134"/>
    <mergeCell ref="A135:B137"/>
    <mergeCell ref="A138:B139"/>
    <mergeCell ref="A140:B141"/>
    <mergeCell ref="A142:B169"/>
    <mergeCell ref="A100:B101"/>
    <mergeCell ref="A102:B104"/>
    <mergeCell ref="A105:B106"/>
    <mergeCell ref="A107:B109"/>
    <mergeCell ref="A110:B112"/>
    <mergeCell ref="A76:B81"/>
    <mergeCell ref="A84:B85"/>
    <mergeCell ref="A86:B87"/>
    <mergeCell ref="A88:B94"/>
    <mergeCell ref="A95:B99"/>
    <mergeCell ref="D34:I34"/>
    <mergeCell ref="C35:I35"/>
    <mergeCell ref="C46:I46"/>
    <mergeCell ref="D39:I39"/>
    <mergeCell ref="C45:I45"/>
    <mergeCell ref="D32:I32"/>
    <mergeCell ref="D33:I33"/>
    <mergeCell ref="F23:I23"/>
    <mergeCell ref="F24:I24"/>
    <mergeCell ref="F25:I25"/>
    <mergeCell ref="F26:I26"/>
    <mergeCell ref="F27:I27"/>
    <mergeCell ref="A20:I20"/>
    <mergeCell ref="F22:I22"/>
    <mergeCell ref="A29:I29"/>
    <mergeCell ref="D31:I31"/>
    <mergeCell ref="A9:B9"/>
    <mergeCell ref="D9:I9"/>
    <mergeCell ref="A3:I3"/>
    <mergeCell ref="A5:B5"/>
    <mergeCell ref="D5:I5"/>
    <mergeCell ref="A11:I11"/>
    <mergeCell ref="A15:A17"/>
    <mergeCell ref="A6:B6"/>
    <mergeCell ref="D6:I6"/>
    <mergeCell ref="A7:B7"/>
    <mergeCell ref="D7:I7"/>
    <mergeCell ref="A8:B8"/>
    <mergeCell ref="D8:I8"/>
    <mergeCell ref="D269:G269"/>
    <mergeCell ref="A37:I37"/>
    <mergeCell ref="D40:I40"/>
    <mergeCell ref="C41:I41"/>
    <mergeCell ref="A43:I43"/>
    <mergeCell ref="C47:I47"/>
    <mergeCell ref="A49:I49"/>
    <mergeCell ref="A51:B51"/>
    <mergeCell ref="A52:B58"/>
    <mergeCell ref="A59:B61"/>
    <mergeCell ref="A62:B63"/>
    <mergeCell ref="A82:B83"/>
    <mergeCell ref="A64:B65"/>
    <mergeCell ref="A66:B71"/>
    <mergeCell ref="A72:B73"/>
    <mergeCell ref="A74:B75"/>
  </mergeCells>
  <pageMargins left="0.70866141732283472" right="0.70866141732283472" top="0.78740157480314965" bottom="0.78740157480314965" header="0.31496062992125984" footer="0.31496062992125984"/>
  <pageSetup paperSize="9" scale="73" firstPageNumber="124" fitToHeight="10" orientation="portrait" useFirstPageNumber="1" r:id="rId1"/>
  <headerFoot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zoomScale="150" zoomScaleNormal="150" workbookViewId="0">
      <selection activeCell="A107" sqref="A107:XFD107"/>
    </sheetView>
  </sheetViews>
  <sheetFormatPr defaultColWidth="6.5" defaultRowHeight="8.25" x14ac:dyDescent="0.15"/>
  <cols>
    <col min="1" max="1" width="5.5" style="1" customWidth="1"/>
    <col min="2" max="2" width="6.5" customWidth="1"/>
    <col min="3" max="3" width="36.75" customWidth="1"/>
    <col min="4" max="4" width="9.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2" customFormat="1" ht="15.75" x14ac:dyDescent="0.25">
      <c r="A1" s="1019" t="s">
        <v>89</v>
      </c>
      <c r="B1" s="1019"/>
      <c r="C1" s="1019"/>
      <c r="D1" s="1019"/>
      <c r="E1" s="1019"/>
      <c r="F1" s="1019"/>
      <c r="G1" s="1019"/>
      <c r="H1" s="1019"/>
      <c r="I1" s="1019"/>
      <c r="J1" s="1019"/>
      <c r="K1" s="1019"/>
      <c r="L1" s="1019"/>
      <c r="M1" s="1019"/>
      <c r="N1" s="1019"/>
      <c r="O1" s="1019"/>
      <c r="P1" s="1019"/>
      <c r="Q1" s="1019"/>
      <c r="R1" s="1019"/>
      <c r="S1" s="1019"/>
      <c r="T1" s="1019"/>
      <c r="U1" s="1019"/>
      <c r="V1" s="1019"/>
      <c r="W1" s="1019"/>
      <c r="X1" s="1019"/>
    </row>
    <row r="3" spans="1:24" s="3" customFormat="1" ht="9.75" customHeight="1" x14ac:dyDescent="0.2">
      <c r="A3" s="1012" t="s">
        <v>40</v>
      </c>
      <c r="B3" s="1022" t="s">
        <v>41</v>
      </c>
      <c r="C3" s="1023"/>
      <c r="D3" s="1028" t="s">
        <v>42</v>
      </c>
      <c r="E3" s="1031" t="s">
        <v>34</v>
      </c>
      <c r="F3" s="1032"/>
      <c r="G3" s="1032"/>
      <c r="H3" s="1032"/>
      <c r="I3" s="1033"/>
      <c r="J3" s="1031" t="s">
        <v>39</v>
      </c>
      <c r="K3" s="1032"/>
      <c r="L3" s="1032"/>
      <c r="M3" s="1032"/>
      <c r="N3" s="1033"/>
      <c r="O3" s="1031" t="s">
        <v>43</v>
      </c>
      <c r="P3" s="1032"/>
      <c r="Q3" s="1032"/>
      <c r="R3" s="1032"/>
      <c r="S3" s="1033"/>
      <c r="T3" s="1031" t="s">
        <v>38</v>
      </c>
      <c r="U3" s="1032"/>
      <c r="V3" s="1032"/>
      <c r="W3" s="1032"/>
      <c r="X3" s="1033"/>
    </row>
    <row r="4" spans="1:24" s="4" customFormat="1" ht="9.75" customHeight="1" x14ac:dyDescent="0.2">
      <c r="A4" s="1020"/>
      <c r="B4" s="1024"/>
      <c r="C4" s="1025"/>
      <c r="D4" s="1029"/>
      <c r="E4" s="1014" t="s">
        <v>44</v>
      </c>
      <c r="F4" s="1016" t="s">
        <v>336</v>
      </c>
      <c r="G4" s="1017"/>
      <c r="H4" s="1018"/>
      <c r="I4" s="1012" t="s">
        <v>337</v>
      </c>
      <c r="J4" s="1014" t="s">
        <v>44</v>
      </c>
      <c r="K4" s="1016" t="s">
        <v>336</v>
      </c>
      <c r="L4" s="1017"/>
      <c r="M4" s="1018"/>
      <c r="N4" s="1012" t="s">
        <v>337</v>
      </c>
      <c r="O4" s="1014" t="s">
        <v>44</v>
      </c>
      <c r="P4" s="1016" t="s">
        <v>336</v>
      </c>
      <c r="Q4" s="1017"/>
      <c r="R4" s="1018"/>
      <c r="S4" s="1012" t="s">
        <v>337</v>
      </c>
      <c r="T4" s="1014" t="s">
        <v>44</v>
      </c>
      <c r="U4" s="1016" t="s">
        <v>336</v>
      </c>
      <c r="V4" s="1017"/>
      <c r="W4" s="1018"/>
      <c r="X4" s="1012" t="s">
        <v>337</v>
      </c>
    </row>
    <row r="5" spans="1:24" s="5" customFormat="1" ht="9.75" customHeight="1" x14ac:dyDescent="0.2">
      <c r="A5" s="1021"/>
      <c r="B5" s="1026"/>
      <c r="C5" s="1027"/>
      <c r="D5" s="1030"/>
      <c r="E5" s="1015"/>
      <c r="F5" s="14" t="s">
        <v>35</v>
      </c>
      <c r="G5" s="15" t="s">
        <v>36</v>
      </c>
      <c r="H5" s="14" t="s">
        <v>37</v>
      </c>
      <c r="I5" s="1013"/>
      <c r="J5" s="1015"/>
      <c r="K5" s="14" t="s">
        <v>35</v>
      </c>
      <c r="L5" s="15" t="s">
        <v>36</v>
      </c>
      <c r="M5" s="14" t="s">
        <v>37</v>
      </c>
      <c r="N5" s="1013"/>
      <c r="O5" s="1015"/>
      <c r="P5" s="14" t="s">
        <v>35</v>
      </c>
      <c r="Q5" s="15" t="s">
        <v>36</v>
      </c>
      <c r="R5" s="14" t="s">
        <v>37</v>
      </c>
      <c r="S5" s="1013"/>
      <c r="T5" s="1015"/>
      <c r="U5" s="14" t="s">
        <v>35</v>
      </c>
      <c r="V5" s="15" t="s">
        <v>36</v>
      </c>
      <c r="W5" s="14" t="s">
        <v>37</v>
      </c>
      <c r="X5" s="1013"/>
    </row>
    <row r="6" spans="1:24" s="3" customFormat="1" ht="9.75" customHeight="1" x14ac:dyDescent="0.2">
      <c r="A6" s="16" t="s">
        <v>0</v>
      </c>
      <c r="B6" s="1007" t="s">
        <v>1</v>
      </c>
      <c r="C6" s="1007"/>
      <c r="D6" s="17" t="s">
        <v>25</v>
      </c>
      <c r="E6" s="52">
        <f>SUM(E7:E9)</f>
        <v>10992037</v>
      </c>
      <c r="F6" s="52">
        <f>SUM(F7:F9)</f>
        <v>11506937</v>
      </c>
      <c r="G6" s="52">
        <f>SUM(G7:G9)</f>
        <v>11506967</v>
      </c>
      <c r="H6" s="18">
        <f t="shared" ref="H6:H34" si="0">G6/F6*100</f>
        <v>100.00026071229901</v>
      </c>
      <c r="I6" s="52">
        <f>SUM(I7:I9)</f>
        <v>10695708</v>
      </c>
      <c r="J6" s="52">
        <f>SUM(J7:J9)</f>
        <v>9125000</v>
      </c>
      <c r="K6" s="52">
        <f t="shared" ref="K6:X6" si="1">SUM(K7:K9)</f>
        <v>9577200</v>
      </c>
      <c r="L6" s="52">
        <f t="shared" si="1"/>
        <v>9577230</v>
      </c>
      <c r="M6" s="18">
        <f t="shared" ref="M6:M36" si="2">L6/K6*100</f>
        <v>100.00031324395439</v>
      </c>
      <c r="N6" s="69">
        <f t="shared" si="1"/>
        <v>8981487</v>
      </c>
      <c r="O6" s="52">
        <f t="shared" si="1"/>
        <v>1867037</v>
      </c>
      <c r="P6" s="52">
        <f t="shared" si="1"/>
        <v>1929737</v>
      </c>
      <c r="Q6" s="52">
        <f t="shared" si="1"/>
        <v>1929737</v>
      </c>
      <c r="R6" s="18">
        <f t="shared" ref="R6:R36" si="3">Q6/P6*100</f>
        <v>100</v>
      </c>
      <c r="S6" s="52">
        <f t="shared" si="1"/>
        <v>1714221</v>
      </c>
      <c r="T6" s="52">
        <f t="shared" si="1"/>
        <v>0</v>
      </c>
      <c r="U6" s="52">
        <f t="shared" si="1"/>
        <v>0</v>
      </c>
      <c r="V6" s="52">
        <f t="shared" si="1"/>
        <v>0</v>
      </c>
      <c r="W6" s="18" t="e">
        <f t="shared" ref="W6:W36" si="4">V6/U6*100</f>
        <v>#DIV/0!</v>
      </c>
      <c r="X6" s="52">
        <f t="shared" si="1"/>
        <v>0</v>
      </c>
    </row>
    <row r="7" spans="1:24" s="3" customFormat="1" ht="9.75" x14ac:dyDescent="0.2">
      <c r="A7" s="19" t="s">
        <v>2</v>
      </c>
      <c r="B7" s="1010" t="s">
        <v>46</v>
      </c>
      <c r="C7" s="1011"/>
      <c r="D7" s="47" t="s">
        <v>25</v>
      </c>
      <c r="E7" s="53">
        <f t="shared" ref="E7:G10" si="5">SUM(J7,O7)</f>
        <v>626000</v>
      </c>
      <c r="F7" s="54">
        <f t="shared" si="5"/>
        <v>739200</v>
      </c>
      <c r="G7" s="54">
        <f t="shared" si="5"/>
        <v>739230</v>
      </c>
      <c r="H7" s="6">
        <f t="shared" si="0"/>
        <v>100.00405844155844</v>
      </c>
      <c r="I7" s="60">
        <f>SUM(N7,S7)</f>
        <v>705877</v>
      </c>
      <c r="J7" s="61">
        <v>626000</v>
      </c>
      <c r="K7" s="62">
        <v>739200</v>
      </c>
      <c r="L7" s="62">
        <v>739230</v>
      </c>
      <c r="M7" s="6">
        <f t="shared" si="2"/>
        <v>100.00405844155844</v>
      </c>
      <c r="N7" s="76">
        <v>705877</v>
      </c>
      <c r="O7" s="77"/>
      <c r="P7" s="62"/>
      <c r="Q7" s="62"/>
      <c r="R7" s="6" t="e">
        <f t="shared" si="3"/>
        <v>#DIV/0!</v>
      </c>
      <c r="S7" s="76"/>
      <c r="T7" s="77"/>
      <c r="U7" s="62"/>
      <c r="V7" s="62"/>
      <c r="W7" s="6" t="e">
        <f t="shared" si="4"/>
        <v>#DIV/0!</v>
      </c>
      <c r="X7" s="91"/>
    </row>
    <row r="8" spans="1:24" s="3" customFormat="1" ht="9.75" x14ac:dyDescent="0.2">
      <c r="A8" s="20" t="s">
        <v>3</v>
      </c>
      <c r="B8" s="1005" t="s">
        <v>47</v>
      </c>
      <c r="C8" s="1006"/>
      <c r="D8" s="48" t="s">
        <v>25</v>
      </c>
      <c r="E8" s="55">
        <f t="shared" si="5"/>
        <v>0</v>
      </c>
      <c r="F8" s="56">
        <f t="shared" si="5"/>
        <v>0</v>
      </c>
      <c r="G8" s="56">
        <f t="shared" si="5"/>
        <v>0</v>
      </c>
      <c r="H8" s="7" t="e">
        <f t="shared" si="0"/>
        <v>#DIV/0!</v>
      </c>
      <c r="I8" s="63">
        <f>SUM(N8,S8)</f>
        <v>0</v>
      </c>
      <c r="J8" s="64"/>
      <c r="K8" s="56"/>
      <c r="L8" s="56"/>
      <c r="M8" s="7" t="e">
        <f t="shared" si="2"/>
        <v>#DIV/0!</v>
      </c>
      <c r="N8" s="63"/>
      <c r="O8" s="55"/>
      <c r="P8" s="56"/>
      <c r="Q8" s="56"/>
      <c r="R8" s="7" t="e">
        <f t="shared" si="3"/>
        <v>#DIV/0!</v>
      </c>
      <c r="S8" s="63"/>
      <c r="T8" s="55"/>
      <c r="U8" s="56"/>
      <c r="V8" s="56"/>
      <c r="W8" s="7" t="e">
        <f t="shared" si="4"/>
        <v>#DIV/0!</v>
      </c>
      <c r="X8" s="92"/>
    </row>
    <row r="9" spans="1:24" s="3" customFormat="1" ht="9.75" x14ac:dyDescent="0.2">
      <c r="A9" s="21" t="s">
        <v>4</v>
      </c>
      <c r="B9" s="22" t="s">
        <v>62</v>
      </c>
      <c r="C9" s="23"/>
      <c r="D9" s="50" t="s">
        <v>25</v>
      </c>
      <c r="E9" s="57">
        <f t="shared" si="5"/>
        <v>10366037</v>
      </c>
      <c r="F9" s="58">
        <f t="shared" si="5"/>
        <v>10767737</v>
      </c>
      <c r="G9" s="58">
        <f t="shared" si="5"/>
        <v>10767737</v>
      </c>
      <c r="H9" s="24">
        <f t="shared" si="0"/>
        <v>100</v>
      </c>
      <c r="I9" s="65">
        <f>SUM(N9,S9)</f>
        <v>9989831</v>
      </c>
      <c r="J9" s="66">
        <v>8499000</v>
      </c>
      <c r="K9" s="58">
        <v>8838000</v>
      </c>
      <c r="L9" s="58">
        <v>8838000</v>
      </c>
      <c r="M9" s="24">
        <f t="shared" si="2"/>
        <v>100</v>
      </c>
      <c r="N9" s="65">
        <v>8275610</v>
      </c>
      <c r="O9" s="57">
        <v>1867037</v>
      </c>
      <c r="P9" s="58">
        <v>1929737</v>
      </c>
      <c r="Q9" s="58">
        <v>1929737</v>
      </c>
      <c r="R9" s="24">
        <f t="shared" si="3"/>
        <v>100</v>
      </c>
      <c r="S9" s="65">
        <v>1714221</v>
      </c>
      <c r="T9" s="57"/>
      <c r="U9" s="58"/>
      <c r="V9" s="58"/>
      <c r="W9" s="24" t="e">
        <f t="shared" si="4"/>
        <v>#DIV/0!</v>
      </c>
      <c r="X9" s="93"/>
    </row>
    <row r="10" spans="1:24" s="3" customFormat="1" ht="9.75" x14ac:dyDescent="0.2">
      <c r="A10" s="16" t="s">
        <v>5</v>
      </c>
      <c r="B10" s="1007" t="s">
        <v>7</v>
      </c>
      <c r="C10" s="1007"/>
      <c r="D10" s="25" t="s">
        <v>25</v>
      </c>
      <c r="E10" s="59">
        <f t="shared" si="5"/>
        <v>0</v>
      </c>
      <c r="F10" s="59">
        <f t="shared" si="5"/>
        <v>0</v>
      </c>
      <c r="G10" s="59">
        <f t="shared" si="5"/>
        <v>0</v>
      </c>
      <c r="H10" s="18" t="e">
        <f t="shared" si="0"/>
        <v>#DIV/0!</v>
      </c>
      <c r="I10" s="67">
        <f>SUM(N10,S10)</f>
        <v>0</v>
      </c>
      <c r="J10" s="68"/>
      <c r="K10" s="59"/>
      <c r="L10" s="59"/>
      <c r="M10" s="18" t="e">
        <f t="shared" si="2"/>
        <v>#DIV/0!</v>
      </c>
      <c r="N10" s="67"/>
      <c r="O10" s="59"/>
      <c r="P10" s="59"/>
      <c r="Q10" s="59"/>
      <c r="R10" s="18" t="e">
        <f t="shared" si="3"/>
        <v>#DIV/0!</v>
      </c>
      <c r="S10" s="67"/>
      <c r="T10" s="59"/>
      <c r="U10" s="59"/>
      <c r="V10" s="59"/>
      <c r="W10" s="18" t="e">
        <f t="shared" si="4"/>
        <v>#DIV/0!</v>
      </c>
      <c r="X10" s="59"/>
    </row>
    <row r="11" spans="1:24" s="3" customFormat="1" ht="9.75" x14ac:dyDescent="0.2">
      <c r="A11" s="16" t="s">
        <v>6</v>
      </c>
      <c r="B11" s="1007" t="s">
        <v>9</v>
      </c>
      <c r="C11" s="1007"/>
      <c r="D11" s="25" t="s">
        <v>25</v>
      </c>
      <c r="E11" s="52">
        <f>SUM(E12:E31)</f>
        <v>10992037</v>
      </c>
      <c r="F11" s="52">
        <f>SUM(F12:F31)</f>
        <v>11506937</v>
      </c>
      <c r="G11" s="52">
        <f>SUM(G12:G31)</f>
        <v>11418888</v>
      </c>
      <c r="H11" s="18">
        <f t="shared" si="0"/>
        <v>99.234818092773082</v>
      </c>
      <c r="I11" s="69">
        <f>SUM(I12:I31)</f>
        <v>10617626</v>
      </c>
      <c r="J11" s="52">
        <f>SUM(J12:J31)</f>
        <v>9125000</v>
      </c>
      <c r="K11" s="52">
        <f>SUM(K12:K31)</f>
        <v>9577200</v>
      </c>
      <c r="L11" s="52">
        <f>SUM(L12:L31)</f>
        <v>9489151</v>
      </c>
      <c r="M11" s="18">
        <f t="shared" si="2"/>
        <v>99.080639435325566</v>
      </c>
      <c r="N11" s="69">
        <f>SUM(N12:N31)</f>
        <v>8903405</v>
      </c>
      <c r="O11" s="52">
        <f>SUM(O12:O31)</f>
        <v>1867037</v>
      </c>
      <c r="P11" s="52">
        <f>SUM(P12:P31)</f>
        <v>1929737</v>
      </c>
      <c r="Q11" s="52">
        <f>SUM(Q12:Q31)</f>
        <v>1929737</v>
      </c>
      <c r="R11" s="18">
        <f t="shared" si="3"/>
        <v>100</v>
      </c>
      <c r="S11" s="69">
        <f>SUM(S12:S31)</f>
        <v>1714221</v>
      </c>
      <c r="T11" s="52">
        <f>SUM(T12:T31)</f>
        <v>0</v>
      </c>
      <c r="U11" s="52">
        <f>SUM(U12:U31)</f>
        <v>0</v>
      </c>
      <c r="V11" s="52">
        <f>SUM(V12:V31)</f>
        <v>0</v>
      </c>
      <c r="W11" s="18" t="e">
        <f t="shared" si="4"/>
        <v>#DIV/0!</v>
      </c>
      <c r="X11" s="52">
        <f>SUM(X12:X31)</f>
        <v>0</v>
      </c>
    </row>
    <row r="12" spans="1:24" s="3" customFormat="1" ht="9.75" x14ac:dyDescent="0.2">
      <c r="A12" s="26" t="s">
        <v>8</v>
      </c>
      <c r="B12" s="1008" t="s">
        <v>28</v>
      </c>
      <c r="C12" s="1009"/>
      <c r="D12" s="51" t="s">
        <v>25</v>
      </c>
      <c r="E12" s="53">
        <f t="shared" ref="E12:I27" si="6">SUM(J12,O12)</f>
        <v>1531637</v>
      </c>
      <c r="F12" s="54">
        <f t="shared" si="6"/>
        <v>1709867</v>
      </c>
      <c r="G12" s="54">
        <f t="shared" si="6"/>
        <v>1697098</v>
      </c>
      <c r="H12" s="6">
        <f t="shared" si="0"/>
        <v>99.253216770661112</v>
      </c>
      <c r="I12" s="60">
        <f t="shared" si="6"/>
        <v>1500763</v>
      </c>
      <c r="J12" s="70">
        <v>1160000</v>
      </c>
      <c r="K12" s="71">
        <v>1303000</v>
      </c>
      <c r="L12" s="71">
        <v>1288499</v>
      </c>
      <c r="M12" s="6">
        <f t="shared" si="2"/>
        <v>98.887106676899464</v>
      </c>
      <c r="N12" s="78">
        <v>1267273</v>
      </c>
      <c r="O12" s="79">
        <v>371637</v>
      </c>
      <c r="P12" s="71">
        <v>406867</v>
      </c>
      <c r="Q12" s="71">
        <v>408599</v>
      </c>
      <c r="R12" s="6">
        <f t="shared" si="3"/>
        <v>100.42569193372772</v>
      </c>
      <c r="S12" s="83">
        <v>233490</v>
      </c>
      <c r="T12" s="79"/>
      <c r="U12" s="71"/>
      <c r="V12" s="71"/>
      <c r="W12" s="6" t="e">
        <f t="shared" si="4"/>
        <v>#DIV/0!</v>
      </c>
      <c r="X12" s="94"/>
    </row>
    <row r="13" spans="1:24" s="3" customFormat="1" ht="9.75" x14ac:dyDescent="0.2">
      <c r="A13" s="27" t="s">
        <v>10</v>
      </c>
      <c r="B13" s="997" t="s">
        <v>29</v>
      </c>
      <c r="C13" s="998"/>
      <c r="D13" s="48" t="s">
        <v>25</v>
      </c>
      <c r="E13" s="55">
        <f t="shared" si="6"/>
        <v>630500</v>
      </c>
      <c r="F13" s="56">
        <f t="shared" si="6"/>
        <v>511370</v>
      </c>
      <c r="G13" s="56">
        <f t="shared" si="6"/>
        <v>491838</v>
      </c>
      <c r="H13" s="7">
        <f t="shared" si="0"/>
        <v>96.180456420986758</v>
      </c>
      <c r="I13" s="63">
        <f t="shared" si="6"/>
        <v>519500</v>
      </c>
      <c r="J13" s="72">
        <v>625000</v>
      </c>
      <c r="K13" s="56">
        <v>507000</v>
      </c>
      <c r="L13" s="56">
        <v>487470</v>
      </c>
      <c r="M13" s="7">
        <f t="shared" si="2"/>
        <v>96.147928994082847</v>
      </c>
      <c r="N13" s="63">
        <v>514348</v>
      </c>
      <c r="O13" s="55">
        <v>5500</v>
      </c>
      <c r="P13" s="56">
        <v>4370</v>
      </c>
      <c r="Q13" s="56">
        <v>4368</v>
      </c>
      <c r="R13" s="7">
        <f t="shared" si="3"/>
        <v>99.954233409610978</v>
      </c>
      <c r="S13" s="63">
        <v>5152</v>
      </c>
      <c r="T13" s="55"/>
      <c r="U13" s="56"/>
      <c r="V13" s="56"/>
      <c r="W13" s="7" t="e">
        <f t="shared" si="4"/>
        <v>#DIV/0!</v>
      </c>
      <c r="X13" s="92"/>
    </row>
    <row r="14" spans="1:24" s="3" customFormat="1" ht="9.75" x14ac:dyDescent="0.2">
      <c r="A14" s="27" t="s">
        <v>11</v>
      </c>
      <c r="B14" s="418" t="s">
        <v>63</v>
      </c>
      <c r="C14" s="419"/>
      <c r="D14" s="48" t="s">
        <v>25</v>
      </c>
      <c r="E14" s="55">
        <f t="shared" si="6"/>
        <v>0</v>
      </c>
      <c r="F14" s="56">
        <f t="shared" si="6"/>
        <v>0</v>
      </c>
      <c r="G14" s="56">
        <f t="shared" si="6"/>
        <v>0</v>
      </c>
      <c r="H14" s="7" t="e">
        <f t="shared" si="0"/>
        <v>#DIV/0!</v>
      </c>
      <c r="I14" s="63">
        <f t="shared" si="6"/>
        <v>0</v>
      </c>
      <c r="J14" s="72"/>
      <c r="K14" s="56"/>
      <c r="L14" s="56"/>
      <c r="M14" s="7" t="e">
        <f t="shared" si="2"/>
        <v>#DIV/0!</v>
      </c>
      <c r="N14" s="63"/>
      <c r="O14" s="55"/>
      <c r="P14" s="56"/>
      <c r="Q14" s="56"/>
      <c r="R14" s="7" t="e">
        <f t="shared" si="3"/>
        <v>#DIV/0!</v>
      </c>
      <c r="S14" s="63"/>
      <c r="T14" s="55"/>
      <c r="U14" s="56"/>
      <c r="V14" s="56"/>
      <c r="W14" s="7" t="e">
        <f t="shared" si="4"/>
        <v>#DIV/0!</v>
      </c>
      <c r="X14" s="92"/>
    </row>
    <row r="15" spans="1:24" s="3" customFormat="1" ht="9.75" x14ac:dyDescent="0.2">
      <c r="A15" s="27" t="s">
        <v>12</v>
      </c>
      <c r="B15" s="997" t="s">
        <v>64</v>
      </c>
      <c r="C15" s="998"/>
      <c r="D15" s="48" t="s">
        <v>25</v>
      </c>
      <c r="E15" s="55">
        <f t="shared" si="6"/>
        <v>142000</v>
      </c>
      <c r="F15" s="56">
        <f t="shared" si="6"/>
        <v>107000</v>
      </c>
      <c r="G15" s="56">
        <f t="shared" si="6"/>
        <v>102625</v>
      </c>
      <c r="H15" s="7">
        <f t="shared" si="0"/>
        <v>95.911214953271028</v>
      </c>
      <c r="I15" s="63">
        <f t="shared" si="6"/>
        <v>136244</v>
      </c>
      <c r="J15" s="72">
        <v>142000</v>
      </c>
      <c r="K15" s="56">
        <v>107000</v>
      </c>
      <c r="L15" s="56">
        <v>102625</v>
      </c>
      <c r="M15" s="7">
        <f t="shared" si="2"/>
        <v>95.911214953271028</v>
      </c>
      <c r="N15" s="63">
        <v>136244</v>
      </c>
      <c r="O15" s="55"/>
      <c r="P15" s="56"/>
      <c r="Q15" s="56"/>
      <c r="R15" s="7" t="e">
        <f t="shared" si="3"/>
        <v>#DIV/0!</v>
      </c>
      <c r="S15" s="63"/>
      <c r="T15" s="55"/>
      <c r="U15" s="56"/>
      <c r="V15" s="56"/>
      <c r="W15" s="7" t="e">
        <f t="shared" si="4"/>
        <v>#DIV/0!</v>
      </c>
      <c r="X15" s="92"/>
    </row>
    <row r="16" spans="1:24" s="3" customFormat="1" ht="9.75" x14ac:dyDescent="0.2">
      <c r="A16" s="27" t="s">
        <v>13</v>
      </c>
      <c r="B16" s="997" t="s">
        <v>30</v>
      </c>
      <c r="C16" s="998"/>
      <c r="D16" s="48" t="s">
        <v>25</v>
      </c>
      <c r="E16" s="55">
        <f t="shared" si="6"/>
        <v>40000</v>
      </c>
      <c r="F16" s="56">
        <f t="shared" si="6"/>
        <v>33000</v>
      </c>
      <c r="G16" s="56">
        <f t="shared" si="6"/>
        <v>31027</v>
      </c>
      <c r="H16" s="7">
        <f t="shared" si="0"/>
        <v>94.021212121212116</v>
      </c>
      <c r="I16" s="63">
        <f t="shared" si="6"/>
        <v>38988</v>
      </c>
      <c r="J16" s="72">
        <v>20000</v>
      </c>
      <c r="K16" s="56">
        <v>13000</v>
      </c>
      <c r="L16" s="56">
        <v>11177</v>
      </c>
      <c r="M16" s="7">
        <f t="shared" si="2"/>
        <v>85.976923076923072</v>
      </c>
      <c r="N16" s="63">
        <v>24081</v>
      </c>
      <c r="O16" s="55">
        <v>20000</v>
      </c>
      <c r="P16" s="56">
        <v>20000</v>
      </c>
      <c r="Q16" s="56">
        <v>19850</v>
      </c>
      <c r="R16" s="7">
        <f t="shared" si="3"/>
        <v>99.25</v>
      </c>
      <c r="S16" s="63">
        <v>14907</v>
      </c>
      <c r="T16" s="55"/>
      <c r="U16" s="56"/>
      <c r="V16" s="56"/>
      <c r="W16" s="7" t="e">
        <f t="shared" si="4"/>
        <v>#DIV/0!</v>
      </c>
      <c r="X16" s="92"/>
    </row>
    <row r="17" spans="1:24" s="3" customFormat="1" ht="9.75" x14ac:dyDescent="0.2">
      <c r="A17" s="27" t="s">
        <v>14</v>
      </c>
      <c r="B17" s="418" t="s">
        <v>48</v>
      </c>
      <c r="C17" s="419"/>
      <c r="D17" s="48" t="s">
        <v>25</v>
      </c>
      <c r="E17" s="55">
        <f t="shared" si="6"/>
        <v>4000</v>
      </c>
      <c r="F17" s="56">
        <f t="shared" si="6"/>
        <v>6500</v>
      </c>
      <c r="G17" s="56">
        <f t="shared" si="6"/>
        <v>6154</v>
      </c>
      <c r="H17" s="7">
        <f t="shared" si="0"/>
        <v>94.676923076923075</v>
      </c>
      <c r="I17" s="63">
        <f t="shared" si="6"/>
        <v>5957</v>
      </c>
      <c r="J17" s="72">
        <v>4000</v>
      </c>
      <c r="K17" s="56">
        <v>6500</v>
      </c>
      <c r="L17" s="56">
        <v>6154</v>
      </c>
      <c r="M17" s="7">
        <f t="shared" si="2"/>
        <v>94.676923076923075</v>
      </c>
      <c r="N17" s="63">
        <v>5957</v>
      </c>
      <c r="O17" s="55"/>
      <c r="P17" s="56"/>
      <c r="Q17" s="56"/>
      <c r="R17" s="7" t="e">
        <f t="shared" si="3"/>
        <v>#DIV/0!</v>
      </c>
      <c r="S17" s="63"/>
      <c r="T17" s="55"/>
      <c r="U17" s="56"/>
      <c r="V17" s="56"/>
      <c r="W17" s="7" t="e">
        <f t="shared" si="4"/>
        <v>#DIV/0!</v>
      </c>
      <c r="X17" s="92"/>
    </row>
    <row r="18" spans="1:24" s="3" customFormat="1" ht="9.75" x14ac:dyDescent="0.2">
      <c r="A18" s="27" t="s">
        <v>15</v>
      </c>
      <c r="B18" s="997" t="s">
        <v>31</v>
      </c>
      <c r="C18" s="998"/>
      <c r="D18" s="48" t="s">
        <v>25</v>
      </c>
      <c r="E18" s="55">
        <f t="shared" si="6"/>
        <v>648500</v>
      </c>
      <c r="F18" s="56">
        <f t="shared" si="6"/>
        <v>672100</v>
      </c>
      <c r="G18" s="56">
        <f t="shared" si="6"/>
        <v>647143</v>
      </c>
      <c r="H18" s="7">
        <f t="shared" si="0"/>
        <v>96.286713286713294</v>
      </c>
      <c r="I18" s="63">
        <f t="shared" si="6"/>
        <v>583497</v>
      </c>
      <c r="J18" s="72">
        <v>631000</v>
      </c>
      <c r="K18" s="56">
        <v>654500</v>
      </c>
      <c r="L18" s="56">
        <v>629526</v>
      </c>
      <c r="M18" s="7">
        <f t="shared" si="2"/>
        <v>96.184262796027497</v>
      </c>
      <c r="N18" s="63">
        <v>576344</v>
      </c>
      <c r="O18" s="55">
        <v>17500</v>
      </c>
      <c r="P18" s="56">
        <v>17600</v>
      </c>
      <c r="Q18" s="56">
        <v>17617</v>
      </c>
      <c r="R18" s="7">
        <f t="shared" si="3"/>
        <v>100.09659090909091</v>
      </c>
      <c r="S18" s="63">
        <v>7153</v>
      </c>
      <c r="T18" s="55"/>
      <c r="U18" s="56"/>
      <c r="V18" s="56"/>
      <c r="W18" s="7" t="e">
        <f t="shared" si="4"/>
        <v>#DIV/0!</v>
      </c>
      <c r="X18" s="92"/>
    </row>
    <row r="19" spans="1:24" s="8" customFormat="1" ht="9.75" x14ac:dyDescent="0.2">
      <c r="A19" s="27" t="s">
        <v>16</v>
      </c>
      <c r="B19" s="997" t="s">
        <v>32</v>
      </c>
      <c r="C19" s="998"/>
      <c r="D19" s="48" t="s">
        <v>25</v>
      </c>
      <c r="E19" s="55">
        <f t="shared" si="6"/>
        <v>5498000</v>
      </c>
      <c r="F19" s="56">
        <f t="shared" si="6"/>
        <v>5798500</v>
      </c>
      <c r="G19" s="56">
        <f t="shared" si="6"/>
        <v>5795135</v>
      </c>
      <c r="H19" s="7">
        <f t="shared" si="0"/>
        <v>99.941967750280241</v>
      </c>
      <c r="I19" s="63">
        <f t="shared" si="6"/>
        <v>5314947</v>
      </c>
      <c r="J19" s="73">
        <v>4438000</v>
      </c>
      <c r="K19" s="56">
        <v>4716500</v>
      </c>
      <c r="L19" s="56">
        <v>4713967</v>
      </c>
      <c r="M19" s="7">
        <f t="shared" si="2"/>
        <v>99.94629492208206</v>
      </c>
      <c r="N19" s="63">
        <v>4282757</v>
      </c>
      <c r="O19" s="55">
        <v>1060000</v>
      </c>
      <c r="P19" s="56">
        <v>1082000</v>
      </c>
      <c r="Q19" s="56">
        <v>1081168</v>
      </c>
      <c r="R19" s="7">
        <f t="shared" si="3"/>
        <v>99.923105360443614</v>
      </c>
      <c r="S19" s="63">
        <v>1032190</v>
      </c>
      <c r="T19" s="84"/>
      <c r="U19" s="85"/>
      <c r="V19" s="85"/>
      <c r="W19" s="7" t="e">
        <f t="shared" si="4"/>
        <v>#DIV/0!</v>
      </c>
      <c r="X19" s="95"/>
    </row>
    <row r="20" spans="1:24" s="3" customFormat="1" ht="9.75" x14ac:dyDescent="0.2">
      <c r="A20" s="27" t="s">
        <v>17</v>
      </c>
      <c r="B20" s="997" t="s">
        <v>49</v>
      </c>
      <c r="C20" s="998"/>
      <c r="D20" s="48" t="s">
        <v>25</v>
      </c>
      <c r="E20" s="55">
        <f t="shared" si="6"/>
        <v>1873900</v>
      </c>
      <c r="F20" s="56">
        <f t="shared" si="6"/>
        <v>1966900</v>
      </c>
      <c r="G20" s="56">
        <f t="shared" si="6"/>
        <v>1956705</v>
      </c>
      <c r="H20" s="7">
        <f t="shared" si="0"/>
        <v>99.48167166607351</v>
      </c>
      <c r="I20" s="63">
        <f t="shared" si="6"/>
        <v>1800303</v>
      </c>
      <c r="J20" s="72">
        <v>1510500</v>
      </c>
      <c r="K20" s="56">
        <v>1596000</v>
      </c>
      <c r="L20" s="56">
        <v>1586471</v>
      </c>
      <c r="M20" s="7">
        <f t="shared" si="2"/>
        <v>99.40294486215538</v>
      </c>
      <c r="N20" s="63">
        <v>1449881</v>
      </c>
      <c r="O20" s="55">
        <v>363400</v>
      </c>
      <c r="P20" s="56">
        <v>370900</v>
      </c>
      <c r="Q20" s="56">
        <v>370234</v>
      </c>
      <c r="R20" s="7">
        <f t="shared" si="3"/>
        <v>99.820436775411153</v>
      </c>
      <c r="S20" s="63">
        <v>350422</v>
      </c>
      <c r="T20" s="55"/>
      <c r="U20" s="56"/>
      <c r="V20" s="56"/>
      <c r="W20" s="7" t="e">
        <f t="shared" si="4"/>
        <v>#DIV/0!</v>
      </c>
      <c r="X20" s="92"/>
    </row>
    <row r="21" spans="1:24" s="3" customFormat="1" ht="9.75" x14ac:dyDescent="0.2">
      <c r="A21" s="27" t="s">
        <v>18</v>
      </c>
      <c r="B21" s="997" t="s">
        <v>50</v>
      </c>
      <c r="C21" s="998"/>
      <c r="D21" s="48" t="s">
        <v>25</v>
      </c>
      <c r="E21" s="55">
        <f t="shared" si="6"/>
        <v>214500</v>
      </c>
      <c r="F21" s="56">
        <f t="shared" si="6"/>
        <v>218500</v>
      </c>
      <c r="G21" s="56">
        <f t="shared" si="6"/>
        <v>213338</v>
      </c>
      <c r="H21" s="7">
        <f t="shared" si="0"/>
        <v>97.637528604118998</v>
      </c>
      <c r="I21" s="63">
        <f t="shared" si="6"/>
        <v>179864</v>
      </c>
      <c r="J21" s="72">
        <v>185500</v>
      </c>
      <c r="K21" s="56">
        <v>190500</v>
      </c>
      <c r="L21" s="56">
        <v>185437</v>
      </c>
      <c r="M21" s="7">
        <f t="shared" si="2"/>
        <v>97.342257217847774</v>
      </c>
      <c r="N21" s="63">
        <v>157957</v>
      </c>
      <c r="O21" s="55">
        <v>29000</v>
      </c>
      <c r="P21" s="56">
        <v>28000</v>
      </c>
      <c r="Q21" s="56">
        <v>27901</v>
      </c>
      <c r="R21" s="7">
        <f t="shared" si="3"/>
        <v>99.646428571428572</v>
      </c>
      <c r="S21" s="63">
        <v>21907</v>
      </c>
      <c r="T21" s="55"/>
      <c r="U21" s="56"/>
      <c r="V21" s="56"/>
      <c r="W21" s="7" t="e">
        <f t="shared" si="4"/>
        <v>#DIV/0!</v>
      </c>
      <c r="X21" s="92"/>
    </row>
    <row r="22" spans="1:24" s="3" customFormat="1" ht="9.75" x14ac:dyDescent="0.2">
      <c r="A22" s="27" t="s">
        <v>19</v>
      </c>
      <c r="B22" s="997" t="s">
        <v>65</v>
      </c>
      <c r="C22" s="998"/>
      <c r="D22" s="48" t="s">
        <v>25</v>
      </c>
      <c r="E22" s="55">
        <f t="shared" si="6"/>
        <v>0</v>
      </c>
      <c r="F22" s="56">
        <f t="shared" si="6"/>
        <v>0</v>
      </c>
      <c r="G22" s="56">
        <f t="shared" si="6"/>
        <v>0</v>
      </c>
      <c r="H22" s="7" t="e">
        <f t="shared" si="0"/>
        <v>#DIV/0!</v>
      </c>
      <c r="I22" s="63">
        <f t="shared" si="6"/>
        <v>0</v>
      </c>
      <c r="J22" s="72"/>
      <c r="K22" s="56"/>
      <c r="L22" s="56"/>
      <c r="M22" s="7" t="e">
        <f t="shared" si="2"/>
        <v>#DIV/0!</v>
      </c>
      <c r="N22" s="63"/>
      <c r="O22" s="55"/>
      <c r="P22" s="56"/>
      <c r="Q22" s="56"/>
      <c r="R22" s="7" t="e">
        <f t="shared" si="3"/>
        <v>#DIV/0!</v>
      </c>
      <c r="S22" s="63"/>
      <c r="T22" s="55"/>
      <c r="U22" s="56"/>
      <c r="V22" s="56"/>
      <c r="W22" s="7" t="e">
        <f t="shared" si="4"/>
        <v>#DIV/0!</v>
      </c>
      <c r="X22" s="92"/>
    </row>
    <row r="23" spans="1:24" s="3" customFormat="1" ht="9.75" x14ac:dyDescent="0.2">
      <c r="A23" s="27" t="s">
        <v>20</v>
      </c>
      <c r="B23" s="418" t="s">
        <v>66</v>
      </c>
      <c r="C23" s="419"/>
      <c r="D23" s="48" t="s">
        <v>25</v>
      </c>
      <c r="E23" s="55">
        <f t="shared" si="6"/>
        <v>0</v>
      </c>
      <c r="F23" s="56">
        <f t="shared" si="6"/>
        <v>0</v>
      </c>
      <c r="G23" s="56">
        <f t="shared" si="6"/>
        <v>0</v>
      </c>
      <c r="H23" s="7" t="e">
        <f t="shared" si="0"/>
        <v>#DIV/0!</v>
      </c>
      <c r="I23" s="63">
        <f t="shared" si="6"/>
        <v>0</v>
      </c>
      <c r="J23" s="72"/>
      <c r="K23" s="56"/>
      <c r="L23" s="56"/>
      <c r="M23" s="7" t="e">
        <f t="shared" si="2"/>
        <v>#DIV/0!</v>
      </c>
      <c r="N23" s="63"/>
      <c r="O23" s="55"/>
      <c r="P23" s="56"/>
      <c r="Q23" s="56"/>
      <c r="R23" s="7" t="e">
        <f t="shared" si="3"/>
        <v>#DIV/0!</v>
      </c>
      <c r="S23" s="63"/>
      <c r="T23" s="55"/>
      <c r="U23" s="56"/>
      <c r="V23" s="56"/>
      <c r="W23" s="7" t="e">
        <f t="shared" si="4"/>
        <v>#DIV/0!</v>
      </c>
      <c r="X23" s="92"/>
    </row>
    <row r="24" spans="1:24" s="3" customFormat="1" ht="9.75" x14ac:dyDescent="0.2">
      <c r="A24" s="27" t="s">
        <v>21</v>
      </c>
      <c r="B24" s="418" t="s">
        <v>73</v>
      </c>
      <c r="C24" s="419"/>
      <c r="D24" s="48" t="s">
        <v>25</v>
      </c>
      <c r="E24" s="55">
        <f t="shared" si="6"/>
        <v>0</v>
      </c>
      <c r="F24" s="56">
        <f t="shared" si="6"/>
        <v>0</v>
      </c>
      <c r="G24" s="56">
        <f t="shared" si="6"/>
        <v>0</v>
      </c>
      <c r="H24" s="7" t="e">
        <f t="shared" si="0"/>
        <v>#DIV/0!</v>
      </c>
      <c r="I24" s="63">
        <f t="shared" si="6"/>
        <v>0</v>
      </c>
      <c r="J24" s="72"/>
      <c r="K24" s="56"/>
      <c r="L24" s="56"/>
      <c r="M24" s="7" t="e">
        <f t="shared" si="2"/>
        <v>#DIV/0!</v>
      </c>
      <c r="N24" s="63"/>
      <c r="O24" s="55"/>
      <c r="P24" s="56"/>
      <c r="Q24" s="56"/>
      <c r="R24" s="7" t="e">
        <f t="shared" si="3"/>
        <v>#DIV/0!</v>
      </c>
      <c r="S24" s="63"/>
      <c r="T24" s="55"/>
      <c r="U24" s="56"/>
      <c r="V24" s="56"/>
      <c r="W24" s="7" t="e">
        <f t="shared" si="4"/>
        <v>#DIV/0!</v>
      </c>
      <c r="X24" s="92"/>
    </row>
    <row r="25" spans="1:24" s="3" customFormat="1" ht="9.75" x14ac:dyDescent="0.2">
      <c r="A25" s="28" t="s">
        <v>22</v>
      </c>
      <c r="B25" s="29" t="s">
        <v>68</v>
      </c>
      <c r="C25" s="30"/>
      <c r="D25" s="48" t="s">
        <v>25</v>
      </c>
      <c r="E25" s="55">
        <f t="shared" si="6"/>
        <v>0</v>
      </c>
      <c r="F25" s="56">
        <f t="shared" si="6"/>
        <v>0</v>
      </c>
      <c r="G25" s="56">
        <f t="shared" si="6"/>
        <v>0</v>
      </c>
      <c r="H25" s="7" t="e">
        <f t="shared" si="0"/>
        <v>#DIV/0!</v>
      </c>
      <c r="I25" s="63">
        <f t="shared" si="6"/>
        <v>0</v>
      </c>
      <c r="J25" s="72"/>
      <c r="K25" s="74"/>
      <c r="L25" s="74"/>
      <c r="M25" s="7" t="e">
        <f t="shared" si="2"/>
        <v>#DIV/0!</v>
      </c>
      <c r="N25" s="80"/>
      <c r="O25" s="81"/>
      <c r="P25" s="74"/>
      <c r="Q25" s="74"/>
      <c r="R25" s="7" t="e">
        <f t="shared" si="3"/>
        <v>#DIV/0!</v>
      </c>
      <c r="S25" s="86"/>
      <c r="T25" s="81"/>
      <c r="U25" s="74"/>
      <c r="V25" s="74"/>
      <c r="W25" s="7" t="e">
        <f t="shared" si="4"/>
        <v>#DIV/0!</v>
      </c>
      <c r="X25" s="96"/>
    </row>
    <row r="26" spans="1:24" s="10" customFormat="1" ht="9.75" x14ac:dyDescent="0.2">
      <c r="A26" s="27" t="s">
        <v>23</v>
      </c>
      <c r="B26" s="997" t="s">
        <v>69</v>
      </c>
      <c r="C26" s="998"/>
      <c r="D26" s="48" t="s">
        <v>25</v>
      </c>
      <c r="E26" s="55">
        <f t="shared" si="6"/>
        <v>354000</v>
      </c>
      <c r="F26" s="56">
        <f t="shared" si="6"/>
        <v>354000</v>
      </c>
      <c r="G26" s="56">
        <f t="shared" si="6"/>
        <v>353629</v>
      </c>
      <c r="H26" s="11">
        <f t="shared" si="0"/>
        <v>99.895197740112991</v>
      </c>
      <c r="I26" s="63">
        <f t="shared" si="6"/>
        <v>338099</v>
      </c>
      <c r="J26" s="72">
        <v>354000</v>
      </c>
      <c r="K26" s="75">
        <v>354000</v>
      </c>
      <c r="L26" s="75">
        <v>353629</v>
      </c>
      <c r="M26" s="7">
        <f t="shared" si="2"/>
        <v>99.895197740112991</v>
      </c>
      <c r="N26" s="63">
        <v>338099</v>
      </c>
      <c r="O26" s="82"/>
      <c r="P26" s="75"/>
      <c r="Q26" s="75"/>
      <c r="R26" s="7" t="e">
        <f t="shared" si="3"/>
        <v>#DIV/0!</v>
      </c>
      <c r="S26" s="80"/>
      <c r="T26" s="87"/>
      <c r="U26" s="88"/>
      <c r="V26" s="88"/>
      <c r="W26" s="7" t="e">
        <f t="shared" si="4"/>
        <v>#DIV/0!</v>
      </c>
      <c r="X26" s="97"/>
    </row>
    <row r="27" spans="1:24" s="12" customFormat="1" ht="9.75" x14ac:dyDescent="0.2">
      <c r="A27" s="27" t="s">
        <v>45</v>
      </c>
      <c r="B27" s="418" t="s">
        <v>70</v>
      </c>
      <c r="C27" s="419"/>
      <c r="D27" s="48" t="s">
        <v>25</v>
      </c>
      <c r="E27" s="55">
        <f t="shared" si="6"/>
        <v>4100</v>
      </c>
      <c r="F27" s="56">
        <f t="shared" si="6"/>
        <v>4800</v>
      </c>
      <c r="G27" s="56">
        <f t="shared" si="6"/>
        <v>3820</v>
      </c>
      <c r="H27" s="11">
        <f t="shared" si="0"/>
        <v>79.583333333333329</v>
      </c>
      <c r="I27" s="63">
        <f t="shared" si="6"/>
        <v>5380</v>
      </c>
      <c r="J27" s="72">
        <v>4100</v>
      </c>
      <c r="K27" s="75">
        <v>4800</v>
      </c>
      <c r="L27" s="75">
        <v>3820</v>
      </c>
      <c r="M27" s="7">
        <f t="shared" si="2"/>
        <v>79.583333333333329</v>
      </c>
      <c r="N27" s="80">
        <v>5380</v>
      </c>
      <c r="O27" s="82"/>
      <c r="P27" s="75"/>
      <c r="Q27" s="75"/>
      <c r="R27" s="7" t="e">
        <f t="shared" si="3"/>
        <v>#DIV/0!</v>
      </c>
      <c r="S27" s="80"/>
      <c r="T27" s="87"/>
      <c r="U27" s="88"/>
      <c r="V27" s="88"/>
      <c r="W27" s="7" t="e">
        <f t="shared" si="4"/>
        <v>#DIV/0!</v>
      </c>
      <c r="X27" s="97"/>
    </row>
    <row r="28" spans="1:24" s="12" customFormat="1" ht="9.75" x14ac:dyDescent="0.2">
      <c r="A28" s="27" t="s">
        <v>51</v>
      </c>
      <c r="B28" s="418" t="s">
        <v>74</v>
      </c>
      <c r="C28" s="419"/>
      <c r="D28" s="48" t="s">
        <v>25</v>
      </c>
      <c r="E28" s="55">
        <f>SUM(J28)</f>
        <v>50000</v>
      </c>
      <c r="F28" s="56">
        <f>SUM(K28)</f>
        <v>123200</v>
      </c>
      <c r="G28" s="56">
        <f>SUM(L28)</f>
        <v>119199</v>
      </c>
      <c r="H28" s="11">
        <f t="shared" si="0"/>
        <v>96.752435064935057</v>
      </c>
      <c r="I28" s="63">
        <f>SUM(S28,N28)</f>
        <v>193300</v>
      </c>
      <c r="J28" s="72">
        <v>50000</v>
      </c>
      <c r="K28" s="75">
        <v>123200</v>
      </c>
      <c r="L28" s="75">
        <v>119199</v>
      </c>
      <c r="M28" s="7">
        <f t="shared" si="2"/>
        <v>96.752435064935057</v>
      </c>
      <c r="N28" s="80">
        <v>144300</v>
      </c>
      <c r="O28" s="82"/>
      <c r="P28" s="75"/>
      <c r="Q28" s="75"/>
      <c r="R28" s="7" t="e">
        <f t="shared" si="3"/>
        <v>#DIV/0!</v>
      </c>
      <c r="S28" s="80">
        <v>49000</v>
      </c>
      <c r="T28" s="87"/>
      <c r="U28" s="88"/>
      <c r="V28" s="88"/>
      <c r="W28" s="7" t="e">
        <f t="shared" si="4"/>
        <v>#DIV/0!</v>
      </c>
      <c r="X28" s="97"/>
    </row>
    <row r="29" spans="1:24" s="10" customFormat="1" ht="9.75" x14ac:dyDescent="0.2">
      <c r="A29" s="27" t="s">
        <v>52</v>
      </c>
      <c r="B29" s="997" t="s">
        <v>67</v>
      </c>
      <c r="C29" s="998"/>
      <c r="D29" s="48" t="s">
        <v>25</v>
      </c>
      <c r="E29" s="55">
        <f t="shared" ref="E29:G31" si="7">SUM(J29,O29)</f>
        <v>900</v>
      </c>
      <c r="F29" s="56">
        <f t="shared" si="7"/>
        <v>1200</v>
      </c>
      <c r="G29" s="56">
        <f t="shared" si="7"/>
        <v>1177</v>
      </c>
      <c r="H29" s="11">
        <f t="shared" si="0"/>
        <v>98.083333333333329</v>
      </c>
      <c r="I29" s="63">
        <f>SUM(N29,S29)</f>
        <v>784</v>
      </c>
      <c r="J29" s="72">
        <v>900</v>
      </c>
      <c r="K29" s="75">
        <v>1200</v>
      </c>
      <c r="L29" s="75">
        <v>1177</v>
      </c>
      <c r="M29" s="7">
        <f t="shared" si="2"/>
        <v>98.083333333333329</v>
      </c>
      <c r="N29" s="80">
        <v>784</v>
      </c>
      <c r="O29" s="82"/>
      <c r="P29" s="75"/>
      <c r="Q29" s="75"/>
      <c r="R29" s="7" t="e">
        <f t="shared" si="3"/>
        <v>#DIV/0!</v>
      </c>
      <c r="S29" s="80"/>
      <c r="T29" s="87"/>
      <c r="U29" s="88"/>
      <c r="V29" s="88"/>
      <c r="W29" s="7" t="e">
        <f t="shared" si="4"/>
        <v>#DIV/0!</v>
      </c>
      <c r="X29" s="97"/>
    </row>
    <row r="30" spans="1:24" s="3" customFormat="1" ht="9.75" x14ac:dyDescent="0.2">
      <c r="A30" s="27" t="s">
        <v>54</v>
      </c>
      <c r="B30" s="418" t="s">
        <v>53</v>
      </c>
      <c r="C30" s="419"/>
      <c r="D30" s="48" t="s">
        <v>25</v>
      </c>
      <c r="E30" s="55">
        <f t="shared" si="7"/>
        <v>0</v>
      </c>
      <c r="F30" s="56">
        <f t="shared" si="7"/>
        <v>0</v>
      </c>
      <c r="G30" s="56">
        <f t="shared" si="7"/>
        <v>0</v>
      </c>
      <c r="H30" s="11" t="e">
        <f t="shared" si="0"/>
        <v>#DIV/0!</v>
      </c>
      <c r="I30" s="63">
        <f>SUM(N30,S30)</f>
        <v>0</v>
      </c>
      <c r="J30" s="72"/>
      <c r="K30" s="75"/>
      <c r="L30" s="75"/>
      <c r="M30" s="7" t="e">
        <f t="shared" si="2"/>
        <v>#DIV/0!</v>
      </c>
      <c r="N30" s="80"/>
      <c r="O30" s="82"/>
      <c r="P30" s="75"/>
      <c r="Q30" s="75"/>
      <c r="R30" s="7" t="e">
        <f t="shared" si="3"/>
        <v>#DIV/0!</v>
      </c>
      <c r="S30" s="80"/>
      <c r="T30" s="87"/>
      <c r="U30" s="88"/>
      <c r="V30" s="88"/>
      <c r="W30" s="7" t="e">
        <f t="shared" si="4"/>
        <v>#DIV/0!</v>
      </c>
      <c r="X30" s="97"/>
    </row>
    <row r="31" spans="1:24" s="31" customFormat="1" ht="9.75" x14ac:dyDescent="0.2">
      <c r="A31" s="27" t="s">
        <v>55</v>
      </c>
      <c r="B31" s="102" t="s">
        <v>71</v>
      </c>
      <c r="C31" s="103"/>
      <c r="D31" s="48" t="s">
        <v>25</v>
      </c>
      <c r="E31" s="55">
        <f t="shared" si="7"/>
        <v>0</v>
      </c>
      <c r="F31" s="56">
        <f t="shared" si="7"/>
        <v>0</v>
      </c>
      <c r="G31" s="56">
        <f t="shared" si="7"/>
        <v>0</v>
      </c>
      <c r="H31" s="11" t="e">
        <f t="shared" si="0"/>
        <v>#DIV/0!</v>
      </c>
      <c r="I31" s="63">
        <f>SUM(N31,S31)</f>
        <v>0</v>
      </c>
      <c r="J31" s="72"/>
      <c r="K31" s="104"/>
      <c r="L31" s="104"/>
      <c r="M31" s="7" t="e">
        <f t="shared" si="2"/>
        <v>#DIV/0!</v>
      </c>
      <c r="N31" s="105"/>
      <c r="O31" s="106"/>
      <c r="P31" s="104"/>
      <c r="Q31" s="104"/>
      <c r="R31" s="7" t="e">
        <f t="shared" si="3"/>
        <v>#DIV/0!</v>
      </c>
      <c r="S31" s="105"/>
      <c r="T31" s="107"/>
      <c r="U31" s="108"/>
      <c r="V31" s="108"/>
      <c r="W31" s="7" t="e">
        <f t="shared" si="4"/>
        <v>#DIV/0!</v>
      </c>
      <c r="X31" s="109"/>
    </row>
    <row r="32" spans="1:24" s="31" customFormat="1" ht="9.75" x14ac:dyDescent="0.2">
      <c r="A32" s="110" t="s">
        <v>56</v>
      </c>
      <c r="B32" s="111" t="s">
        <v>72</v>
      </c>
      <c r="C32" s="112"/>
      <c r="D32" s="49" t="s">
        <v>25</v>
      </c>
      <c r="E32" s="57">
        <f>SUM(J32,O32)</f>
        <v>0</v>
      </c>
      <c r="F32" s="58">
        <f>SUM(K32,P32)</f>
        <v>0</v>
      </c>
      <c r="G32" s="58">
        <f>SUM(L32,Q32)</f>
        <v>0</v>
      </c>
      <c r="H32" s="13" t="e">
        <f t="shared" si="0"/>
        <v>#DIV/0!</v>
      </c>
      <c r="I32" s="65">
        <f>SUM(N32,S32)</f>
        <v>0</v>
      </c>
      <c r="J32" s="113"/>
      <c r="K32" s="90"/>
      <c r="L32" s="90"/>
      <c r="M32" s="24" t="e">
        <f t="shared" si="2"/>
        <v>#DIV/0!</v>
      </c>
      <c r="N32" s="114"/>
      <c r="O32" s="89"/>
      <c r="P32" s="90"/>
      <c r="Q32" s="90"/>
      <c r="R32" s="24" t="e">
        <f t="shared" si="3"/>
        <v>#DIV/0!</v>
      </c>
      <c r="S32" s="114"/>
      <c r="T32" s="89"/>
      <c r="U32" s="90"/>
      <c r="V32" s="90"/>
      <c r="W32" s="24" t="e">
        <f t="shared" si="4"/>
        <v>#DIV/0!</v>
      </c>
      <c r="X32" s="98"/>
    </row>
    <row r="33" spans="1:24" s="31" customFormat="1" ht="9.75" x14ac:dyDescent="0.2">
      <c r="A33" s="16" t="s">
        <v>57</v>
      </c>
      <c r="B33" s="34" t="s">
        <v>58</v>
      </c>
      <c r="C33" s="35"/>
      <c r="D33" s="17" t="s">
        <v>25</v>
      </c>
      <c r="E33" s="52">
        <f>E6-E11</f>
        <v>0</v>
      </c>
      <c r="F33" s="52">
        <f t="shared" ref="F33:G33" si="8">F6-F11</f>
        <v>0</v>
      </c>
      <c r="G33" s="52">
        <f t="shared" si="8"/>
        <v>88079</v>
      </c>
      <c r="H33" s="32" t="e">
        <f t="shared" si="0"/>
        <v>#DIV/0!</v>
      </c>
      <c r="I33" s="52">
        <f t="shared" ref="I33:L33" si="9">I6-I11</f>
        <v>78082</v>
      </c>
      <c r="J33" s="52">
        <f t="shared" si="9"/>
        <v>0</v>
      </c>
      <c r="K33" s="52">
        <f t="shared" si="9"/>
        <v>0</v>
      </c>
      <c r="L33" s="52">
        <f t="shared" si="9"/>
        <v>88079</v>
      </c>
      <c r="M33" s="33" t="e">
        <f t="shared" si="2"/>
        <v>#DIV/0!</v>
      </c>
      <c r="N33" s="52">
        <f t="shared" ref="N33:Q33" si="10">N6-N11</f>
        <v>78082</v>
      </c>
      <c r="O33" s="52">
        <f t="shared" si="10"/>
        <v>0</v>
      </c>
      <c r="P33" s="52">
        <f t="shared" si="10"/>
        <v>0</v>
      </c>
      <c r="Q33" s="52">
        <f t="shared" si="10"/>
        <v>0</v>
      </c>
      <c r="R33" s="33" t="e">
        <f t="shared" si="3"/>
        <v>#DIV/0!</v>
      </c>
      <c r="S33" s="52">
        <f t="shared" ref="S33:V33" si="11">S6-S11</f>
        <v>0</v>
      </c>
      <c r="T33" s="52">
        <f t="shared" si="11"/>
        <v>0</v>
      </c>
      <c r="U33" s="52">
        <f t="shared" si="11"/>
        <v>0</v>
      </c>
      <c r="V33" s="52">
        <f t="shared" si="11"/>
        <v>0</v>
      </c>
      <c r="W33" s="178" t="e">
        <f t="shared" si="4"/>
        <v>#DIV/0!</v>
      </c>
      <c r="X33" s="52">
        <f>X6-X11</f>
        <v>0</v>
      </c>
    </row>
    <row r="34" spans="1:24" s="37" customFormat="1" ht="9.75" x14ac:dyDescent="0.2">
      <c r="A34" s="36" t="s">
        <v>59</v>
      </c>
      <c r="B34" s="999" t="s">
        <v>24</v>
      </c>
      <c r="C34" s="1000"/>
      <c r="D34" s="99" t="s">
        <v>25</v>
      </c>
      <c r="E34" s="590">
        <v>21037</v>
      </c>
      <c r="F34" s="41">
        <v>21992</v>
      </c>
      <c r="G34" s="41">
        <v>21980</v>
      </c>
      <c r="H34" s="9">
        <f t="shared" si="0"/>
        <v>99.945434703528562</v>
      </c>
      <c r="I34" s="44">
        <v>20442</v>
      </c>
      <c r="J34" s="444">
        <v>19990</v>
      </c>
      <c r="K34" s="444">
        <v>21442</v>
      </c>
      <c r="L34" s="444">
        <v>21436</v>
      </c>
      <c r="M34" s="178">
        <f t="shared" si="2"/>
        <v>99.972017535677637</v>
      </c>
      <c r="N34" s="444">
        <v>19587</v>
      </c>
      <c r="O34" s="444">
        <v>22083</v>
      </c>
      <c r="P34" s="444">
        <v>22542</v>
      </c>
      <c r="Q34" s="444">
        <v>22524</v>
      </c>
      <c r="R34" s="178">
        <f t="shared" si="3"/>
        <v>99.920149055097156</v>
      </c>
      <c r="S34" s="444">
        <v>21296</v>
      </c>
      <c r="T34" s="444"/>
      <c r="U34" s="444"/>
      <c r="V34" s="444"/>
      <c r="W34" s="178" t="e">
        <f t="shared" si="4"/>
        <v>#DIV/0!</v>
      </c>
      <c r="X34" s="444"/>
    </row>
    <row r="35" spans="1:24" s="37" customFormat="1" ht="9.75" x14ac:dyDescent="0.2">
      <c r="A35" s="38" t="s">
        <v>60</v>
      </c>
      <c r="B35" s="1001" t="s">
        <v>33</v>
      </c>
      <c r="C35" s="1002"/>
      <c r="D35" s="100" t="s">
        <v>26</v>
      </c>
      <c r="E35" s="118">
        <v>21.8</v>
      </c>
      <c r="F35" s="119">
        <v>22</v>
      </c>
      <c r="G35" s="119">
        <v>22</v>
      </c>
      <c r="H35" s="11">
        <v>100</v>
      </c>
      <c r="I35" s="45">
        <v>22</v>
      </c>
      <c r="J35" s="444">
        <v>18</v>
      </c>
      <c r="K35" s="444">
        <v>18</v>
      </c>
      <c r="L35" s="444">
        <v>18</v>
      </c>
      <c r="M35" s="178">
        <f t="shared" si="2"/>
        <v>100</v>
      </c>
      <c r="N35" s="444">
        <v>18</v>
      </c>
      <c r="O35" s="444">
        <v>3.8</v>
      </c>
      <c r="P35" s="444">
        <v>3.8</v>
      </c>
      <c r="Q35" s="444">
        <v>3.8</v>
      </c>
      <c r="R35" s="178">
        <f t="shared" si="3"/>
        <v>100</v>
      </c>
      <c r="S35" s="444">
        <v>4</v>
      </c>
      <c r="T35" s="444"/>
      <c r="U35" s="444"/>
      <c r="V35" s="444"/>
      <c r="W35" s="178" t="e">
        <f t="shared" si="4"/>
        <v>#DIV/0!</v>
      </c>
      <c r="X35" s="444"/>
    </row>
    <row r="36" spans="1:24" s="37" customFormat="1" ht="9.75" x14ac:dyDescent="0.2">
      <c r="A36" s="39" t="s">
        <v>61</v>
      </c>
      <c r="B36" s="1003" t="s">
        <v>27</v>
      </c>
      <c r="C36" s="1004"/>
      <c r="D36" s="101" t="s">
        <v>26</v>
      </c>
      <c r="E36" s="42">
        <v>22</v>
      </c>
      <c r="F36" s="43">
        <v>22</v>
      </c>
      <c r="G36" s="43">
        <v>22</v>
      </c>
      <c r="H36" s="13">
        <v>100</v>
      </c>
      <c r="I36" s="46">
        <v>22</v>
      </c>
      <c r="J36" s="444">
        <v>20</v>
      </c>
      <c r="K36" s="444">
        <v>20</v>
      </c>
      <c r="L36" s="444">
        <v>20</v>
      </c>
      <c r="M36" s="178">
        <f t="shared" si="2"/>
        <v>100</v>
      </c>
      <c r="N36" s="444">
        <v>20</v>
      </c>
      <c r="O36" s="444">
        <v>2</v>
      </c>
      <c r="P36" s="444">
        <v>2</v>
      </c>
      <c r="Q36" s="444">
        <v>2</v>
      </c>
      <c r="R36" s="178">
        <f t="shared" si="3"/>
        <v>100</v>
      </c>
      <c r="S36" s="444">
        <v>2</v>
      </c>
      <c r="T36" s="444"/>
      <c r="U36" s="444"/>
      <c r="V36" s="444"/>
      <c r="W36" s="178" t="e">
        <f t="shared" si="4"/>
        <v>#DIV/0!</v>
      </c>
      <c r="X36" s="444"/>
    </row>
  </sheetData>
  <mergeCells count="39">
    <mergeCell ref="A1:X1"/>
    <mergeCell ref="A3:A5"/>
    <mergeCell ref="B3:C5"/>
    <mergeCell ref="D3:D5"/>
    <mergeCell ref="E3:I3"/>
    <mergeCell ref="J3:N3"/>
    <mergeCell ref="O3:S3"/>
    <mergeCell ref="T3:X3"/>
    <mergeCell ref="E4:E5"/>
    <mergeCell ref="F4:H4"/>
    <mergeCell ref="S4:S5"/>
    <mergeCell ref="T4:T5"/>
    <mergeCell ref="U4:W4"/>
    <mergeCell ref="X4:X5"/>
    <mergeCell ref="O4:O5"/>
    <mergeCell ref="P4:R4"/>
    <mergeCell ref="B7:C7"/>
    <mergeCell ref="I4:I5"/>
    <mergeCell ref="J4:J5"/>
    <mergeCell ref="K4:M4"/>
    <mergeCell ref="N4:N5"/>
    <mergeCell ref="B6:C6"/>
    <mergeCell ref="B22:C22"/>
    <mergeCell ref="B8:C8"/>
    <mergeCell ref="B10:C10"/>
    <mergeCell ref="B11:C11"/>
    <mergeCell ref="B12:C12"/>
    <mergeCell ref="B13:C13"/>
    <mergeCell ref="B15:C15"/>
    <mergeCell ref="B16:C16"/>
    <mergeCell ref="B18:C18"/>
    <mergeCell ref="B19:C19"/>
    <mergeCell ref="B20:C20"/>
    <mergeCell ref="B21:C21"/>
    <mergeCell ref="B26:C26"/>
    <mergeCell ref="B29:C29"/>
    <mergeCell ref="B34:C34"/>
    <mergeCell ref="B35:C35"/>
    <mergeCell ref="B36:C36"/>
  </mergeCells>
  <pageMargins left="0.70866141732283472" right="0.70866141732283472" top="0.78740157480314965" bottom="0.78740157480314965" header="0.31496062992125984" footer="0.31496062992125984"/>
  <pageSetup paperSize="9" scale="91" firstPageNumber="128" orientation="landscape" useFirstPageNumber="1" r:id="rId1"/>
  <headerFoot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9"/>
  <sheetViews>
    <sheetView workbookViewId="0">
      <selection activeCell="A107" sqref="A107:XFD107"/>
    </sheetView>
  </sheetViews>
  <sheetFormatPr defaultRowHeight="12.75" x14ac:dyDescent="0.2"/>
  <cols>
    <col min="1" max="1" width="58" style="240" customWidth="1"/>
    <col min="2" max="2" width="35" style="240" customWidth="1"/>
    <col min="3" max="5" width="25.75" style="240" customWidth="1"/>
    <col min="6" max="6" width="22.75" style="240" customWidth="1"/>
    <col min="7" max="16384" width="10" style="240"/>
  </cols>
  <sheetData>
    <row r="1" spans="1:9" s="425" customFormat="1" ht="18.75" x14ac:dyDescent="0.3">
      <c r="A1" s="425" t="s">
        <v>92</v>
      </c>
      <c r="B1" s="962" t="s">
        <v>321</v>
      </c>
    </row>
    <row r="3" spans="1:9" s="180" customFormat="1" ht="10.5" x14ac:dyDescent="0.15">
      <c r="A3" s="1039" t="s">
        <v>354</v>
      </c>
      <c r="B3" s="1039"/>
      <c r="C3" s="1039"/>
      <c r="D3" s="1039"/>
      <c r="E3" s="1039"/>
      <c r="F3" s="1039"/>
      <c r="G3" s="1039"/>
      <c r="H3" s="1039"/>
      <c r="I3" s="1039"/>
    </row>
    <row r="4" spans="1:9" s="181" customFormat="1" ht="11.25" x14ac:dyDescent="0.2"/>
    <row r="5" spans="1:9" s="182" customFormat="1" ht="9.75" x14ac:dyDescent="0.2">
      <c r="A5" s="1040" t="s">
        <v>93</v>
      </c>
      <c r="B5" s="1041"/>
      <c r="C5" s="420" t="s">
        <v>25</v>
      </c>
      <c r="D5" s="1042" t="s">
        <v>355</v>
      </c>
      <c r="E5" s="1042"/>
      <c r="F5" s="1042"/>
      <c r="G5" s="1042"/>
      <c r="H5" s="1042"/>
      <c r="I5" s="1042"/>
    </row>
    <row r="6" spans="1:9" s="181" customFormat="1" ht="15" customHeight="1" x14ac:dyDescent="0.2">
      <c r="A6" s="1043" t="s">
        <v>356</v>
      </c>
      <c r="B6" s="1043"/>
      <c r="C6" s="183">
        <f>SUM(C7:C9)</f>
        <v>88079.16</v>
      </c>
      <c r="D6" s="1044"/>
      <c r="E6" s="1045"/>
      <c r="F6" s="1045"/>
      <c r="G6" s="1045"/>
      <c r="H6" s="1045"/>
      <c r="I6" s="1045"/>
    </row>
    <row r="7" spans="1:9" s="181" customFormat="1" ht="33.75" customHeight="1" x14ac:dyDescent="0.2">
      <c r="A7" s="1046" t="s">
        <v>94</v>
      </c>
      <c r="B7" s="1047"/>
      <c r="C7" s="184">
        <v>88079.16</v>
      </c>
      <c r="D7" s="1048" t="s">
        <v>1216</v>
      </c>
      <c r="E7" s="1048"/>
      <c r="F7" s="1048"/>
      <c r="G7" s="1048"/>
      <c r="H7" s="1048"/>
      <c r="I7" s="1048"/>
    </row>
    <row r="8" spans="1:9" s="180" customFormat="1" ht="27" customHeight="1" x14ac:dyDescent="0.15">
      <c r="A8" s="1049" t="s">
        <v>95</v>
      </c>
      <c r="B8" s="1050"/>
      <c r="C8" s="185">
        <v>0</v>
      </c>
      <c r="D8" s="1048"/>
      <c r="E8" s="1048"/>
      <c r="F8" s="1048"/>
      <c r="G8" s="1048"/>
      <c r="H8" s="1048"/>
      <c r="I8" s="1048"/>
    </row>
    <row r="9" spans="1:9" s="180" customFormat="1" ht="15" customHeight="1" x14ac:dyDescent="0.15">
      <c r="A9" s="1049" t="s">
        <v>96</v>
      </c>
      <c r="B9" s="1050"/>
      <c r="C9" s="185">
        <v>0</v>
      </c>
      <c r="D9" s="1051"/>
      <c r="E9" s="1052"/>
      <c r="F9" s="1052"/>
      <c r="G9" s="1052"/>
      <c r="H9" s="1052"/>
      <c r="I9" s="1053"/>
    </row>
    <row r="10" spans="1:9" s="181" customFormat="1" ht="11.25" x14ac:dyDescent="0.2">
      <c r="C10" s="186"/>
    </row>
    <row r="11" spans="1:9" s="181" customFormat="1" ht="11.25" x14ac:dyDescent="0.2">
      <c r="A11" s="1039" t="s">
        <v>359</v>
      </c>
      <c r="B11" s="1039"/>
      <c r="C11" s="1039"/>
      <c r="D11" s="1039"/>
      <c r="E11" s="1039"/>
      <c r="F11" s="1039"/>
      <c r="G11" s="1039"/>
      <c r="H11" s="1039"/>
      <c r="I11" s="1039"/>
    </row>
    <row r="12" spans="1:9" s="181" customFormat="1" ht="11.25" x14ac:dyDescent="0.2">
      <c r="C12" s="186"/>
      <c r="D12" s="187"/>
      <c r="E12" s="187"/>
      <c r="F12" s="187"/>
      <c r="G12" s="187"/>
      <c r="H12" s="187"/>
      <c r="I12" s="187"/>
    </row>
    <row r="13" spans="1:9" s="190" customFormat="1" ht="9.75" x14ac:dyDescent="0.2">
      <c r="A13" s="420" t="s">
        <v>93</v>
      </c>
      <c r="B13" s="420" t="s">
        <v>97</v>
      </c>
      <c r="C13" s="420" t="s">
        <v>25</v>
      </c>
      <c r="D13" s="188"/>
      <c r="E13" s="189"/>
      <c r="F13" s="189"/>
      <c r="G13" s="189"/>
      <c r="H13" s="189"/>
      <c r="I13" s="189"/>
    </row>
    <row r="14" spans="1:9" s="181" customFormat="1" ht="15" customHeight="1" x14ac:dyDescent="0.2">
      <c r="A14" s="191" t="s">
        <v>98</v>
      </c>
      <c r="B14" s="192"/>
      <c r="C14" s="193">
        <v>17496</v>
      </c>
      <c r="D14" s="194"/>
      <c r="E14" s="195"/>
      <c r="F14" s="195"/>
      <c r="G14" s="195"/>
      <c r="H14" s="195"/>
      <c r="I14" s="195"/>
    </row>
    <row r="15" spans="1:9" s="181" customFormat="1" ht="15" customHeight="1" x14ac:dyDescent="0.2">
      <c r="A15" s="1037" t="s">
        <v>99</v>
      </c>
      <c r="B15" s="196" t="s">
        <v>100</v>
      </c>
      <c r="C15" s="197">
        <v>50583.16</v>
      </c>
      <c r="D15" s="198"/>
      <c r="E15" s="199"/>
      <c r="F15" s="199"/>
      <c r="G15" s="199"/>
      <c r="H15" s="199"/>
      <c r="I15" s="199"/>
    </row>
    <row r="16" spans="1:9" s="181" customFormat="1" ht="15" customHeight="1" x14ac:dyDescent="0.2">
      <c r="A16" s="1038"/>
      <c r="B16" s="200" t="s">
        <v>101</v>
      </c>
      <c r="C16" s="202">
        <v>20000</v>
      </c>
      <c r="D16" s="203"/>
      <c r="E16" s="204"/>
      <c r="F16" s="204"/>
      <c r="G16" s="204"/>
      <c r="H16" s="204"/>
      <c r="I16" s="204"/>
    </row>
    <row r="17" spans="1:9" s="181" customFormat="1" ht="15" customHeight="1" x14ac:dyDescent="0.2">
      <c r="A17" s="421" t="s">
        <v>356</v>
      </c>
      <c r="B17" s="205"/>
      <c r="C17" s="206">
        <f>SUM(C14:C16)</f>
        <v>88079.16</v>
      </c>
      <c r="D17" s="207"/>
      <c r="E17" s="207"/>
      <c r="F17" s="207"/>
      <c r="G17" s="207"/>
      <c r="H17" s="207"/>
      <c r="I17" s="207"/>
    </row>
    <row r="18" spans="1:9" s="209" customFormat="1" ht="11.25" x14ac:dyDescent="0.2">
      <c r="A18" s="208"/>
      <c r="C18" s="210"/>
      <c r="D18" s="211"/>
      <c r="E18" s="211"/>
      <c r="F18" s="211"/>
      <c r="G18" s="211"/>
      <c r="H18" s="211"/>
      <c r="I18" s="211"/>
    </row>
    <row r="19" spans="1:9" s="181" customFormat="1" ht="11.25" x14ac:dyDescent="0.2">
      <c r="A19" s="1039" t="s">
        <v>360</v>
      </c>
      <c r="B19" s="1039"/>
      <c r="C19" s="1039"/>
      <c r="D19" s="1039"/>
      <c r="E19" s="1039"/>
      <c r="F19" s="1039"/>
      <c r="G19" s="1039"/>
      <c r="H19" s="1039"/>
      <c r="I19" s="1039"/>
    </row>
    <row r="20" spans="1:9" s="181" customFormat="1" ht="11.25" x14ac:dyDescent="0.2">
      <c r="C20" s="186"/>
    </row>
    <row r="21" spans="1:9" s="212" customFormat="1" ht="9.75" x14ac:dyDescent="0.2">
      <c r="A21" s="420" t="s">
        <v>97</v>
      </c>
      <c r="B21" s="420" t="s">
        <v>361</v>
      </c>
      <c r="C21" s="423" t="s">
        <v>362</v>
      </c>
      <c r="D21" s="420" t="s">
        <v>363</v>
      </c>
      <c r="E21" s="420" t="s">
        <v>364</v>
      </c>
      <c r="F21" s="1042" t="s">
        <v>365</v>
      </c>
      <c r="G21" s="1042"/>
      <c r="H21" s="1042"/>
      <c r="I21" s="1042"/>
    </row>
    <row r="22" spans="1:9" s="181" customFormat="1" ht="68.25" customHeight="1" x14ac:dyDescent="0.2">
      <c r="A22" s="213" t="s">
        <v>102</v>
      </c>
      <c r="B22" s="214">
        <v>131305.35</v>
      </c>
      <c r="C22" s="214">
        <v>78082.460000000006</v>
      </c>
      <c r="D22" s="214">
        <v>82910</v>
      </c>
      <c r="E22" s="214">
        <v>126477.81</v>
      </c>
      <c r="F22" s="1054" t="s">
        <v>1217</v>
      </c>
      <c r="G22" s="1055"/>
      <c r="H22" s="1055"/>
      <c r="I22" s="1056"/>
    </row>
    <row r="23" spans="1:9" s="181" customFormat="1" ht="41.25" customHeight="1" x14ac:dyDescent="0.2">
      <c r="A23" s="196" t="s">
        <v>103</v>
      </c>
      <c r="B23" s="215">
        <v>83876.2</v>
      </c>
      <c r="C23" s="215">
        <v>353629</v>
      </c>
      <c r="D23" s="215">
        <v>301000</v>
      </c>
      <c r="E23" s="215">
        <v>136505.20000000001</v>
      </c>
      <c r="F23" s="1057" t="s">
        <v>1218</v>
      </c>
      <c r="G23" s="1058"/>
      <c r="H23" s="1058"/>
      <c r="I23" s="1059"/>
    </row>
    <row r="24" spans="1:9" s="181" customFormat="1" ht="45" customHeight="1" x14ac:dyDescent="0.2">
      <c r="A24" s="196" t="s">
        <v>101</v>
      </c>
      <c r="B24" s="215">
        <v>120135</v>
      </c>
      <c r="C24" s="215">
        <v>0</v>
      </c>
      <c r="D24" s="215">
        <v>30000</v>
      </c>
      <c r="E24" s="215">
        <v>90135</v>
      </c>
      <c r="F24" s="1057" t="s">
        <v>1219</v>
      </c>
      <c r="G24" s="1058"/>
      <c r="H24" s="1058"/>
      <c r="I24" s="1059"/>
    </row>
    <row r="25" spans="1:9" s="181" customFormat="1" ht="25.5" customHeight="1" x14ac:dyDescent="0.2">
      <c r="A25" s="200" t="s">
        <v>104</v>
      </c>
      <c r="B25" s="216">
        <v>29016.04</v>
      </c>
      <c r="C25" s="216">
        <v>114440</v>
      </c>
      <c r="D25" s="216">
        <v>102312</v>
      </c>
      <c r="E25" s="215">
        <v>41144.04</v>
      </c>
      <c r="F25" s="1060" t="s">
        <v>1220</v>
      </c>
      <c r="G25" s="1061"/>
      <c r="H25" s="1061"/>
      <c r="I25" s="1062"/>
    </row>
    <row r="26" spans="1:9" s="180" customFormat="1" ht="10.5" x14ac:dyDescent="0.15">
      <c r="A26" s="217" t="s">
        <v>34</v>
      </c>
      <c r="B26" s="183">
        <f>SUM(B22:B25)</f>
        <v>364332.58999999997</v>
      </c>
      <c r="C26" s="183">
        <f t="shared" ref="C26:E26" si="0">SUM(C22:C25)</f>
        <v>546151.46</v>
      </c>
      <c r="D26" s="183">
        <f t="shared" si="0"/>
        <v>516222</v>
      </c>
      <c r="E26" s="183">
        <f t="shared" si="0"/>
        <v>394262.05</v>
      </c>
      <c r="F26" s="1063"/>
      <c r="G26" s="1063"/>
      <c r="H26" s="1063"/>
      <c r="I26" s="1064"/>
    </row>
    <row r="27" spans="1:9" s="181" customFormat="1" ht="11.25" x14ac:dyDescent="0.2">
      <c r="C27" s="186"/>
    </row>
    <row r="28" spans="1:9" s="181" customFormat="1" ht="11.25" x14ac:dyDescent="0.2">
      <c r="A28" s="1039" t="s">
        <v>370</v>
      </c>
      <c r="B28" s="1039"/>
      <c r="C28" s="1039"/>
      <c r="D28" s="1039"/>
      <c r="E28" s="1039"/>
      <c r="F28" s="1039"/>
      <c r="G28" s="1039"/>
      <c r="H28" s="1039"/>
      <c r="I28" s="1039"/>
    </row>
    <row r="29" spans="1:9" s="181" customFormat="1" ht="11.25" x14ac:dyDescent="0.2">
      <c r="C29" s="186"/>
    </row>
    <row r="30" spans="1:9" s="181" customFormat="1" ht="11.25" x14ac:dyDescent="0.2">
      <c r="A30" s="420" t="s">
        <v>105</v>
      </c>
      <c r="B30" s="420" t="s">
        <v>25</v>
      </c>
      <c r="C30" s="423" t="s">
        <v>106</v>
      </c>
      <c r="D30" s="1042" t="s">
        <v>107</v>
      </c>
      <c r="E30" s="1042"/>
      <c r="F30" s="1042"/>
      <c r="G30" s="1042"/>
      <c r="H30" s="1042"/>
      <c r="I30" s="1042"/>
    </row>
    <row r="31" spans="1:9" s="181" customFormat="1" ht="43.5" customHeight="1" x14ac:dyDescent="0.2">
      <c r="A31" s="218" t="s">
        <v>322</v>
      </c>
      <c r="B31" s="214">
        <v>21800</v>
      </c>
      <c r="C31" s="219"/>
      <c r="D31" s="1065" t="s">
        <v>1221</v>
      </c>
      <c r="E31" s="1066"/>
      <c r="F31" s="1066"/>
      <c r="G31" s="1066"/>
      <c r="H31" s="1066"/>
      <c r="I31" s="1067"/>
    </row>
    <row r="32" spans="1:9" s="180" customFormat="1" ht="11.25" x14ac:dyDescent="0.2">
      <c r="A32" s="217" t="s">
        <v>34</v>
      </c>
      <c r="B32" s="183">
        <f>SUM(B31:B31)</f>
        <v>21800</v>
      </c>
      <c r="C32" s="1068"/>
      <c r="D32" s="1069"/>
      <c r="E32" s="1069"/>
      <c r="F32" s="1069"/>
      <c r="G32" s="1069"/>
      <c r="H32" s="1069"/>
      <c r="I32" s="1070"/>
    </row>
    <row r="33" spans="1:9" s="181" customFormat="1" ht="11.25" x14ac:dyDescent="0.2">
      <c r="C33" s="186"/>
    </row>
    <row r="34" spans="1:9" s="181" customFormat="1" ht="11.25" x14ac:dyDescent="0.2">
      <c r="A34" s="1039" t="s">
        <v>372</v>
      </c>
      <c r="B34" s="1039"/>
      <c r="C34" s="1039"/>
      <c r="D34" s="1039"/>
      <c r="E34" s="1039"/>
      <c r="F34" s="1039"/>
      <c r="G34" s="1039"/>
      <c r="H34" s="1039"/>
      <c r="I34" s="1039"/>
    </row>
    <row r="35" spans="1:9" s="181" customFormat="1" ht="11.25" x14ac:dyDescent="0.2">
      <c r="C35" s="186"/>
    </row>
    <row r="36" spans="1:9" s="181" customFormat="1" ht="11.25" x14ac:dyDescent="0.2">
      <c r="A36" s="420" t="s">
        <v>105</v>
      </c>
      <c r="B36" s="420" t="s">
        <v>25</v>
      </c>
      <c r="C36" s="423" t="s">
        <v>106</v>
      </c>
      <c r="D36" s="1071" t="s">
        <v>107</v>
      </c>
      <c r="E36" s="1071"/>
      <c r="F36" s="1071"/>
      <c r="G36" s="1071"/>
      <c r="H36" s="1071"/>
      <c r="I36" s="1072"/>
    </row>
    <row r="37" spans="1:9" s="181" customFormat="1" ht="15" customHeight="1" x14ac:dyDescent="0.2">
      <c r="A37" s="218"/>
      <c r="B37" s="214">
        <v>0</v>
      </c>
      <c r="C37" s="219"/>
      <c r="D37" s="1057" t="s">
        <v>323</v>
      </c>
      <c r="E37" s="1073"/>
      <c r="F37" s="1073"/>
      <c r="G37" s="1073"/>
      <c r="H37" s="1073"/>
      <c r="I37" s="1074"/>
    </row>
    <row r="38" spans="1:9" s="180" customFormat="1" ht="10.5" x14ac:dyDescent="0.15">
      <c r="A38" s="217" t="s">
        <v>34</v>
      </c>
      <c r="B38" s="183">
        <f>SUM(B37:B37)</f>
        <v>0</v>
      </c>
      <c r="C38" s="1075"/>
      <c r="D38" s="1076"/>
      <c r="E38" s="1076"/>
      <c r="F38" s="1076"/>
      <c r="G38" s="1076"/>
      <c r="H38" s="1076"/>
      <c r="I38" s="1076"/>
    </row>
    <row r="39" spans="1:9" s="181" customFormat="1" ht="11.25" x14ac:dyDescent="0.2">
      <c r="C39" s="186"/>
    </row>
    <row r="40" spans="1:9" s="181" customFormat="1" ht="11.25" x14ac:dyDescent="0.2">
      <c r="A40" s="1039" t="s">
        <v>374</v>
      </c>
      <c r="B40" s="1039"/>
      <c r="C40" s="1039"/>
      <c r="D40" s="1039"/>
      <c r="E40" s="1039"/>
      <c r="F40" s="1039"/>
      <c r="G40" s="1039"/>
      <c r="H40" s="1039"/>
      <c r="I40" s="1039"/>
    </row>
    <row r="41" spans="1:9" s="181" customFormat="1" ht="11.25" x14ac:dyDescent="0.2">
      <c r="C41" s="186"/>
    </row>
    <row r="42" spans="1:9" s="181" customFormat="1" ht="11.25" x14ac:dyDescent="0.2">
      <c r="A42" s="420" t="s">
        <v>25</v>
      </c>
      <c r="B42" s="423" t="s">
        <v>375</v>
      </c>
      <c r="C42" s="1077" t="s">
        <v>108</v>
      </c>
      <c r="D42" s="1077"/>
      <c r="E42" s="1077"/>
      <c r="F42" s="1077"/>
      <c r="G42" s="1077"/>
      <c r="H42" s="1077"/>
      <c r="I42" s="1078"/>
    </row>
    <row r="43" spans="1:9" s="181" customFormat="1" ht="11.25" x14ac:dyDescent="0.2">
      <c r="A43" s="228"/>
      <c r="B43" s="228">
        <v>0</v>
      </c>
      <c r="C43" s="1079" t="s">
        <v>1222</v>
      </c>
      <c r="D43" s="1079"/>
      <c r="E43" s="1079"/>
      <c r="F43" s="1079"/>
      <c r="G43" s="1079"/>
      <c r="H43" s="1079"/>
      <c r="I43" s="1080"/>
    </row>
    <row r="44" spans="1:9" s="180" customFormat="1" ht="10.5" x14ac:dyDescent="0.15">
      <c r="A44" s="183">
        <f>A43</f>
        <v>0</v>
      </c>
      <c r="B44" s="183">
        <f>SUM(B43)</f>
        <v>0</v>
      </c>
      <c r="C44" s="1081" t="s">
        <v>34</v>
      </c>
      <c r="D44" s="1081"/>
      <c r="E44" s="1081"/>
      <c r="F44" s="1081"/>
      <c r="G44" s="1081"/>
      <c r="H44" s="1081"/>
      <c r="I44" s="1082"/>
    </row>
    <row r="45" spans="1:9" s="181" customFormat="1" ht="11.25" x14ac:dyDescent="0.2">
      <c r="C45" s="186"/>
    </row>
    <row r="46" spans="1:9" s="181" customFormat="1" ht="11.25" x14ac:dyDescent="0.2">
      <c r="A46" s="1039" t="s">
        <v>377</v>
      </c>
      <c r="B46" s="1039"/>
      <c r="C46" s="1039"/>
      <c r="D46" s="1039"/>
      <c r="E46" s="1039"/>
      <c r="F46" s="1039"/>
      <c r="G46" s="1039"/>
      <c r="H46" s="1039"/>
      <c r="I46" s="1039"/>
    </row>
    <row r="47" spans="1:9" s="181" customFormat="1" ht="11.25" x14ac:dyDescent="0.2">
      <c r="C47" s="186"/>
    </row>
    <row r="48" spans="1:9" s="232" customFormat="1" ht="11.25" x14ac:dyDescent="0.2">
      <c r="A48" s="1042" t="s">
        <v>109</v>
      </c>
      <c r="B48" s="1042"/>
      <c r="C48" s="423" t="s">
        <v>110</v>
      </c>
      <c r="D48" s="420" t="s">
        <v>111</v>
      </c>
      <c r="E48" s="420" t="s">
        <v>25</v>
      </c>
    </row>
    <row r="49" spans="1:5" s="181" customFormat="1" ht="11.25" x14ac:dyDescent="0.2">
      <c r="A49" s="1544" t="s">
        <v>1235</v>
      </c>
      <c r="B49" s="1545"/>
      <c r="C49" s="408">
        <v>42864</v>
      </c>
      <c r="D49" s="408">
        <v>42914</v>
      </c>
      <c r="E49" s="963">
        <v>33200</v>
      </c>
    </row>
    <row r="50" spans="1:5" s="181" customFormat="1" ht="11.25" x14ac:dyDescent="0.2">
      <c r="A50" s="1546" t="s">
        <v>1236</v>
      </c>
      <c r="B50" s="1545"/>
      <c r="C50" s="409">
        <v>42864</v>
      </c>
      <c r="D50" s="409">
        <v>42914</v>
      </c>
      <c r="E50" s="964">
        <v>33200</v>
      </c>
    </row>
    <row r="51" spans="1:5" s="181" customFormat="1" ht="11.25" x14ac:dyDescent="0.2">
      <c r="A51" s="1544" t="s">
        <v>324</v>
      </c>
      <c r="B51" s="1545"/>
      <c r="C51" s="410">
        <v>42916</v>
      </c>
      <c r="D51" s="410">
        <v>42916</v>
      </c>
      <c r="E51" s="965">
        <v>-48000</v>
      </c>
    </row>
    <row r="52" spans="1:5" s="181" customFormat="1" ht="11.25" x14ac:dyDescent="0.2">
      <c r="A52" s="1546" t="s">
        <v>1237</v>
      </c>
      <c r="B52" s="1545"/>
      <c r="C52" s="409">
        <v>42916</v>
      </c>
      <c r="D52" s="409">
        <v>42916</v>
      </c>
      <c r="E52" s="964">
        <v>48000</v>
      </c>
    </row>
    <row r="53" spans="1:5" s="181" customFormat="1" ht="11.25" x14ac:dyDescent="0.2">
      <c r="A53" s="1544" t="s">
        <v>1238</v>
      </c>
      <c r="B53" s="1545"/>
      <c r="C53" s="410">
        <v>42916</v>
      </c>
      <c r="D53" s="410">
        <v>42916</v>
      </c>
      <c r="E53" s="965">
        <v>-300</v>
      </c>
    </row>
    <row r="54" spans="1:5" s="181" customFormat="1" ht="11.25" x14ac:dyDescent="0.2">
      <c r="A54" s="1546" t="s">
        <v>1239</v>
      </c>
      <c r="B54" s="1545"/>
      <c r="C54" s="409">
        <v>42916</v>
      </c>
      <c r="D54" s="409">
        <v>42916</v>
      </c>
      <c r="E54" s="964">
        <v>300</v>
      </c>
    </row>
    <row r="55" spans="1:5" s="181" customFormat="1" ht="11.25" x14ac:dyDescent="0.2">
      <c r="A55" s="1544" t="s">
        <v>1240</v>
      </c>
      <c r="B55" s="1545"/>
      <c r="C55" s="410">
        <v>42941</v>
      </c>
      <c r="D55" s="410">
        <v>42961</v>
      </c>
      <c r="E55" s="965">
        <v>243000</v>
      </c>
    </row>
    <row r="56" spans="1:5" s="181" customFormat="1" ht="11.25" x14ac:dyDescent="0.2">
      <c r="A56" s="1546" t="s">
        <v>1241</v>
      </c>
      <c r="B56" s="1545"/>
      <c r="C56" s="409">
        <v>42941</v>
      </c>
      <c r="D56" s="409">
        <v>42961</v>
      </c>
      <c r="E56" s="964">
        <v>178500</v>
      </c>
    </row>
    <row r="57" spans="1:5" s="181" customFormat="1" ht="11.25" x14ac:dyDescent="0.2">
      <c r="A57" s="1544" t="s">
        <v>1242</v>
      </c>
      <c r="B57" s="1545"/>
      <c r="C57" s="410">
        <v>42941</v>
      </c>
      <c r="D57" s="410">
        <v>42961</v>
      </c>
      <c r="E57" s="965">
        <v>61000</v>
      </c>
    </row>
    <row r="58" spans="1:5" s="181" customFormat="1" ht="11.25" x14ac:dyDescent="0.2">
      <c r="A58" s="1544" t="s">
        <v>1243</v>
      </c>
      <c r="B58" s="1545"/>
      <c r="C58" s="410">
        <v>42941</v>
      </c>
      <c r="D58" s="410">
        <v>42961</v>
      </c>
      <c r="E58" s="965">
        <v>3500</v>
      </c>
    </row>
    <row r="59" spans="1:5" s="181" customFormat="1" ht="11.25" x14ac:dyDescent="0.2">
      <c r="A59" s="1546" t="s">
        <v>1244</v>
      </c>
      <c r="B59" s="1545"/>
      <c r="C59" s="409">
        <v>43025</v>
      </c>
      <c r="D59" s="409">
        <v>43038</v>
      </c>
      <c r="E59" s="964">
        <v>96000</v>
      </c>
    </row>
    <row r="60" spans="1:5" s="181" customFormat="1" ht="11.25" x14ac:dyDescent="0.2">
      <c r="A60" s="1544" t="s">
        <v>1245</v>
      </c>
      <c r="B60" s="1545"/>
      <c r="C60" s="410">
        <v>43025</v>
      </c>
      <c r="D60" s="410">
        <v>43038</v>
      </c>
      <c r="E60" s="965">
        <v>70000</v>
      </c>
    </row>
    <row r="61" spans="1:5" s="181" customFormat="1" ht="11.25" x14ac:dyDescent="0.2">
      <c r="A61" s="1546" t="s">
        <v>1242</v>
      </c>
      <c r="B61" s="1545"/>
      <c r="C61" s="409">
        <v>43025</v>
      </c>
      <c r="D61" s="409">
        <v>43038</v>
      </c>
      <c r="E61" s="964">
        <v>24500</v>
      </c>
    </row>
    <row r="62" spans="1:5" s="181" customFormat="1" ht="11.25" x14ac:dyDescent="0.2">
      <c r="A62" s="1544" t="s">
        <v>1243</v>
      </c>
      <c r="B62" s="1545"/>
      <c r="C62" s="409">
        <v>43025</v>
      </c>
      <c r="D62" s="409">
        <v>43038</v>
      </c>
      <c r="E62" s="964">
        <v>1500</v>
      </c>
    </row>
    <row r="63" spans="1:5" s="181" customFormat="1" ht="11.25" x14ac:dyDescent="0.2">
      <c r="A63" s="1546" t="s">
        <v>1246</v>
      </c>
      <c r="B63" s="1545"/>
      <c r="C63" s="410">
        <v>43053</v>
      </c>
      <c r="D63" s="410">
        <v>43059</v>
      </c>
      <c r="E63" s="965">
        <v>50000</v>
      </c>
    </row>
    <row r="64" spans="1:5" s="181" customFormat="1" ht="11.25" x14ac:dyDescent="0.2">
      <c r="A64" s="1544" t="s">
        <v>1236</v>
      </c>
      <c r="B64" s="1545"/>
      <c r="C64" s="410">
        <v>43053</v>
      </c>
      <c r="D64" s="410">
        <v>43059</v>
      </c>
      <c r="E64" s="965">
        <v>50000</v>
      </c>
    </row>
    <row r="65" spans="1:5" s="181" customFormat="1" ht="11.25" x14ac:dyDescent="0.2">
      <c r="A65" s="251" t="s">
        <v>324</v>
      </c>
      <c r="B65" s="233"/>
      <c r="C65" s="410">
        <v>43081</v>
      </c>
      <c r="D65" s="410">
        <v>43081</v>
      </c>
      <c r="E65" s="965">
        <v>-70000</v>
      </c>
    </row>
    <row r="66" spans="1:5" s="181" customFormat="1" ht="11.25" x14ac:dyDescent="0.2">
      <c r="A66" s="251" t="s">
        <v>1247</v>
      </c>
      <c r="B66" s="233"/>
      <c r="C66" s="410">
        <v>43081</v>
      </c>
      <c r="D66" s="410">
        <v>43081</v>
      </c>
      <c r="E66" s="965">
        <v>70000</v>
      </c>
    </row>
    <row r="67" spans="1:5" s="181" customFormat="1" ht="11.25" x14ac:dyDescent="0.2">
      <c r="A67" s="251" t="s">
        <v>1248</v>
      </c>
      <c r="B67" s="233"/>
      <c r="C67" s="410">
        <v>43084</v>
      </c>
      <c r="D67" s="409">
        <v>43100</v>
      </c>
      <c r="E67" s="964">
        <v>-3500</v>
      </c>
    </row>
    <row r="68" spans="1:5" s="181" customFormat="1" ht="11.25" x14ac:dyDescent="0.2">
      <c r="A68" s="251" t="s">
        <v>1249</v>
      </c>
      <c r="B68" s="233"/>
      <c r="C68" s="410">
        <v>43084</v>
      </c>
      <c r="D68" s="410">
        <v>43100</v>
      </c>
      <c r="E68" s="965">
        <v>-3500</v>
      </c>
    </row>
    <row r="69" spans="1:5" s="181" customFormat="1" ht="11.25" x14ac:dyDescent="0.2">
      <c r="A69" s="251" t="s">
        <v>1250</v>
      </c>
      <c r="B69" s="233"/>
      <c r="C69" s="410">
        <v>43084</v>
      </c>
      <c r="D69" s="409">
        <v>43100</v>
      </c>
      <c r="E69" s="964">
        <v>-24500</v>
      </c>
    </row>
    <row r="70" spans="1:5" s="181" customFormat="1" ht="11.25" x14ac:dyDescent="0.2">
      <c r="A70" s="251" t="s">
        <v>1251</v>
      </c>
      <c r="B70" s="233"/>
      <c r="C70" s="409">
        <v>43084</v>
      </c>
      <c r="D70" s="410">
        <v>43100</v>
      </c>
      <c r="E70" s="965">
        <v>-10000</v>
      </c>
    </row>
    <row r="71" spans="1:5" s="181" customFormat="1" ht="11.25" x14ac:dyDescent="0.2">
      <c r="A71" s="251" t="s">
        <v>1252</v>
      </c>
      <c r="B71" s="233"/>
      <c r="C71" s="410">
        <v>43084</v>
      </c>
      <c r="D71" s="409">
        <v>43100</v>
      </c>
      <c r="E71" s="964">
        <v>73000</v>
      </c>
    </row>
    <row r="72" spans="1:5" s="181" customFormat="1" ht="11.25" x14ac:dyDescent="0.2">
      <c r="A72" s="251" t="s">
        <v>1249</v>
      </c>
      <c r="B72" s="233"/>
      <c r="C72" s="410">
        <v>43084</v>
      </c>
      <c r="D72" s="410">
        <v>43100</v>
      </c>
      <c r="E72" s="965">
        <v>-2500</v>
      </c>
    </row>
    <row r="73" spans="1:5" s="181" customFormat="1" ht="11.25" x14ac:dyDescent="0.2">
      <c r="A73" s="251" t="s">
        <v>1253</v>
      </c>
      <c r="B73" s="233"/>
      <c r="C73" s="410">
        <v>43084</v>
      </c>
      <c r="D73" s="409">
        <v>43100</v>
      </c>
      <c r="E73" s="964">
        <v>2500</v>
      </c>
    </row>
    <row r="74" spans="1:5" s="181" customFormat="1" ht="11.25" x14ac:dyDescent="0.2">
      <c r="A74" s="251" t="s">
        <v>1249</v>
      </c>
      <c r="B74" s="233"/>
      <c r="C74" s="409">
        <v>43084</v>
      </c>
      <c r="D74" s="410">
        <v>43100</v>
      </c>
      <c r="E74" s="965">
        <v>-1000</v>
      </c>
    </row>
    <row r="75" spans="1:5" s="181" customFormat="1" ht="11.25" x14ac:dyDescent="0.2">
      <c r="A75" s="251" t="s">
        <v>1254</v>
      </c>
      <c r="B75" s="233"/>
      <c r="C75" s="967">
        <v>43084</v>
      </c>
      <c r="D75" s="409">
        <v>43100</v>
      </c>
      <c r="E75" s="965">
        <v>1000</v>
      </c>
    </row>
    <row r="76" spans="1:5" s="181" customFormat="1" ht="11.25" x14ac:dyDescent="0.2">
      <c r="A76" s="251" t="s">
        <v>1238</v>
      </c>
      <c r="B76" s="233"/>
      <c r="C76" s="967">
        <v>43084</v>
      </c>
      <c r="D76" s="410">
        <v>43100</v>
      </c>
      <c r="E76" s="966">
        <v>-700</v>
      </c>
    </row>
    <row r="77" spans="1:5" s="181" customFormat="1" ht="11.25" x14ac:dyDescent="0.2">
      <c r="A77" s="251" t="s">
        <v>1254</v>
      </c>
      <c r="B77" s="233"/>
      <c r="C77" s="410">
        <v>43084</v>
      </c>
      <c r="D77" s="409">
        <v>43100</v>
      </c>
      <c r="E77" s="966">
        <v>700</v>
      </c>
    </row>
    <row r="78" spans="1:5" s="181" customFormat="1" ht="11.25" x14ac:dyDescent="0.2">
      <c r="A78" s="1544" t="s">
        <v>1255</v>
      </c>
      <c r="B78" s="1545"/>
      <c r="C78" s="409">
        <v>43084</v>
      </c>
      <c r="D78" s="410">
        <v>43100</v>
      </c>
      <c r="E78" s="964">
        <v>30000</v>
      </c>
    </row>
    <row r="79" spans="1:5" s="181" customFormat="1" ht="11.25" x14ac:dyDescent="0.2">
      <c r="A79" s="1546" t="s">
        <v>1256</v>
      </c>
      <c r="B79" s="1545"/>
      <c r="C79" s="967">
        <v>43084</v>
      </c>
      <c r="D79" s="410">
        <v>43100</v>
      </c>
      <c r="E79" s="965">
        <v>30000</v>
      </c>
    </row>
    <row r="80" spans="1:5" s="181" customFormat="1" ht="11.25" x14ac:dyDescent="0.2">
      <c r="A80" s="426"/>
      <c r="B80" s="426"/>
      <c r="C80" s="968"/>
      <c r="D80" s="237"/>
      <c r="E80" s="237"/>
    </row>
    <row r="81" spans="1:9" s="181" customFormat="1" ht="11.25" x14ac:dyDescent="0.2">
      <c r="A81" s="1083" t="s">
        <v>397</v>
      </c>
      <c r="B81" s="1083"/>
      <c r="C81" s="1083"/>
      <c r="D81" s="1083"/>
      <c r="E81" s="1083"/>
      <c r="F81" s="1083"/>
      <c r="G81" s="1083"/>
      <c r="H81" s="1083"/>
      <c r="I81" s="1083"/>
    </row>
    <row r="82" spans="1:9" s="181" customFormat="1" ht="11.25" x14ac:dyDescent="0.2">
      <c r="A82" s="181" t="s">
        <v>1223</v>
      </c>
    </row>
    <row r="83" spans="1:9" s="181" customFormat="1" ht="11.25" x14ac:dyDescent="0.2">
      <c r="A83" s="1034"/>
      <c r="B83" s="1035"/>
      <c r="C83" s="1035"/>
      <c r="D83" s="1035"/>
      <c r="E83" s="1035"/>
      <c r="F83" s="1035"/>
      <c r="G83" s="1035"/>
      <c r="H83" s="1035"/>
      <c r="I83" s="1036"/>
    </row>
    <row r="84" spans="1:9" s="181" customFormat="1" ht="0.75" customHeight="1" x14ac:dyDescent="0.2">
      <c r="A84" s="1034"/>
      <c r="B84" s="1035"/>
      <c r="C84" s="1035"/>
      <c r="D84" s="1035"/>
      <c r="E84" s="1035"/>
      <c r="F84" s="1035"/>
      <c r="G84" s="1035"/>
      <c r="H84" s="1035"/>
      <c r="I84" s="1036"/>
    </row>
    <row r="85" spans="1:9" s="181" customFormat="1" ht="11.25" hidden="1" x14ac:dyDescent="0.2"/>
    <row r="86" spans="1:9" s="180" customFormat="1" ht="10.5" x14ac:dyDescent="0.15">
      <c r="A86" s="1039" t="s">
        <v>399</v>
      </c>
      <c r="B86" s="1039"/>
      <c r="C86" s="1039"/>
      <c r="D86" s="1039"/>
      <c r="E86" s="1039"/>
      <c r="F86" s="1039"/>
      <c r="G86" s="1039"/>
      <c r="H86" s="1039"/>
      <c r="I86" s="1039"/>
    </row>
    <row r="87" spans="1:9" s="181" customFormat="1" ht="11.25" x14ac:dyDescent="0.2">
      <c r="A87" s="181" t="s">
        <v>112</v>
      </c>
    </row>
    <row r="88" spans="1:9" s="181" customFormat="1" ht="11.25" x14ac:dyDescent="0.2">
      <c r="A88" s="1547" t="s">
        <v>1224</v>
      </c>
      <c r="B88" s="1548"/>
      <c r="C88" s="1548"/>
      <c r="D88" s="1548"/>
      <c r="E88" s="1548"/>
      <c r="F88" s="1548"/>
      <c r="G88" s="1548"/>
      <c r="H88" s="1548"/>
      <c r="I88" s="1549"/>
    </row>
    <row r="89" spans="1:9" s="181" customFormat="1" ht="11.25" x14ac:dyDescent="0.2">
      <c r="A89" s="1537" t="s">
        <v>1225</v>
      </c>
      <c r="B89" s="1129"/>
      <c r="C89" s="1129"/>
      <c r="D89" s="1129"/>
      <c r="E89" s="1129"/>
      <c r="F89" s="1129"/>
      <c r="G89" s="1129"/>
      <c r="H89" s="1129"/>
      <c r="I89" s="1538"/>
    </row>
    <row r="90" spans="1:9" s="181" customFormat="1" ht="17.25" customHeight="1" x14ac:dyDescent="0.2">
      <c r="A90" s="1537" t="s">
        <v>1226</v>
      </c>
      <c r="B90" s="1129"/>
      <c r="C90" s="1129"/>
      <c r="D90" s="1129"/>
      <c r="E90" s="1129"/>
      <c r="F90" s="1129"/>
      <c r="G90" s="1129"/>
      <c r="H90" s="1129"/>
      <c r="I90" s="1538"/>
    </row>
    <row r="91" spans="1:9" s="181" customFormat="1" ht="20.25" customHeight="1" x14ac:dyDescent="0.2">
      <c r="A91" s="1537" t="s">
        <v>1227</v>
      </c>
      <c r="B91" s="1129"/>
      <c r="C91" s="1129"/>
      <c r="D91" s="1129"/>
      <c r="E91" s="1129"/>
      <c r="F91" s="1129"/>
      <c r="G91" s="1129"/>
      <c r="H91" s="1129"/>
      <c r="I91" s="1538"/>
    </row>
    <row r="92" spans="1:9" s="181" customFormat="1" ht="17.25" customHeight="1" x14ac:dyDescent="0.2">
      <c r="A92" s="1539" t="s">
        <v>1228</v>
      </c>
      <c r="B92" s="1115"/>
      <c r="C92" s="1115"/>
      <c r="D92" s="1115"/>
      <c r="E92" s="1115"/>
      <c r="F92" s="1115"/>
      <c r="G92" s="1115"/>
      <c r="H92" s="1115"/>
      <c r="I92" s="1540"/>
    </row>
    <row r="93" spans="1:9" s="181" customFormat="1" ht="18.75" customHeight="1" x14ac:dyDescent="0.2">
      <c r="A93" s="1541" t="s">
        <v>1229</v>
      </c>
      <c r="B93" s="1542"/>
      <c r="C93" s="1542"/>
      <c r="D93" s="1542"/>
      <c r="E93" s="1542"/>
      <c r="F93" s="1542"/>
      <c r="G93" s="1542"/>
      <c r="H93" s="1542"/>
      <c r="I93" s="1543"/>
    </row>
    <row r="94" spans="1:9" s="181" customFormat="1" ht="41.25" customHeight="1" x14ac:dyDescent="0.2">
      <c r="A94" s="1537" t="s">
        <v>1230</v>
      </c>
      <c r="B94" s="1129"/>
      <c r="C94" s="1129"/>
      <c r="D94" s="1129"/>
      <c r="E94" s="1129"/>
      <c r="F94" s="1129"/>
      <c r="G94" s="1129"/>
      <c r="H94" s="1129"/>
      <c r="I94" s="1538"/>
    </row>
    <row r="95" spans="1:9" ht="20.25" customHeight="1" x14ac:dyDescent="0.2">
      <c r="A95" s="1531" t="s">
        <v>1232</v>
      </c>
      <c r="B95" s="1532"/>
      <c r="C95" s="1532"/>
      <c r="D95" s="1532"/>
      <c r="E95" s="1532"/>
      <c r="F95" s="1532"/>
      <c r="G95" s="1532"/>
      <c r="H95" s="1532"/>
      <c r="I95" s="1533"/>
    </row>
    <row r="96" spans="1:9" ht="24.75" customHeight="1" x14ac:dyDescent="0.2">
      <c r="A96" s="1534" t="s">
        <v>1231</v>
      </c>
      <c r="B96" s="1535"/>
      <c r="C96" s="1535"/>
      <c r="D96" s="1535"/>
      <c r="E96" s="1535"/>
      <c r="F96" s="1535"/>
      <c r="G96" s="1535"/>
      <c r="H96" s="1535"/>
      <c r="I96" s="1536"/>
    </row>
    <row r="97" spans="1:2" x14ac:dyDescent="0.2">
      <c r="A97" s="239"/>
    </row>
    <row r="98" spans="1:2" x14ac:dyDescent="0.2">
      <c r="A98" s="411" t="s">
        <v>1233</v>
      </c>
      <c r="B98" s="240" t="s">
        <v>325</v>
      </c>
    </row>
    <row r="99" spans="1:2" x14ac:dyDescent="0.2">
      <c r="B99" s="240" t="s">
        <v>1234</v>
      </c>
    </row>
  </sheetData>
  <mergeCells count="65">
    <mergeCell ref="C32:I32"/>
    <mergeCell ref="A83:I83"/>
    <mergeCell ref="A84:I84"/>
    <mergeCell ref="A86:I86"/>
    <mergeCell ref="C38:I38"/>
    <mergeCell ref="A40:I40"/>
    <mergeCell ref="C42:I42"/>
    <mergeCell ref="C43:I43"/>
    <mergeCell ref="C44:I44"/>
    <mergeCell ref="A46:I46"/>
    <mergeCell ref="A48:B48"/>
    <mergeCell ref="A34:I34"/>
    <mergeCell ref="D36:I36"/>
    <mergeCell ref="D37:I37"/>
    <mergeCell ref="A62:B62"/>
    <mergeCell ref="A63:B63"/>
    <mergeCell ref="F25:I25"/>
    <mergeCell ref="D30:I30"/>
    <mergeCell ref="F26:I26"/>
    <mergeCell ref="A28:I28"/>
    <mergeCell ref="D31:I31"/>
    <mergeCell ref="F24:I24"/>
    <mergeCell ref="A8:B8"/>
    <mergeCell ref="D8:I8"/>
    <mergeCell ref="A9:B9"/>
    <mergeCell ref="D9:I9"/>
    <mergeCell ref="A11:I11"/>
    <mergeCell ref="F21:I21"/>
    <mergeCell ref="F22:I22"/>
    <mergeCell ref="F23:I23"/>
    <mergeCell ref="A15:A16"/>
    <mergeCell ref="A19:I19"/>
    <mergeCell ref="A7:B7"/>
    <mergeCell ref="D7:I7"/>
    <mergeCell ref="A3:I3"/>
    <mergeCell ref="A5:B5"/>
    <mergeCell ref="D5:I5"/>
    <mergeCell ref="A6:B6"/>
    <mergeCell ref="D6:I6"/>
    <mergeCell ref="A59:B59"/>
    <mergeCell ref="A60:B60"/>
    <mergeCell ref="A61:B61"/>
    <mergeCell ref="A81:I81"/>
    <mergeCell ref="A88:I88"/>
    <mergeCell ref="A64:B64"/>
    <mergeCell ref="A78:B78"/>
    <mergeCell ref="A79:B79"/>
    <mergeCell ref="A54:B54"/>
    <mergeCell ref="A55:B55"/>
    <mergeCell ref="A56:B56"/>
    <mergeCell ref="A57:B57"/>
    <mergeCell ref="A58:B58"/>
    <mergeCell ref="A49:B49"/>
    <mergeCell ref="A50:B50"/>
    <mergeCell ref="A51:B51"/>
    <mergeCell ref="A52:B52"/>
    <mergeCell ref="A53:B53"/>
    <mergeCell ref="A95:I95"/>
    <mergeCell ref="A96:I96"/>
    <mergeCell ref="A94:I94"/>
    <mergeCell ref="A89:I89"/>
    <mergeCell ref="A92:I92"/>
    <mergeCell ref="A93:I93"/>
    <mergeCell ref="A90:I90"/>
    <mergeCell ref="A91:I91"/>
  </mergeCells>
  <pageMargins left="0.70866141732283472" right="0.70866141732283472" top="0.78740157480314965" bottom="0.78740157480314965" header="0.31496062992125984" footer="0.31496062992125984"/>
  <pageSetup paperSize="9" scale="73" firstPageNumber="129" fitToHeight="6" orientation="portrait" useFirstPageNumber="1" r:id="rId1"/>
  <headerFoot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zoomScale="150" zoomScaleNormal="150" workbookViewId="0">
      <selection activeCell="A107" sqref="A107:XFD107"/>
    </sheetView>
  </sheetViews>
  <sheetFormatPr defaultColWidth="6.5" defaultRowHeight="8.25" x14ac:dyDescent="0.15"/>
  <cols>
    <col min="1" max="1" width="5.5" style="1" customWidth="1"/>
    <col min="2" max="2" width="6.5" customWidth="1"/>
    <col min="3" max="3" width="36.75" customWidth="1"/>
    <col min="4" max="4" width="9.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2" customFormat="1" ht="15.75" x14ac:dyDescent="0.25">
      <c r="A1" s="1019" t="s">
        <v>326</v>
      </c>
      <c r="B1" s="1019"/>
      <c r="C1" s="1019"/>
      <c r="D1" s="1019"/>
      <c r="E1" s="1019"/>
      <c r="F1" s="1019"/>
      <c r="G1" s="1019"/>
      <c r="H1" s="1019"/>
      <c r="I1" s="1019"/>
      <c r="J1" s="1019"/>
      <c r="K1" s="1019"/>
      <c r="L1" s="1019"/>
      <c r="M1" s="1019"/>
      <c r="N1" s="1019"/>
      <c r="O1" s="1019"/>
      <c r="P1" s="1019"/>
      <c r="Q1" s="1019"/>
      <c r="R1" s="1019"/>
      <c r="S1" s="1019"/>
      <c r="T1" s="1019"/>
      <c r="U1" s="1019"/>
      <c r="V1" s="1019"/>
      <c r="W1" s="1019"/>
      <c r="X1" s="1019"/>
    </row>
    <row r="3" spans="1:24" s="3" customFormat="1" ht="9.75" customHeight="1" x14ac:dyDescent="0.2">
      <c r="A3" s="1012" t="s">
        <v>40</v>
      </c>
      <c r="B3" s="1022" t="s">
        <v>41</v>
      </c>
      <c r="C3" s="1023"/>
      <c r="D3" s="1028" t="s">
        <v>42</v>
      </c>
      <c r="E3" s="1031" t="s">
        <v>34</v>
      </c>
      <c r="F3" s="1032"/>
      <c r="G3" s="1032"/>
      <c r="H3" s="1032"/>
      <c r="I3" s="1033"/>
      <c r="J3" s="1031" t="s">
        <v>39</v>
      </c>
      <c r="K3" s="1032"/>
      <c r="L3" s="1032"/>
      <c r="M3" s="1032"/>
      <c r="N3" s="1033"/>
      <c r="O3" s="1031" t="s">
        <v>43</v>
      </c>
      <c r="P3" s="1032"/>
      <c r="Q3" s="1032"/>
      <c r="R3" s="1032"/>
      <c r="S3" s="1033"/>
      <c r="T3" s="1031" t="s">
        <v>38</v>
      </c>
      <c r="U3" s="1032"/>
      <c r="V3" s="1032"/>
      <c r="W3" s="1032"/>
      <c r="X3" s="1033"/>
    </row>
    <row r="4" spans="1:24" s="4" customFormat="1" ht="9.75" customHeight="1" x14ac:dyDescent="0.2">
      <c r="A4" s="1020"/>
      <c r="B4" s="1024"/>
      <c r="C4" s="1025"/>
      <c r="D4" s="1029"/>
      <c r="E4" s="1014" t="s">
        <v>44</v>
      </c>
      <c r="F4" s="1016" t="s">
        <v>336</v>
      </c>
      <c r="G4" s="1017"/>
      <c r="H4" s="1018"/>
      <c r="I4" s="1012" t="s">
        <v>337</v>
      </c>
      <c r="J4" s="1014" t="s">
        <v>44</v>
      </c>
      <c r="K4" s="1016" t="s">
        <v>336</v>
      </c>
      <c r="L4" s="1017"/>
      <c r="M4" s="1018"/>
      <c r="N4" s="1012" t="s">
        <v>337</v>
      </c>
      <c r="O4" s="1014" t="s">
        <v>44</v>
      </c>
      <c r="P4" s="1016" t="s">
        <v>336</v>
      </c>
      <c r="Q4" s="1017"/>
      <c r="R4" s="1018"/>
      <c r="S4" s="1012" t="s">
        <v>337</v>
      </c>
      <c r="T4" s="1014" t="s">
        <v>44</v>
      </c>
      <c r="U4" s="1016" t="s">
        <v>336</v>
      </c>
      <c r="V4" s="1017"/>
      <c r="W4" s="1018"/>
      <c r="X4" s="1012" t="s">
        <v>337</v>
      </c>
    </row>
    <row r="5" spans="1:24" s="5" customFormat="1" ht="9.75" customHeight="1" x14ac:dyDescent="0.2">
      <c r="A5" s="1021"/>
      <c r="B5" s="1026"/>
      <c r="C5" s="1027"/>
      <c r="D5" s="1030"/>
      <c r="E5" s="1015"/>
      <c r="F5" s="14" t="s">
        <v>35</v>
      </c>
      <c r="G5" s="15" t="s">
        <v>36</v>
      </c>
      <c r="H5" s="14" t="s">
        <v>37</v>
      </c>
      <c r="I5" s="1013"/>
      <c r="J5" s="1015"/>
      <c r="K5" s="14" t="s">
        <v>35</v>
      </c>
      <c r="L5" s="15" t="s">
        <v>36</v>
      </c>
      <c r="M5" s="14" t="s">
        <v>37</v>
      </c>
      <c r="N5" s="1013"/>
      <c r="O5" s="1015"/>
      <c r="P5" s="14" t="s">
        <v>35</v>
      </c>
      <c r="Q5" s="15" t="s">
        <v>36</v>
      </c>
      <c r="R5" s="14" t="s">
        <v>37</v>
      </c>
      <c r="S5" s="1013"/>
      <c r="T5" s="1015"/>
      <c r="U5" s="14" t="s">
        <v>35</v>
      </c>
      <c r="V5" s="15" t="s">
        <v>36</v>
      </c>
      <c r="W5" s="14" t="s">
        <v>37</v>
      </c>
      <c r="X5" s="1013"/>
    </row>
    <row r="6" spans="1:24" s="3" customFormat="1" ht="9.75" customHeight="1" x14ac:dyDescent="0.2">
      <c r="A6" s="16" t="s">
        <v>0</v>
      </c>
      <c r="B6" s="1007" t="s">
        <v>1</v>
      </c>
      <c r="C6" s="1007"/>
      <c r="D6" s="17" t="s">
        <v>25</v>
      </c>
      <c r="E6" s="52">
        <f>SUM(E7:E9)</f>
        <v>11094000</v>
      </c>
      <c r="F6" s="52">
        <f>SUM(F7:F9)</f>
        <v>12642443</v>
      </c>
      <c r="G6" s="52">
        <f>SUM(G7:G9)</f>
        <v>12489679.16</v>
      </c>
      <c r="H6" s="18">
        <f t="shared" ref="H6:H36" si="0">G6/F6*100</f>
        <v>98.791658858972113</v>
      </c>
      <c r="I6" s="52">
        <f>SUM(I7:I9)</f>
        <v>12059018.390000001</v>
      </c>
      <c r="J6" s="52">
        <f>SUM(J7:J9)</f>
        <v>11094000</v>
      </c>
      <c r="K6" s="52">
        <f t="shared" ref="K6:X6" si="1">SUM(K7:K9)</f>
        <v>12642443</v>
      </c>
      <c r="L6" s="52">
        <f t="shared" si="1"/>
        <v>12489679.16</v>
      </c>
      <c r="M6" s="18">
        <f t="shared" ref="M6:M36" si="2">L6/K6*100</f>
        <v>98.791658858972113</v>
      </c>
      <c r="N6" s="69">
        <f t="shared" si="1"/>
        <v>12059018.390000001</v>
      </c>
      <c r="O6" s="52">
        <f t="shared" si="1"/>
        <v>0</v>
      </c>
      <c r="P6" s="52">
        <f t="shared" si="1"/>
        <v>0</v>
      </c>
      <c r="Q6" s="52">
        <f t="shared" si="1"/>
        <v>0</v>
      </c>
      <c r="R6" s="18" t="e">
        <f t="shared" ref="R6:R36" si="3">Q6/P6*100</f>
        <v>#DIV/0!</v>
      </c>
      <c r="S6" s="52">
        <f t="shared" si="1"/>
        <v>0</v>
      </c>
      <c r="T6" s="52">
        <f t="shared" si="1"/>
        <v>700000</v>
      </c>
      <c r="U6" s="52">
        <f t="shared" si="1"/>
        <v>739165</v>
      </c>
      <c r="V6" s="52">
        <f t="shared" si="1"/>
        <v>731019.6</v>
      </c>
      <c r="W6" s="18">
        <f t="shared" ref="W6:W36" si="4">V6/U6*100</f>
        <v>98.898026827568941</v>
      </c>
      <c r="X6" s="52">
        <f t="shared" si="1"/>
        <v>699683.3</v>
      </c>
    </row>
    <row r="7" spans="1:24" s="3" customFormat="1" ht="9.75" x14ac:dyDescent="0.2">
      <c r="A7" s="19" t="s">
        <v>2</v>
      </c>
      <c r="B7" s="1010" t="s">
        <v>46</v>
      </c>
      <c r="C7" s="1011"/>
      <c r="D7" s="47" t="s">
        <v>25</v>
      </c>
      <c r="E7" s="53">
        <v>5869190</v>
      </c>
      <c r="F7" s="54">
        <v>7229483</v>
      </c>
      <c r="G7" s="54">
        <v>7076719.6200000001</v>
      </c>
      <c r="H7" s="6">
        <f t="shared" si="0"/>
        <v>97.886939079876115</v>
      </c>
      <c r="I7" s="60">
        <v>6357279.9400000004</v>
      </c>
      <c r="J7" s="53">
        <v>5869190</v>
      </c>
      <c r="K7" s="54">
        <v>7229483</v>
      </c>
      <c r="L7" s="54">
        <v>7076719.6200000001</v>
      </c>
      <c r="M7" s="6">
        <f t="shared" si="2"/>
        <v>97.886939079876115</v>
      </c>
      <c r="N7" s="60">
        <v>6357279.9400000004</v>
      </c>
      <c r="O7" s="77"/>
      <c r="P7" s="62"/>
      <c r="Q7" s="62"/>
      <c r="R7" s="6" t="e">
        <f t="shared" si="3"/>
        <v>#DIV/0!</v>
      </c>
      <c r="S7" s="76"/>
      <c r="T7" s="77">
        <v>700000</v>
      </c>
      <c r="U7" s="62">
        <v>739165</v>
      </c>
      <c r="V7" s="62">
        <v>731019.6</v>
      </c>
      <c r="W7" s="6">
        <f t="shared" si="4"/>
        <v>98.898026827568941</v>
      </c>
      <c r="X7" s="91">
        <v>699683.3</v>
      </c>
    </row>
    <row r="8" spans="1:24" s="3" customFormat="1" ht="9.75" x14ac:dyDescent="0.2">
      <c r="A8" s="20" t="s">
        <v>3</v>
      </c>
      <c r="B8" s="1005" t="s">
        <v>47</v>
      </c>
      <c r="C8" s="1006"/>
      <c r="D8" s="48" t="s">
        <v>25</v>
      </c>
      <c r="E8" s="55">
        <v>2000</v>
      </c>
      <c r="F8" s="56">
        <v>750</v>
      </c>
      <c r="G8" s="56">
        <v>749.54</v>
      </c>
      <c r="H8" s="7">
        <f t="shared" si="0"/>
        <v>99.938666666666663</v>
      </c>
      <c r="I8" s="63">
        <v>1392.1</v>
      </c>
      <c r="J8" s="55">
        <v>2000</v>
      </c>
      <c r="K8" s="56">
        <v>750</v>
      </c>
      <c r="L8" s="56">
        <v>749.54</v>
      </c>
      <c r="M8" s="7">
        <f t="shared" si="2"/>
        <v>99.938666666666663</v>
      </c>
      <c r="N8" s="63">
        <v>1392.1</v>
      </c>
      <c r="O8" s="55"/>
      <c r="P8" s="56"/>
      <c r="Q8" s="56"/>
      <c r="R8" s="7" t="e">
        <f t="shared" si="3"/>
        <v>#DIV/0!</v>
      </c>
      <c r="S8" s="63"/>
      <c r="T8" s="55">
        <v>0</v>
      </c>
      <c r="U8" s="56">
        <v>0</v>
      </c>
      <c r="V8" s="56"/>
      <c r="W8" s="7" t="e">
        <f t="shared" si="4"/>
        <v>#DIV/0!</v>
      </c>
      <c r="X8" s="92">
        <v>0</v>
      </c>
    </row>
    <row r="9" spans="1:24" s="3" customFormat="1" ht="9.75" x14ac:dyDescent="0.2">
      <c r="A9" s="21" t="s">
        <v>4</v>
      </c>
      <c r="B9" s="22" t="s">
        <v>62</v>
      </c>
      <c r="C9" s="23"/>
      <c r="D9" s="50" t="s">
        <v>25</v>
      </c>
      <c r="E9" s="57">
        <v>5222810</v>
      </c>
      <c r="F9" s="58">
        <v>5412210</v>
      </c>
      <c r="G9" s="58">
        <v>5412210</v>
      </c>
      <c r="H9" s="24">
        <f t="shared" si="0"/>
        <v>100</v>
      </c>
      <c r="I9" s="65">
        <v>5700346.3499999996</v>
      </c>
      <c r="J9" s="57">
        <v>5222810</v>
      </c>
      <c r="K9" s="58">
        <v>5412210</v>
      </c>
      <c r="L9" s="58">
        <v>5412210</v>
      </c>
      <c r="M9" s="24">
        <f t="shared" si="2"/>
        <v>100</v>
      </c>
      <c r="N9" s="65">
        <v>5700346.3499999996</v>
      </c>
      <c r="O9" s="57"/>
      <c r="P9" s="58"/>
      <c r="Q9" s="58"/>
      <c r="R9" s="24" t="e">
        <f t="shared" si="3"/>
        <v>#DIV/0!</v>
      </c>
      <c r="S9" s="65"/>
      <c r="T9" s="57">
        <v>0</v>
      </c>
      <c r="U9" s="58">
        <v>0</v>
      </c>
      <c r="V9" s="58"/>
      <c r="W9" s="24" t="e">
        <f t="shared" si="4"/>
        <v>#DIV/0!</v>
      </c>
      <c r="X9" s="93">
        <v>0</v>
      </c>
    </row>
    <row r="10" spans="1:24" s="3" customFormat="1" ht="9.75" x14ac:dyDescent="0.2">
      <c r="A10" s="16" t="s">
        <v>5</v>
      </c>
      <c r="B10" s="1007" t="s">
        <v>7</v>
      </c>
      <c r="C10" s="1007"/>
      <c r="D10" s="25" t="s">
        <v>25</v>
      </c>
      <c r="E10" s="59">
        <f t="shared" ref="E10:G10" si="5">SUM(J10,O10)</f>
        <v>0</v>
      </c>
      <c r="F10" s="59">
        <f t="shared" si="5"/>
        <v>0</v>
      </c>
      <c r="G10" s="59">
        <f t="shared" si="5"/>
        <v>0</v>
      </c>
      <c r="H10" s="18" t="e">
        <f t="shared" si="0"/>
        <v>#DIV/0!</v>
      </c>
      <c r="I10" s="67">
        <f>SUM(N10,S10)</f>
        <v>0</v>
      </c>
      <c r="J10" s="68"/>
      <c r="K10" s="59"/>
      <c r="L10" s="59"/>
      <c r="M10" s="18" t="e">
        <f t="shared" si="2"/>
        <v>#DIV/0!</v>
      </c>
      <c r="N10" s="67"/>
      <c r="O10" s="59"/>
      <c r="P10" s="59"/>
      <c r="Q10" s="59"/>
      <c r="R10" s="18" t="e">
        <f t="shared" si="3"/>
        <v>#DIV/0!</v>
      </c>
      <c r="S10" s="67"/>
      <c r="T10" s="59">
        <v>0</v>
      </c>
      <c r="U10" s="59">
        <v>0</v>
      </c>
      <c r="V10" s="59">
        <v>0</v>
      </c>
      <c r="W10" s="18" t="e">
        <f t="shared" si="4"/>
        <v>#DIV/0!</v>
      </c>
      <c r="X10" s="59">
        <v>0</v>
      </c>
    </row>
    <row r="11" spans="1:24" s="3" customFormat="1" ht="9.75" x14ac:dyDescent="0.2">
      <c r="A11" s="16" t="s">
        <v>6</v>
      </c>
      <c r="B11" s="1007" t="s">
        <v>9</v>
      </c>
      <c r="C11" s="1007"/>
      <c r="D11" s="25" t="s">
        <v>25</v>
      </c>
      <c r="E11" s="52">
        <f>SUM(E12:E31)</f>
        <v>11094000</v>
      </c>
      <c r="F11" s="52">
        <f>SUM(F12:F31)</f>
        <v>12642443</v>
      </c>
      <c r="G11" s="52">
        <f>SUM(G12:G31)</f>
        <v>12489679.160000002</v>
      </c>
      <c r="H11" s="18">
        <f t="shared" si="0"/>
        <v>98.791658858972127</v>
      </c>
      <c r="I11" s="69">
        <f>SUM(I12:I31)</f>
        <v>12059018.390000001</v>
      </c>
      <c r="J11" s="52">
        <f>SUM(J12:J31)</f>
        <v>11094000</v>
      </c>
      <c r="K11" s="52">
        <f>SUM(K12:K31)</f>
        <v>12642443</v>
      </c>
      <c r="L11" s="52">
        <f>SUM(L12:L31)</f>
        <v>12489679.160000002</v>
      </c>
      <c r="M11" s="18">
        <f t="shared" si="2"/>
        <v>98.791658858972127</v>
      </c>
      <c r="N11" s="69">
        <f>SUM(N12:N31)</f>
        <v>12059018.390000001</v>
      </c>
      <c r="O11" s="52">
        <f>SUM(O12:O31)</f>
        <v>0</v>
      </c>
      <c r="P11" s="52">
        <f>SUM(P12:P31)</f>
        <v>0</v>
      </c>
      <c r="Q11" s="52">
        <f>SUM(Q12:Q31)</f>
        <v>0</v>
      </c>
      <c r="R11" s="18" t="e">
        <f t="shared" si="3"/>
        <v>#DIV/0!</v>
      </c>
      <c r="S11" s="69">
        <f>SUM(S12:S31)</f>
        <v>0</v>
      </c>
      <c r="T11" s="52">
        <f>SUM(T12:T31)</f>
        <v>600000</v>
      </c>
      <c r="U11" s="52">
        <f>SUM(U12:U31)</f>
        <v>639165</v>
      </c>
      <c r="V11" s="52">
        <f>SUM(V12:V31)</f>
        <v>639108.30000000005</v>
      </c>
      <c r="W11" s="18">
        <f t="shared" si="4"/>
        <v>99.991129051183975</v>
      </c>
      <c r="X11" s="52">
        <f>SUM(X12:X31)</f>
        <v>647128.1</v>
      </c>
    </row>
    <row r="12" spans="1:24" s="3" customFormat="1" ht="9.75" x14ac:dyDescent="0.2">
      <c r="A12" s="26" t="s">
        <v>8</v>
      </c>
      <c r="B12" s="1008" t="s">
        <v>28</v>
      </c>
      <c r="C12" s="1009"/>
      <c r="D12" s="51" t="s">
        <v>25</v>
      </c>
      <c r="E12" s="53">
        <v>325000</v>
      </c>
      <c r="F12" s="54">
        <v>355806</v>
      </c>
      <c r="G12" s="54">
        <v>355360.2</v>
      </c>
      <c r="H12" s="6">
        <f t="shared" si="0"/>
        <v>99.874707003254585</v>
      </c>
      <c r="I12" s="60">
        <v>307406.5</v>
      </c>
      <c r="J12" s="53">
        <v>325000</v>
      </c>
      <c r="K12" s="54">
        <v>355806</v>
      </c>
      <c r="L12" s="54">
        <v>355360.2</v>
      </c>
      <c r="M12" s="6">
        <f t="shared" si="2"/>
        <v>99.874707003254585</v>
      </c>
      <c r="N12" s="60">
        <v>307406.5</v>
      </c>
      <c r="O12" s="79"/>
      <c r="P12" s="71"/>
      <c r="Q12" s="71"/>
      <c r="R12" s="6" t="e">
        <f t="shared" si="3"/>
        <v>#DIV/0!</v>
      </c>
      <c r="S12" s="83"/>
      <c r="T12" s="79">
        <v>35000</v>
      </c>
      <c r="U12" s="71">
        <v>30185</v>
      </c>
      <c r="V12" s="71">
        <v>30170</v>
      </c>
      <c r="W12" s="6">
        <f t="shared" si="4"/>
        <v>99.95030644359781</v>
      </c>
      <c r="X12" s="94">
        <v>24114.5</v>
      </c>
    </row>
    <row r="13" spans="1:24" s="3" customFormat="1" ht="9.75" x14ac:dyDescent="0.2">
      <c r="A13" s="27" t="s">
        <v>10</v>
      </c>
      <c r="B13" s="997" t="s">
        <v>29</v>
      </c>
      <c r="C13" s="998"/>
      <c r="D13" s="48" t="s">
        <v>25</v>
      </c>
      <c r="E13" s="55">
        <v>830000</v>
      </c>
      <c r="F13" s="56">
        <v>830000</v>
      </c>
      <c r="G13" s="56">
        <v>793151.7</v>
      </c>
      <c r="H13" s="7">
        <f t="shared" si="0"/>
        <v>95.560445783132522</v>
      </c>
      <c r="I13" s="63">
        <v>972235</v>
      </c>
      <c r="J13" s="55">
        <v>830000</v>
      </c>
      <c r="K13" s="56">
        <v>830000</v>
      </c>
      <c r="L13" s="56">
        <v>793151.7</v>
      </c>
      <c r="M13" s="7">
        <f t="shared" si="2"/>
        <v>95.560445783132522</v>
      </c>
      <c r="N13" s="63">
        <v>972235</v>
      </c>
      <c r="O13" s="55"/>
      <c r="P13" s="56"/>
      <c r="Q13" s="56"/>
      <c r="R13" s="7" t="e">
        <f t="shared" si="3"/>
        <v>#DIV/0!</v>
      </c>
      <c r="S13" s="63"/>
      <c r="T13" s="55">
        <v>65000</v>
      </c>
      <c r="U13" s="56">
        <v>51110</v>
      </c>
      <c r="V13" s="56">
        <v>51103</v>
      </c>
      <c r="W13" s="7">
        <f t="shared" si="4"/>
        <v>99.986304050088052</v>
      </c>
      <c r="X13" s="92">
        <v>64783</v>
      </c>
    </row>
    <row r="14" spans="1:24" s="3" customFormat="1" ht="9.75" x14ac:dyDescent="0.2">
      <c r="A14" s="27" t="s">
        <v>11</v>
      </c>
      <c r="B14" s="418" t="s">
        <v>63</v>
      </c>
      <c r="C14" s="419"/>
      <c r="D14" s="48" t="s">
        <v>25</v>
      </c>
      <c r="E14" s="55">
        <f t="shared" ref="E14:L27" si="6">SUM(J14,O14)</f>
        <v>0</v>
      </c>
      <c r="F14" s="56">
        <f t="shared" si="6"/>
        <v>0</v>
      </c>
      <c r="G14" s="56">
        <f t="shared" si="6"/>
        <v>0</v>
      </c>
      <c r="H14" s="7" t="e">
        <f t="shared" si="0"/>
        <v>#DIV/0!</v>
      </c>
      <c r="I14" s="63">
        <f t="shared" si="6"/>
        <v>0</v>
      </c>
      <c r="J14" s="55">
        <f t="shared" si="6"/>
        <v>0</v>
      </c>
      <c r="K14" s="56">
        <f t="shared" si="6"/>
        <v>0</v>
      </c>
      <c r="L14" s="56">
        <f t="shared" si="6"/>
        <v>0</v>
      </c>
      <c r="M14" s="7" t="e">
        <f t="shared" si="2"/>
        <v>#DIV/0!</v>
      </c>
      <c r="N14" s="63">
        <f t="shared" ref="N14:N27" si="7">SUM(S14,X14)</f>
        <v>0</v>
      </c>
      <c r="O14" s="55"/>
      <c r="P14" s="56"/>
      <c r="Q14" s="56"/>
      <c r="R14" s="7" t="e">
        <f t="shared" si="3"/>
        <v>#DIV/0!</v>
      </c>
      <c r="S14" s="63"/>
      <c r="T14" s="55">
        <v>0</v>
      </c>
      <c r="U14" s="56">
        <v>0</v>
      </c>
      <c r="V14" s="56">
        <v>0</v>
      </c>
      <c r="W14" s="7" t="e">
        <f t="shared" si="4"/>
        <v>#DIV/0!</v>
      </c>
      <c r="X14" s="92">
        <v>0</v>
      </c>
    </row>
    <row r="15" spans="1:24" s="3" customFormat="1" ht="9.75" x14ac:dyDescent="0.2">
      <c r="A15" s="27" t="s">
        <v>12</v>
      </c>
      <c r="B15" s="997" t="s">
        <v>64</v>
      </c>
      <c r="C15" s="998"/>
      <c r="D15" s="48" t="s">
        <v>25</v>
      </c>
      <c r="E15" s="55">
        <v>32000</v>
      </c>
      <c r="F15" s="56">
        <v>20450</v>
      </c>
      <c r="G15" s="56">
        <v>20336.68</v>
      </c>
      <c r="H15" s="7">
        <f t="shared" si="0"/>
        <v>99.445867970660146</v>
      </c>
      <c r="I15" s="63">
        <v>856939.8</v>
      </c>
      <c r="J15" s="55">
        <v>32000</v>
      </c>
      <c r="K15" s="56">
        <v>20450</v>
      </c>
      <c r="L15" s="56">
        <v>20336.68</v>
      </c>
      <c r="M15" s="7">
        <f t="shared" si="2"/>
        <v>99.445867970660146</v>
      </c>
      <c r="N15" s="63">
        <v>856939.8</v>
      </c>
      <c r="O15" s="55"/>
      <c r="P15" s="56"/>
      <c r="Q15" s="56"/>
      <c r="R15" s="7" t="e">
        <f t="shared" si="3"/>
        <v>#DIV/0!</v>
      </c>
      <c r="S15" s="63"/>
      <c r="T15" s="55">
        <v>70000</v>
      </c>
      <c r="U15" s="56">
        <v>30300</v>
      </c>
      <c r="V15" s="56">
        <v>30287</v>
      </c>
      <c r="W15" s="7">
        <f t="shared" si="4"/>
        <v>99.95709570957095</v>
      </c>
      <c r="X15" s="92">
        <v>34845.5</v>
      </c>
    </row>
    <row r="16" spans="1:24" s="3" customFormat="1" ht="9.75" x14ac:dyDescent="0.2">
      <c r="A16" s="27" t="s">
        <v>13</v>
      </c>
      <c r="B16" s="997" t="s">
        <v>30</v>
      </c>
      <c r="C16" s="998"/>
      <c r="D16" s="48" t="s">
        <v>25</v>
      </c>
      <c r="E16" s="55">
        <v>10000</v>
      </c>
      <c r="F16" s="56">
        <v>6760</v>
      </c>
      <c r="G16" s="56">
        <v>6751</v>
      </c>
      <c r="H16" s="7">
        <f t="shared" si="0"/>
        <v>99.866863905325445</v>
      </c>
      <c r="I16" s="63">
        <v>14982</v>
      </c>
      <c r="J16" s="55">
        <v>10000</v>
      </c>
      <c r="K16" s="56">
        <v>6760</v>
      </c>
      <c r="L16" s="56">
        <v>6751</v>
      </c>
      <c r="M16" s="7">
        <f t="shared" si="2"/>
        <v>99.866863905325445</v>
      </c>
      <c r="N16" s="63">
        <v>14982</v>
      </c>
      <c r="O16" s="55"/>
      <c r="P16" s="56"/>
      <c r="Q16" s="56"/>
      <c r="R16" s="7" t="e">
        <f t="shared" si="3"/>
        <v>#DIV/0!</v>
      </c>
      <c r="S16" s="63"/>
      <c r="T16" s="55">
        <v>0</v>
      </c>
      <c r="U16" s="56">
        <v>0</v>
      </c>
      <c r="V16" s="56">
        <v>0</v>
      </c>
      <c r="W16" s="7" t="e">
        <f t="shared" si="4"/>
        <v>#DIV/0!</v>
      </c>
      <c r="X16" s="92">
        <v>0</v>
      </c>
    </row>
    <row r="17" spans="1:24" s="3" customFormat="1" ht="9.75" x14ac:dyDescent="0.2">
      <c r="A17" s="27" t="s">
        <v>14</v>
      </c>
      <c r="B17" s="418" t="s">
        <v>48</v>
      </c>
      <c r="C17" s="419"/>
      <c r="D17" s="48" t="s">
        <v>25</v>
      </c>
      <c r="E17" s="55">
        <v>10000</v>
      </c>
      <c r="F17" s="56">
        <v>9900</v>
      </c>
      <c r="G17" s="56">
        <v>9895</v>
      </c>
      <c r="H17" s="7">
        <f t="shared" si="0"/>
        <v>99.949494949494948</v>
      </c>
      <c r="I17" s="63">
        <v>9865</v>
      </c>
      <c r="J17" s="55">
        <v>10000</v>
      </c>
      <c r="K17" s="56">
        <v>9900</v>
      </c>
      <c r="L17" s="56">
        <v>9895</v>
      </c>
      <c r="M17" s="7">
        <f t="shared" si="2"/>
        <v>99.949494949494948</v>
      </c>
      <c r="N17" s="63">
        <v>9865</v>
      </c>
      <c r="O17" s="55"/>
      <c r="P17" s="56"/>
      <c r="Q17" s="56"/>
      <c r="R17" s="7" t="e">
        <f t="shared" si="3"/>
        <v>#DIV/0!</v>
      </c>
      <c r="S17" s="63"/>
      <c r="T17" s="55">
        <v>0</v>
      </c>
      <c r="U17" s="56">
        <v>0</v>
      </c>
      <c r="V17" s="56">
        <v>0</v>
      </c>
      <c r="W17" s="7" t="e">
        <f t="shared" si="4"/>
        <v>#DIV/0!</v>
      </c>
      <c r="X17" s="92">
        <v>0</v>
      </c>
    </row>
    <row r="18" spans="1:24" s="3" customFormat="1" ht="9.75" x14ac:dyDescent="0.2">
      <c r="A18" s="27" t="s">
        <v>15</v>
      </c>
      <c r="B18" s="997" t="s">
        <v>31</v>
      </c>
      <c r="C18" s="998"/>
      <c r="D18" s="48" t="s">
        <v>25</v>
      </c>
      <c r="E18" s="55">
        <v>5096000</v>
      </c>
      <c r="F18" s="56">
        <v>6337125</v>
      </c>
      <c r="G18" s="56">
        <v>6336634.7300000004</v>
      </c>
      <c r="H18" s="7">
        <f t="shared" si="0"/>
        <v>99.99226352644142</v>
      </c>
      <c r="I18" s="63">
        <v>5209522.5199999996</v>
      </c>
      <c r="J18" s="55">
        <v>5096000</v>
      </c>
      <c r="K18" s="56">
        <v>6337125</v>
      </c>
      <c r="L18" s="56">
        <v>6336634.7300000004</v>
      </c>
      <c r="M18" s="7">
        <f t="shared" si="2"/>
        <v>99.99226352644142</v>
      </c>
      <c r="N18" s="63">
        <v>5209522.5199999996</v>
      </c>
      <c r="O18" s="55"/>
      <c r="P18" s="56"/>
      <c r="Q18" s="56"/>
      <c r="R18" s="7" t="e">
        <f t="shared" si="3"/>
        <v>#DIV/0!</v>
      </c>
      <c r="S18" s="63"/>
      <c r="T18" s="55">
        <v>90000</v>
      </c>
      <c r="U18" s="56">
        <v>91870</v>
      </c>
      <c r="V18" s="56">
        <v>91865.3</v>
      </c>
      <c r="W18" s="7">
        <f t="shared" si="4"/>
        <v>99.994884075323824</v>
      </c>
      <c r="X18" s="92">
        <v>87608.1</v>
      </c>
    </row>
    <row r="19" spans="1:24" s="8" customFormat="1" ht="9.75" x14ac:dyDescent="0.2">
      <c r="A19" s="27" t="s">
        <v>16</v>
      </c>
      <c r="B19" s="997" t="s">
        <v>32</v>
      </c>
      <c r="C19" s="998"/>
      <c r="D19" s="48" t="s">
        <v>25</v>
      </c>
      <c r="E19" s="55">
        <v>2950000</v>
      </c>
      <c r="F19" s="56">
        <v>3103200</v>
      </c>
      <c r="G19" s="56">
        <v>3066377</v>
      </c>
      <c r="H19" s="7">
        <f t="shared" si="0"/>
        <v>98.813386182005672</v>
      </c>
      <c r="I19" s="63">
        <v>2829545</v>
      </c>
      <c r="J19" s="55">
        <v>2950000</v>
      </c>
      <c r="K19" s="56">
        <v>3103200</v>
      </c>
      <c r="L19" s="56">
        <v>3066377</v>
      </c>
      <c r="M19" s="7">
        <f t="shared" si="2"/>
        <v>98.813386182005672</v>
      </c>
      <c r="N19" s="63">
        <v>2829545</v>
      </c>
      <c r="O19" s="55"/>
      <c r="P19" s="56"/>
      <c r="Q19" s="56"/>
      <c r="R19" s="7" t="e">
        <f t="shared" si="3"/>
        <v>#DIV/0!</v>
      </c>
      <c r="S19" s="63"/>
      <c r="T19" s="84">
        <v>250000</v>
      </c>
      <c r="U19" s="85">
        <v>283230</v>
      </c>
      <c r="V19" s="85">
        <v>283229</v>
      </c>
      <c r="W19" s="7">
        <f t="shared" si="4"/>
        <v>99.999646930056841</v>
      </c>
      <c r="X19" s="95">
        <v>262509</v>
      </c>
    </row>
    <row r="20" spans="1:24" s="3" customFormat="1" ht="9.75" x14ac:dyDescent="0.2">
      <c r="A20" s="27" t="s">
        <v>17</v>
      </c>
      <c r="B20" s="997" t="s">
        <v>49</v>
      </c>
      <c r="C20" s="998"/>
      <c r="D20" s="48" t="s">
        <v>25</v>
      </c>
      <c r="E20" s="55">
        <v>981000</v>
      </c>
      <c r="F20" s="56">
        <v>1025000</v>
      </c>
      <c r="G20" s="56">
        <v>994624</v>
      </c>
      <c r="H20" s="7">
        <f t="shared" si="0"/>
        <v>97.03648780487805</v>
      </c>
      <c r="I20" s="63">
        <v>908740</v>
      </c>
      <c r="J20" s="55">
        <v>981000</v>
      </c>
      <c r="K20" s="56">
        <v>1025000</v>
      </c>
      <c r="L20" s="56">
        <v>994624</v>
      </c>
      <c r="M20" s="7">
        <f t="shared" si="2"/>
        <v>97.03648780487805</v>
      </c>
      <c r="N20" s="63">
        <v>908740</v>
      </c>
      <c r="O20" s="55"/>
      <c r="P20" s="56"/>
      <c r="Q20" s="56"/>
      <c r="R20" s="7" t="e">
        <f t="shared" si="3"/>
        <v>#DIV/0!</v>
      </c>
      <c r="S20" s="63"/>
      <c r="T20" s="55">
        <v>80000</v>
      </c>
      <c r="U20" s="56">
        <v>94740</v>
      </c>
      <c r="V20" s="56">
        <v>94732</v>
      </c>
      <c r="W20" s="7">
        <f t="shared" si="4"/>
        <v>99.991555837027661</v>
      </c>
      <c r="X20" s="92">
        <v>89253</v>
      </c>
    </row>
    <row r="21" spans="1:24" s="3" customFormat="1" ht="9.75" x14ac:dyDescent="0.2">
      <c r="A21" s="27" t="s">
        <v>18</v>
      </c>
      <c r="B21" s="997" t="s">
        <v>50</v>
      </c>
      <c r="C21" s="998"/>
      <c r="D21" s="48" t="s">
        <v>25</v>
      </c>
      <c r="E21" s="55">
        <v>112000</v>
      </c>
      <c r="F21" s="56">
        <v>128400</v>
      </c>
      <c r="G21" s="56">
        <v>125231.8</v>
      </c>
      <c r="H21" s="7">
        <f t="shared" si="0"/>
        <v>97.53255451713396</v>
      </c>
      <c r="I21" s="63">
        <v>138890.17000000001</v>
      </c>
      <c r="J21" s="55">
        <v>112000</v>
      </c>
      <c r="K21" s="56">
        <v>128400</v>
      </c>
      <c r="L21" s="56">
        <v>125231.8</v>
      </c>
      <c r="M21" s="7">
        <f t="shared" si="2"/>
        <v>97.53255451713396</v>
      </c>
      <c r="N21" s="63">
        <v>138890.17000000001</v>
      </c>
      <c r="O21" s="55"/>
      <c r="P21" s="56"/>
      <c r="Q21" s="56"/>
      <c r="R21" s="7" t="e">
        <f t="shared" si="3"/>
        <v>#DIV/0!</v>
      </c>
      <c r="S21" s="63"/>
      <c r="T21" s="55">
        <v>10000</v>
      </c>
      <c r="U21" s="56">
        <v>13910</v>
      </c>
      <c r="V21" s="56">
        <v>13910</v>
      </c>
      <c r="W21" s="7">
        <f t="shared" si="4"/>
        <v>100</v>
      </c>
      <c r="X21" s="92">
        <v>27287</v>
      </c>
    </row>
    <row r="22" spans="1:24" s="3" customFormat="1" ht="9.75" x14ac:dyDescent="0.2">
      <c r="A22" s="27" t="s">
        <v>19</v>
      </c>
      <c r="B22" s="997" t="s">
        <v>65</v>
      </c>
      <c r="C22" s="998"/>
      <c r="D22" s="48" t="s">
        <v>25</v>
      </c>
      <c r="E22" s="55">
        <v>4000</v>
      </c>
      <c r="F22" s="56">
        <v>3302</v>
      </c>
      <c r="G22" s="56">
        <v>3300</v>
      </c>
      <c r="H22" s="7">
        <f t="shared" si="0"/>
        <v>99.93943064809207</v>
      </c>
      <c r="I22" s="63">
        <v>3300</v>
      </c>
      <c r="J22" s="55">
        <v>4000</v>
      </c>
      <c r="K22" s="56">
        <v>3302</v>
      </c>
      <c r="L22" s="56">
        <v>3300</v>
      </c>
      <c r="M22" s="7">
        <f t="shared" si="2"/>
        <v>99.93943064809207</v>
      </c>
      <c r="N22" s="63">
        <v>3300</v>
      </c>
      <c r="O22" s="55"/>
      <c r="P22" s="56"/>
      <c r="Q22" s="56"/>
      <c r="R22" s="7" t="e">
        <f t="shared" si="3"/>
        <v>#DIV/0!</v>
      </c>
      <c r="S22" s="63"/>
      <c r="T22" s="55">
        <v>0</v>
      </c>
      <c r="U22" s="56">
        <v>0</v>
      </c>
      <c r="V22" s="56">
        <v>0</v>
      </c>
      <c r="W22" s="7" t="e">
        <f t="shared" si="4"/>
        <v>#DIV/0!</v>
      </c>
      <c r="X22" s="92">
        <v>0</v>
      </c>
    </row>
    <row r="23" spans="1:24" s="3" customFormat="1" ht="9.75" x14ac:dyDescent="0.2">
      <c r="A23" s="27" t="s">
        <v>20</v>
      </c>
      <c r="B23" s="418" t="s">
        <v>66</v>
      </c>
      <c r="C23" s="419"/>
      <c r="D23" s="48" t="s">
        <v>25</v>
      </c>
      <c r="E23" s="55">
        <f t="shared" si="6"/>
        <v>0</v>
      </c>
      <c r="F23" s="56">
        <v>1200</v>
      </c>
      <c r="G23" s="56">
        <v>1200</v>
      </c>
      <c r="H23" s="7">
        <f t="shared" si="0"/>
        <v>100</v>
      </c>
      <c r="I23" s="63">
        <f t="shared" si="6"/>
        <v>0</v>
      </c>
      <c r="J23" s="55">
        <f t="shared" si="6"/>
        <v>0</v>
      </c>
      <c r="K23" s="56">
        <v>1200</v>
      </c>
      <c r="L23" s="56">
        <v>1200</v>
      </c>
      <c r="M23" s="7">
        <f t="shared" si="2"/>
        <v>100</v>
      </c>
      <c r="N23" s="63">
        <f t="shared" si="7"/>
        <v>0</v>
      </c>
      <c r="O23" s="55"/>
      <c r="P23" s="56"/>
      <c r="Q23" s="56"/>
      <c r="R23" s="7" t="e">
        <f t="shared" si="3"/>
        <v>#DIV/0!</v>
      </c>
      <c r="S23" s="63"/>
      <c r="T23" s="55">
        <v>0</v>
      </c>
      <c r="U23" s="56">
        <v>0</v>
      </c>
      <c r="V23" s="56">
        <v>0</v>
      </c>
      <c r="W23" s="7" t="e">
        <f t="shared" si="4"/>
        <v>#DIV/0!</v>
      </c>
      <c r="X23" s="92">
        <v>0</v>
      </c>
    </row>
    <row r="24" spans="1:24" s="3" customFormat="1" ht="9.75" x14ac:dyDescent="0.2">
      <c r="A24" s="27" t="s">
        <v>21</v>
      </c>
      <c r="B24" s="418" t="s">
        <v>73</v>
      </c>
      <c r="C24" s="419"/>
      <c r="D24" s="48" t="s">
        <v>25</v>
      </c>
      <c r="E24" s="55">
        <f t="shared" si="6"/>
        <v>0</v>
      </c>
      <c r="F24" s="56">
        <f t="shared" si="6"/>
        <v>0</v>
      </c>
      <c r="G24" s="56">
        <f t="shared" si="6"/>
        <v>0</v>
      </c>
      <c r="H24" s="7" t="e">
        <f t="shared" si="0"/>
        <v>#DIV/0!</v>
      </c>
      <c r="I24" s="63">
        <f t="shared" si="6"/>
        <v>0</v>
      </c>
      <c r="J24" s="55">
        <f t="shared" si="6"/>
        <v>0</v>
      </c>
      <c r="K24" s="56">
        <f t="shared" si="6"/>
        <v>0</v>
      </c>
      <c r="L24" s="56">
        <f t="shared" si="6"/>
        <v>0</v>
      </c>
      <c r="M24" s="7" t="e">
        <f t="shared" si="2"/>
        <v>#DIV/0!</v>
      </c>
      <c r="N24" s="63">
        <f t="shared" si="7"/>
        <v>0</v>
      </c>
      <c r="O24" s="55"/>
      <c r="P24" s="56"/>
      <c r="Q24" s="56"/>
      <c r="R24" s="7" t="e">
        <f t="shared" si="3"/>
        <v>#DIV/0!</v>
      </c>
      <c r="S24" s="63"/>
      <c r="T24" s="55">
        <v>0</v>
      </c>
      <c r="U24" s="56">
        <v>0</v>
      </c>
      <c r="V24" s="56">
        <v>0</v>
      </c>
      <c r="W24" s="7" t="e">
        <f t="shared" si="4"/>
        <v>#DIV/0!</v>
      </c>
      <c r="X24" s="92">
        <v>0</v>
      </c>
    </row>
    <row r="25" spans="1:24" s="3" customFormat="1" ht="9.75" x14ac:dyDescent="0.2">
      <c r="A25" s="28" t="s">
        <v>22</v>
      </c>
      <c r="B25" s="29" t="s">
        <v>68</v>
      </c>
      <c r="C25" s="30"/>
      <c r="D25" s="48" t="s">
        <v>25</v>
      </c>
      <c r="E25" s="55">
        <v>0</v>
      </c>
      <c r="F25" s="56">
        <f t="shared" si="6"/>
        <v>0</v>
      </c>
      <c r="G25" s="56">
        <f t="shared" si="6"/>
        <v>0</v>
      </c>
      <c r="H25" s="7" t="e">
        <f t="shared" si="0"/>
        <v>#DIV/0!</v>
      </c>
      <c r="I25" s="63">
        <f t="shared" si="6"/>
        <v>0</v>
      </c>
      <c r="J25" s="55">
        <v>0</v>
      </c>
      <c r="K25" s="56">
        <f t="shared" si="6"/>
        <v>0</v>
      </c>
      <c r="L25" s="56">
        <f t="shared" si="6"/>
        <v>0</v>
      </c>
      <c r="M25" s="7" t="e">
        <f t="shared" si="2"/>
        <v>#DIV/0!</v>
      </c>
      <c r="N25" s="63">
        <f t="shared" si="7"/>
        <v>0</v>
      </c>
      <c r="O25" s="81"/>
      <c r="P25" s="74"/>
      <c r="Q25" s="74"/>
      <c r="R25" s="7" t="e">
        <f t="shared" si="3"/>
        <v>#DIV/0!</v>
      </c>
      <c r="S25" s="86"/>
      <c r="T25" s="81">
        <v>0</v>
      </c>
      <c r="U25" s="74">
        <v>0</v>
      </c>
      <c r="V25" s="74">
        <v>0</v>
      </c>
      <c r="W25" s="7" t="e">
        <f t="shared" si="4"/>
        <v>#DIV/0!</v>
      </c>
      <c r="X25" s="96">
        <v>0</v>
      </c>
    </row>
    <row r="26" spans="1:24" s="10" customFormat="1" ht="9.75" x14ac:dyDescent="0.2">
      <c r="A26" s="27" t="s">
        <v>23</v>
      </c>
      <c r="B26" s="997" t="s">
        <v>69</v>
      </c>
      <c r="C26" s="998"/>
      <c r="D26" s="48" t="s">
        <v>25</v>
      </c>
      <c r="E26" s="55">
        <v>740000</v>
      </c>
      <c r="F26" s="56">
        <v>740000</v>
      </c>
      <c r="G26" s="56">
        <v>695659</v>
      </c>
      <c r="H26" s="11">
        <f t="shared" si="0"/>
        <v>94.007972972972979</v>
      </c>
      <c r="I26" s="63">
        <v>708675.4</v>
      </c>
      <c r="J26" s="55">
        <v>740000</v>
      </c>
      <c r="K26" s="56">
        <v>740000</v>
      </c>
      <c r="L26" s="56">
        <v>695659</v>
      </c>
      <c r="M26" s="7">
        <f t="shared" si="2"/>
        <v>94.007972972972979</v>
      </c>
      <c r="N26" s="63">
        <v>708675.4</v>
      </c>
      <c r="O26" s="82"/>
      <c r="P26" s="75"/>
      <c r="Q26" s="75"/>
      <c r="R26" s="7" t="e">
        <f t="shared" si="3"/>
        <v>#DIV/0!</v>
      </c>
      <c r="S26" s="80"/>
      <c r="T26" s="82">
        <v>0</v>
      </c>
      <c r="U26" s="75">
        <v>43820</v>
      </c>
      <c r="V26" s="75">
        <v>43812</v>
      </c>
      <c r="W26" s="7">
        <f t="shared" si="4"/>
        <v>99.981743496120487</v>
      </c>
      <c r="X26" s="134">
        <v>41778</v>
      </c>
    </row>
    <row r="27" spans="1:24" s="12" customFormat="1" ht="9.75" x14ac:dyDescent="0.2">
      <c r="A27" s="27" t="s">
        <v>45</v>
      </c>
      <c r="B27" s="418" t="s">
        <v>70</v>
      </c>
      <c r="C27" s="419"/>
      <c r="D27" s="48" t="s">
        <v>25</v>
      </c>
      <c r="E27" s="55">
        <f t="shared" si="6"/>
        <v>0</v>
      </c>
      <c r="F27" s="56">
        <f t="shared" si="6"/>
        <v>0</v>
      </c>
      <c r="G27" s="56">
        <f t="shared" si="6"/>
        <v>0</v>
      </c>
      <c r="H27" s="11" t="e">
        <f t="shared" si="0"/>
        <v>#DIV/0!</v>
      </c>
      <c r="I27" s="63">
        <f t="shared" si="6"/>
        <v>0</v>
      </c>
      <c r="J27" s="55">
        <f t="shared" si="6"/>
        <v>0</v>
      </c>
      <c r="K27" s="56">
        <f t="shared" si="6"/>
        <v>0</v>
      </c>
      <c r="L27" s="56">
        <f t="shared" si="6"/>
        <v>0</v>
      </c>
      <c r="M27" s="7" t="e">
        <f t="shared" si="2"/>
        <v>#DIV/0!</v>
      </c>
      <c r="N27" s="63">
        <f t="shared" si="7"/>
        <v>0</v>
      </c>
      <c r="O27" s="82"/>
      <c r="P27" s="75"/>
      <c r="Q27" s="75"/>
      <c r="R27" s="7" t="e">
        <f t="shared" si="3"/>
        <v>#DIV/0!</v>
      </c>
      <c r="S27" s="80"/>
      <c r="T27" s="82">
        <v>0</v>
      </c>
      <c r="U27" s="75">
        <v>0</v>
      </c>
      <c r="V27" s="75">
        <v>0</v>
      </c>
      <c r="W27" s="7" t="e">
        <f t="shared" si="4"/>
        <v>#DIV/0!</v>
      </c>
      <c r="X27" s="134">
        <v>0</v>
      </c>
    </row>
    <row r="28" spans="1:24" s="12" customFormat="1" ht="9.75" x14ac:dyDescent="0.2">
      <c r="A28" s="27" t="s">
        <v>51</v>
      </c>
      <c r="B28" s="418" t="s">
        <v>74</v>
      </c>
      <c r="C28" s="419"/>
      <c r="D28" s="48" t="s">
        <v>25</v>
      </c>
      <c r="E28" s="55">
        <v>0</v>
      </c>
      <c r="F28" s="56">
        <v>77300</v>
      </c>
      <c r="G28" s="56">
        <v>77248.05</v>
      </c>
      <c r="H28" s="11">
        <f t="shared" si="0"/>
        <v>99.932794307891342</v>
      </c>
      <c r="I28" s="63">
        <v>95007</v>
      </c>
      <c r="J28" s="55">
        <v>0</v>
      </c>
      <c r="K28" s="56">
        <v>77300</v>
      </c>
      <c r="L28" s="56">
        <v>77248.05</v>
      </c>
      <c r="M28" s="7">
        <f t="shared" si="2"/>
        <v>99.932794307891342</v>
      </c>
      <c r="N28" s="63">
        <v>95007</v>
      </c>
      <c r="O28" s="82"/>
      <c r="P28" s="75"/>
      <c r="Q28" s="75"/>
      <c r="R28" s="7" t="e">
        <f t="shared" si="3"/>
        <v>#DIV/0!</v>
      </c>
      <c r="S28" s="80"/>
      <c r="T28" s="82">
        <v>0</v>
      </c>
      <c r="U28" s="75">
        <v>0</v>
      </c>
      <c r="V28" s="75">
        <v>0</v>
      </c>
      <c r="W28" s="7" t="e">
        <f t="shared" si="4"/>
        <v>#DIV/0!</v>
      </c>
      <c r="X28" s="134">
        <v>14950</v>
      </c>
    </row>
    <row r="29" spans="1:24" s="10" customFormat="1" ht="9.75" x14ac:dyDescent="0.2">
      <c r="A29" s="27" t="s">
        <v>52</v>
      </c>
      <c r="B29" s="997" t="s">
        <v>67</v>
      </c>
      <c r="C29" s="998"/>
      <c r="D29" s="48" t="s">
        <v>25</v>
      </c>
      <c r="E29" s="55">
        <v>4000</v>
      </c>
      <c r="F29" s="56">
        <v>4000</v>
      </c>
      <c r="G29" s="56">
        <v>3910</v>
      </c>
      <c r="H29" s="11">
        <f t="shared" si="0"/>
        <v>97.75</v>
      </c>
      <c r="I29" s="63">
        <v>3910</v>
      </c>
      <c r="J29" s="55">
        <v>4000</v>
      </c>
      <c r="K29" s="56">
        <v>4000</v>
      </c>
      <c r="L29" s="56">
        <v>3910</v>
      </c>
      <c r="M29" s="7">
        <f t="shared" si="2"/>
        <v>97.75</v>
      </c>
      <c r="N29" s="63">
        <v>3910</v>
      </c>
      <c r="O29" s="82"/>
      <c r="P29" s="75"/>
      <c r="Q29" s="75"/>
      <c r="R29" s="7" t="e">
        <f t="shared" si="3"/>
        <v>#DIV/0!</v>
      </c>
      <c r="S29" s="80"/>
      <c r="T29" s="82">
        <v>0</v>
      </c>
      <c r="U29" s="75">
        <v>0</v>
      </c>
      <c r="V29" s="75">
        <v>0</v>
      </c>
      <c r="W29" s="7" t="e">
        <f t="shared" si="4"/>
        <v>#DIV/0!</v>
      </c>
      <c r="X29" s="134">
        <v>0</v>
      </c>
    </row>
    <row r="30" spans="1:24" s="3" customFormat="1" ht="9.75" x14ac:dyDescent="0.2">
      <c r="A30" s="27" t="s">
        <v>54</v>
      </c>
      <c r="B30" s="418" t="s">
        <v>53</v>
      </c>
      <c r="C30" s="419"/>
      <c r="D30" s="48" t="s">
        <v>25</v>
      </c>
      <c r="E30" s="55">
        <f t="shared" ref="E30:G31" si="8">SUM(J30,O30)</f>
        <v>0</v>
      </c>
      <c r="F30" s="56">
        <f t="shared" si="8"/>
        <v>0</v>
      </c>
      <c r="G30" s="56">
        <f t="shared" si="8"/>
        <v>0</v>
      </c>
      <c r="H30" s="11" t="e">
        <f t="shared" si="0"/>
        <v>#DIV/0!</v>
      </c>
      <c r="I30" s="63">
        <f>SUM(N30,S30)</f>
        <v>0</v>
      </c>
      <c r="J30" s="55">
        <f t="shared" ref="J30:L31" si="9">SUM(O30,T30)</f>
        <v>0</v>
      </c>
      <c r="K30" s="56">
        <f t="shared" si="9"/>
        <v>0</v>
      </c>
      <c r="L30" s="56">
        <f t="shared" si="9"/>
        <v>0</v>
      </c>
      <c r="M30" s="7" t="e">
        <f t="shared" si="2"/>
        <v>#DIV/0!</v>
      </c>
      <c r="N30" s="63">
        <f>SUM(S30,X30)</f>
        <v>0</v>
      </c>
      <c r="O30" s="82"/>
      <c r="P30" s="75"/>
      <c r="Q30" s="75"/>
      <c r="R30" s="7" t="e">
        <f t="shared" si="3"/>
        <v>#DIV/0!</v>
      </c>
      <c r="S30" s="80"/>
      <c r="T30" s="82">
        <v>0</v>
      </c>
      <c r="U30" s="75">
        <v>0</v>
      </c>
      <c r="V30" s="75">
        <v>0</v>
      </c>
      <c r="W30" s="7" t="e">
        <f t="shared" si="4"/>
        <v>#DIV/0!</v>
      </c>
      <c r="X30" s="134">
        <v>0</v>
      </c>
    </row>
    <row r="31" spans="1:24" s="31" customFormat="1" ht="9.75" x14ac:dyDescent="0.2">
      <c r="A31" s="27" t="s">
        <v>55</v>
      </c>
      <c r="B31" s="102" t="s">
        <v>71</v>
      </c>
      <c r="C31" s="103"/>
      <c r="D31" s="48" t="s">
        <v>25</v>
      </c>
      <c r="E31" s="55">
        <f t="shared" si="8"/>
        <v>0</v>
      </c>
      <c r="F31" s="56">
        <f t="shared" si="8"/>
        <v>0</v>
      </c>
      <c r="G31" s="56">
        <f t="shared" si="8"/>
        <v>0</v>
      </c>
      <c r="H31" s="11" t="e">
        <f t="shared" si="0"/>
        <v>#DIV/0!</v>
      </c>
      <c r="I31" s="63">
        <f>SUM(N31,S31)</f>
        <v>0</v>
      </c>
      <c r="J31" s="55">
        <f t="shared" si="9"/>
        <v>0</v>
      </c>
      <c r="K31" s="56">
        <f t="shared" si="9"/>
        <v>0</v>
      </c>
      <c r="L31" s="56">
        <f t="shared" si="9"/>
        <v>0</v>
      </c>
      <c r="M31" s="7" t="e">
        <f t="shared" si="2"/>
        <v>#DIV/0!</v>
      </c>
      <c r="N31" s="63">
        <f>SUM(S31,X31)</f>
        <v>0</v>
      </c>
      <c r="O31" s="106"/>
      <c r="P31" s="104"/>
      <c r="Q31" s="104"/>
      <c r="R31" s="7" t="e">
        <f t="shared" si="3"/>
        <v>#DIV/0!</v>
      </c>
      <c r="S31" s="105"/>
      <c r="T31" s="107">
        <v>0</v>
      </c>
      <c r="U31" s="108">
        <v>0</v>
      </c>
      <c r="V31" s="108">
        <v>0</v>
      </c>
      <c r="W31" s="7" t="e">
        <f t="shared" si="4"/>
        <v>#DIV/0!</v>
      </c>
      <c r="X31" s="109">
        <v>0</v>
      </c>
    </row>
    <row r="32" spans="1:24" s="31" customFormat="1" ht="9.75" x14ac:dyDescent="0.2">
      <c r="A32" s="110" t="s">
        <v>56</v>
      </c>
      <c r="B32" s="111" t="s">
        <v>72</v>
      </c>
      <c r="C32" s="112"/>
      <c r="D32" s="49" t="s">
        <v>25</v>
      </c>
      <c r="E32" s="57">
        <f>SUM(J32,O32)</f>
        <v>0</v>
      </c>
      <c r="F32" s="58">
        <f>SUM(K32,P32)</f>
        <v>0</v>
      </c>
      <c r="G32" s="58">
        <f>SUM(L32,Q32)</f>
        <v>0</v>
      </c>
      <c r="H32" s="13" t="e">
        <f t="shared" si="0"/>
        <v>#DIV/0!</v>
      </c>
      <c r="I32" s="65">
        <f>SUM(N32,S32)</f>
        <v>0</v>
      </c>
      <c r="J32" s="57">
        <f>SUM(O32,T32)</f>
        <v>0</v>
      </c>
      <c r="K32" s="58">
        <f>SUM(P32,U32)</f>
        <v>0</v>
      </c>
      <c r="L32" s="58">
        <f>SUM(Q32,V32)</f>
        <v>0</v>
      </c>
      <c r="M32" s="24" t="e">
        <f t="shared" si="2"/>
        <v>#DIV/0!</v>
      </c>
      <c r="N32" s="65">
        <f>SUM(S32,X32)</f>
        <v>0</v>
      </c>
      <c r="O32" s="89"/>
      <c r="P32" s="90"/>
      <c r="Q32" s="90"/>
      <c r="R32" s="24" t="e">
        <f t="shared" si="3"/>
        <v>#DIV/0!</v>
      </c>
      <c r="S32" s="114"/>
      <c r="T32" s="89">
        <v>0</v>
      </c>
      <c r="U32" s="90">
        <v>0</v>
      </c>
      <c r="V32" s="90">
        <v>0</v>
      </c>
      <c r="W32" s="24" t="e">
        <f t="shared" si="4"/>
        <v>#DIV/0!</v>
      </c>
      <c r="X32" s="98">
        <v>0</v>
      </c>
    </row>
    <row r="33" spans="1:24" s="31" customFormat="1" ht="9.75" x14ac:dyDescent="0.2">
      <c r="A33" s="16" t="s">
        <v>57</v>
      </c>
      <c r="B33" s="34" t="s">
        <v>58</v>
      </c>
      <c r="C33" s="35"/>
      <c r="D33" s="17" t="s">
        <v>25</v>
      </c>
      <c r="E33" s="52">
        <f>E6-E11</f>
        <v>0</v>
      </c>
      <c r="F33" s="52">
        <f t="shared" ref="F33:G33" si="10">F6-F11</f>
        <v>0</v>
      </c>
      <c r="G33" s="52">
        <f t="shared" si="10"/>
        <v>0</v>
      </c>
      <c r="H33" s="32" t="e">
        <f t="shared" si="0"/>
        <v>#DIV/0!</v>
      </c>
      <c r="I33" s="52">
        <f t="shared" ref="I33:L33" si="11">I6-I11</f>
        <v>0</v>
      </c>
      <c r="J33" s="52">
        <f t="shared" si="11"/>
        <v>0</v>
      </c>
      <c r="K33" s="52">
        <f t="shared" si="11"/>
        <v>0</v>
      </c>
      <c r="L33" s="52">
        <f t="shared" si="11"/>
        <v>0</v>
      </c>
      <c r="M33" s="33" t="e">
        <f t="shared" si="2"/>
        <v>#DIV/0!</v>
      </c>
      <c r="N33" s="52">
        <f t="shared" ref="N33:Q33" si="12">N6-N11</f>
        <v>0</v>
      </c>
      <c r="O33" s="52">
        <f t="shared" si="12"/>
        <v>0</v>
      </c>
      <c r="P33" s="52">
        <f t="shared" si="12"/>
        <v>0</v>
      </c>
      <c r="Q33" s="52">
        <f t="shared" si="12"/>
        <v>0</v>
      </c>
      <c r="R33" s="33" t="e">
        <f t="shared" si="3"/>
        <v>#DIV/0!</v>
      </c>
      <c r="S33" s="52">
        <f t="shared" ref="S33:V33" si="13">S6-S11</f>
        <v>0</v>
      </c>
      <c r="T33" s="52">
        <f t="shared" si="13"/>
        <v>100000</v>
      </c>
      <c r="U33" s="52">
        <f t="shared" si="13"/>
        <v>100000</v>
      </c>
      <c r="V33" s="52">
        <f t="shared" si="13"/>
        <v>91911.29999999993</v>
      </c>
      <c r="W33" s="178">
        <f t="shared" si="4"/>
        <v>91.911299999999926</v>
      </c>
      <c r="X33" s="52">
        <f>X6-X11</f>
        <v>52555.20000000007</v>
      </c>
    </row>
    <row r="34" spans="1:24" s="37" customFormat="1" ht="9.75" x14ac:dyDescent="0.2">
      <c r="A34" s="36" t="s">
        <v>59</v>
      </c>
      <c r="B34" s="999" t="s">
        <v>24</v>
      </c>
      <c r="C34" s="1000"/>
      <c r="D34" s="99" t="s">
        <v>25</v>
      </c>
      <c r="E34" s="591">
        <v>24118</v>
      </c>
      <c r="F34" s="592">
        <v>24118</v>
      </c>
      <c r="G34" s="592">
        <v>25647</v>
      </c>
      <c r="H34" s="593">
        <f t="shared" si="0"/>
        <v>106.33966332200015</v>
      </c>
      <c r="I34" s="594">
        <v>24614</v>
      </c>
      <c r="J34" s="595">
        <v>24118</v>
      </c>
      <c r="K34" s="595">
        <v>24118</v>
      </c>
      <c r="L34" s="595">
        <v>25647</v>
      </c>
      <c r="M34" s="178">
        <f t="shared" si="2"/>
        <v>106.33966332200015</v>
      </c>
      <c r="N34" s="594">
        <v>24614</v>
      </c>
      <c r="O34" s="444"/>
      <c r="P34" s="444"/>
      <c r="Q34" s="444"/>
      <c r="R34" s="178" t="e">
        <f t="shared" si="3"/>
        <v>#DIV/0!</v>
      </c>
      <c r="S34" s="444"/>
      <c r="T34" s="444"/>
      <c r="U34" s="444"/>
      <c r="V34" s="444"/>
      <c r="W34" s="178" t="e">
        <f t="shared" si="4"/>
        <v>#DIV/0!</v>
      </c>
      <c r="X34" s="444"/>
    </row>
    <row r="35" spans="1:24" s="37" customFormat="1" ht="9.75" x14ac:dyDescent="0.2">
      <c r="A35" s="38" t="s">
        <v>60</v>
      </c>
      <c r="B35" s="1001" t="s">
        <v>33</v>
      </c>
      <c r="C35" s="1002"/>
      <c r="D35" s="100" t="s">
        <v>26</v>
      </c>
      <c r="E35" s="175">
        <v>9.125</v>
      </c>
      <c r="F35" s="175">
        <v>9.125</v>
      </c>
      <c r="G35" s="175">
        <v>9.125</v>
      </c>
      <c r="H35" s="173">
        <f t="shared" si="0"/>
        <v>100</v>
      </c>
      <c r="I35" s="175">
        <v>8.625</v>
      </c>
      <c r="J35" s="595">
        <v>9.125</v>
      </c>
      <c r="K35" s="595">
        <v>9.125</v>
      </c>
      <c r="L35" s="595">
        <v>9.125</v>
      </c>
      <c r="M35" s="178">
        <f t="shared" si="2"/>
        <v>100</v>
      </c>
      <c r="N35" s="175">
        <v>8.625</v>
      </c>
      <c r="O35" s="444"/>
      <c r="P35" s="444"/>
      <c r="Q35" s="444"/>
      <c r="R35" s="178" t="e">
        <f t="shared" si="3"/>
        <v>#DIV/0!</v>
      </c>
      <c r="S35" s="444"/>
      <c r="T35" s="444"/>
      <c r="U35" s="444"/>
      <c r="V35" s="444"/>
      <c r="W35" s="178" t="e">
        <f t="shared" si="4"/>
        <v>#DIV/0!</v>
      </c>
      <c r="X35" s="444"/>
    </row>
    <row r="36" spans="1:24" s="37" customFormat="1" ht="9.75" x14ac:dyDescent="0.2">
      <c r="A36" s="39" t="s">
        <v>61</v>
      </c>
      <c r="B36" s="1003" t="s">
        <v>27</v>
      </c>
      <c r="C36" s="1004"/>
      <c r="D36" s="101" t="s">
        <v>26</v>
      </c>
      <c r="E36" s="175">
        <v>11</v>
      </c>
      <c r="F36" s="175">
        <v>11</v>
      </c>
      <c r="G36" s="175">
        <v>11</v>
      </c>
      <c r="H36" s="173">
        <f t="shared" si="0"/>
        <v>100</v>
      </c>
      <c r="I36" s="175">
        <v>10</v>
      </c>
      <c r="J36" s="595">
        <v>11</v>
      </c>
      <c r="K36" s="595">
        <v>11</v>
      </c>
      <c r="L36" s="595">
        <v>11</v>
      </c>
      <c r="M36" s="178">
        <f t="shared" si="2"/>
        <v>100</v>
      </c>
      <c r="N36" s="175">
        <v>10</v>
      </c>
      <c r="O36" s="444"/>
      <c r="P36" s="444"/>
      <c r="Q36" s="444"/>
      <c r="R36" s="178" t="e">
        <f t="shared" si="3"/>
        <v>#DIV/0!</v>
      </c>
      <c r="S36" s="444"/>
      <c r="T36" s="444"/>
      <c r="U36" s="444"/>
      <c r="V36" s="444"/>
      <c r="W36" s="178" t="e">
        <f t="shared" si="4"/>
        <v>#DIV/0!</v>
      </c>
      <c r="X36" s="444"/>
    </row>
  </sheetData>
  <mergeCells count="39">
    <mergeCell ref="A1:X1"/>
    <mergeCell ref="A3:A5"/>
    <mergeCell ref="B3:C5"/>
    <mergeCell ref="D3:D5"/>
    <mergeCell ref="E3:I3"/>
    <mergeCell ref="J3:N3"/>
    <mergeCell ref="O3:S3"/>
    <mergeCell ref="T3:X3"/>
    <mergeCell ref="E4:E5"/>
    <mergeCell ref="F4:H4"/>
    <mergeCell ref="S4:S5"/>
    <mergeCell ref="T4:T5"/>
    <mergeCell ref="U4:W4"/>
    <mergeCell ref="X4:X5"/>
    <mergeCell ref="O4:O5"/>
    <mergeCell ref="P4:R4"/>
    <mergeCell ref="B7:C7"/>
    <mergeCell ref="I4:I5"/>
    <mergeCell ref="J4:J5"/>
    <mergeCell ref="K4:M4"/>
    <mergeCell ref="N4:N5"/>
    <mergeCell ref="B6:C6"/>
    <mergeCell ref="B22:C22"/>
    <mergeCell ref="B8:C8"/>
    <mergeCell ref="B10:C10"/>
    <mergeCell ref="B11:C11"/>
    <mergeCell ref="B12:C12"/>
    <mergeCell ref="B13:C13"/>
    <mergeCell ref="B15:C15"/>
    <mergeCell ref="B16:C16"/>
    <mergeCell ref="B18:C18"/>
    <mergeCell ref="B19:C19"/>
    <mergeCell ref="B20:C20"/>
    <mergeCell ref="B21:C21"/>
    <mergeCell ref="B26:C26"/>
    <mergeCell ref="B29:C29"/>
    <mergeCell ref="B34:C34"/>
    <mergeCell ref="B35:C35"/>
    <mergeCell ref="B36:C36"/>
  </mergeCells>
  <pageMargins left="0.70866141732283472" right="0.70866141732283472" top="0.78740157480314965" bottom="0.78740157480314965" header="0.31496062992125984" footer="0.31496062992125984"/>
  <pageSetup paperSize="9" scale="91" firstPageNumber="131" orientation="landscape" useFirstPageNumber="1" r:id="rId1"/>
  <headerFoot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9"/>
  <sheetViews>
    <sheetView topLeftCell="A49" workbookViewId="0">
      <selection activeCell="A107" sqref="A107:XFD107"/>
    </sheetView>
  </sheetViews>
  <sheetFormatPr defaultRowHeight="12.75" x14ac:dyDescent="0.2"/>
  <cols>
    <col min="1" max="1" width="58" style="240" customWidth="1"/>
    <col min="2" max="2" width="33.5" style="240" customWidth="1"/>
    <col min="3" max="5" width="25.75" style="240" customWidth="1"/>
    <col min="6" max="6" width="22.75" style="240" customWidth="1"/>
    <col min="7" max="16384" width="10" style="240"/>
  </cols>
  <sheetData>
    <row r="1" spans="1:9" s="425" customFormat="1" ht="18.75" x14ac:dyDescent="0.3">
      <c r="A1" s="425" t="s">
        <v>92</v>
      </c>
      <c r="B1" s="425" t="s">
        <v>326</v>
      </c>
    </row>
    <row r="3" spans="1:9" s="180" customFormat="1" ht="10.5" x14ac:dyDescent="0.15">
      <c r="A3" s="1039" t="s">
        <v>354</v>
      </c>
      <c r="B3" s="1039"/>
      <c r="C3" s="1039"/>
      <c r="D3" s="1039"/>
      <c r="E3" s="1039"/>
      <c r="F3" s="1039"/>
      <c r="G3" s="1039"/>
      <c r="H3" s="1039"/>
      <c r="I3" s="1039"/>
    </row>
    <row r="4" spans="1:9" s="181" customFormat="1" ht="11.25" x14ac:dyDescent="0.2"/>
    <row r="5" spans="1:9" s="182" customFormat="1" ht="9.75" x14ac:dyDescent="0.2">
      <c r="A5" s="1040" t="s">
        <v>93</v>
      </c>
      <c r="B5" s="1041"/>
      <c r="C5" s="420" t="s">
        <v>25</v>
      </c>
      <c r="D5" s="1042" t="s">
        <v>355</v>
      </c>
      <c r="E5" s="1042"/>
      <c r="F5" s="1042"/>
      <c r="G5" s="1042"/>
      <c r="H5" s="1042"/>
      <c r="I5" s="1042"/>
    </row>
    <row r="6" spans="1:9" s="181" customFormat="1" ht="15" customHeight="1" x14ac:dyDescent="0.2">
      <c r="A6" s="1043" t="s">
        <v>356</v>
      </c>
      <c r="B6" s="1043"/>
      <c r="C6" s="183">
        <f>SUM(C7:C9)</f>
        <v>91911.3</v>
      </c>
      <c r="D6" s="1044"/>
      <c r="E6" s="1045"/>
      <c r="F6" s="1045"/>
      <c r="G6" s="1045"/>
      <c r="H6" s="1045"/>
      <c r="I6" s="1045"/>
    </row>
    <row r="7" spans="1:9" s="181" customFormat="1" ht="17.25" customHeight="1" x14ac:dyDescent="0.2">
      <c r="A7" s="1046" t="s">
        <v>94</v>
      </c>
      <c r="B7" s="1047"/>
      <c r="C7" s="184">
        <v>0</v>
      </c>
      <c r="D7" s="1048"/>
      <c r="E7" s="1048"/>
      <c r="F7" s="1048"/>
      <c r="G7" s="1048"/>
      <c r="H7" s="1048"/>
      <c r="I7" s="1048"/>
    </row>
    <row r="8" spans="1:9" s="180" customFormat="1" ht="27" customHeight="1" x14ac:dyDescent="0.15">
      <c r="A8" s="1049" t="s">
        <v>95</v>
      </c>
      <c r="B8" s="1050"/>
      <c r="C8" s="185">
        <v>91911.3</v>
      </c>
      <c r="D8" s="1048" t="s">
        <v>327</v>
      </c>
      <c r="E8" s="1048"/>
      <c r="F8" s="1048"/>
      <c r="G8" s="1048"/>
      <c r="H8" s="1048"/>
      <c r="I8" s="1048"/>
    </row>
    <row r="9" spans="1:9" s="180" customFormat="1" ht="15" customHeight="1" x14ac:dyDescent="0.15">
      <c r="A9" s="1049" t="s">
        <v>96</v>
      </c>
      <c r="B9" s="1050"/>
      <c r="C9" s="185">
        <v>0</v>
      </c>
      <c r="D9" s="1051"/>
      <c r="E9" s="1052"/>
      <c r="F9" s="1052"/>
      <c r="G9" s="1052"/>
      <c r="H9" s="1052"/>
      <c r="I9" s="1053"/>
    </row>
    <row r="10" spans="1:9" s="181" customFormat="1" ht="11.25" x14ac:dyDescent="0.2">
      <c r="C10" s="186"/>
    </row>
    <row r="11" spans="1:9" s="181" customFormat="1" ht="11.25" x14ac:dyDescent="0.2">
      <c r="A11" s="1039" t="s">
        <v>359</v>
      </c>
      <c r="B11" s="1039"/>
      <c r="C11" s="1039"/>
      <c r="D11" s="1039"/>
      <c r="E11" s="1039"/>
      <c r="F11" s="1039"/>
      <c r="G11" s="1039"/>
      <c r="H11" s="1039"/>
      <c r="I11" s="1039"/>
    </row>
    <row r="12" spans="1:9" s="181" customFormat="1" ht="11.25" x14ac:dyDescent="0.2">
      <c r="C12" s="186"/>
      <c r="D12" s="187"/>
      <c r="E12" s="187"/>
      <c r="F12" s="187"/>
      <c r="G12" s="187"/>
      <c r="H12" s="187"/>
      <c r="I12" s="187"/>
    </row>
    <row r="13" spans="1:9" s="190" customFormat="1" ht="9.75" x14ac:dyDescent="0.2">
      <c r="A13" s="420" t="s">
        <v>93</v>
      </c>
      <c r="B13" s="420" t="s">
        <v>97</v>
      </c>
      <c r="C13" s="420" t="s">
        <v>25</v>
      </c>
      <c r="D13" s="188"/>
      <c r="E13" s="189"/>
      <c r="F13" s="189"/>
      <c r="G13" s="189"/>
      <c r="H13" s="189"/>
      <c r="I13" s="189"/>
    </row>
    <row r="14" spans="1:9" s="181" customFormat="1" ht="15" customHeight="1" x14ac:dyDescent="0.2">
      <c r="A14" s="191" t="s">
        <v>98</v>
      </c>
      <c r="B14" s="192"/>
      <c r="C14" s="193"/>
      <c r="D14" s="924"/>
      <c r="E14" s="195"/>
      <c r="F14" s="195"/>
      <c r="G14" s="195"/>
      <c r="H14" s="195"/>
      <c r="I14" s="195"/>
    </row>
    <row r="15" spans="1:9" s="181" customFormat="1" ht="15" customHeight="1" x14ac:dyDescent="0.2">
      <c r="A15" s="1037" t="s">
        <v>99</v>
      </c>
      <c r="B15" s="196" t="s">
        <v>100</v>
      </c>
      <c r="C15" s="197">
        <v>91911.3</v>
      </c>
      <c r="D15" s="198"/>
      <c r="E15" s="199"/>
      <c r="F15" s="199"/>
      <c r="G15" s="199"/>
      <c r="H15" s="199"/>
      <c r="I15" s="199"/>
    </row>
    <row r="16" spans="1:9" s="181" customFormat="1" ht="15" customHeight="1" x14ac:dyDescent="0.2">
      <c r="A16" s="1038"/>
      <c r="B16" s="200" t="s">
        <v>100</v>
      </c>
      <c r="C16" s="201"/>
      <c r="D16" s="198"/>
      <c r="E16" s="199"/>
      <c r="F16" s="199"/>
      <c r="G16" s="199"/>
      <c r="H16" s="199"/>
      <c r="I16" s="199"/>
    </row>
    <row r="17" spans="1:9" s="181" customFormat="1" ht="15" customHeight="1" x14ac:dyDescent="0.2">
      <c r="A17" s="1038"/>
      <c r="B17" s="200" t="s">
        <v>101</v>
      </c>
      <c r="C17" s="202"/>
      <c r="D17" s="1570"/>
      <c r="E17" s="1571"/>
      <c r="F17" s="1571"/>
      <c r="G17" s="1571"/>
      <c r="H17" s="1571"/>
      <c r="I17" s="1571"/>
    </row>
    <row r="18" spans="1:9" s="181" customFormat="1" ht="15" customHeight="1" x14ac:dyDescent="0.2">
      <c r="A18" s="421" t="s">
        <v>356</v>
      </c>
      <c r="B18" s="205"/>
      <c r="C18" s="206">
        <f>SUM(C14:C17)</f>
        <v>91911.3</v>
      </c>
      <c r="D18" s="1572"/>
      <c r="E18" s="1573"/>
      <c r="F18" s="1573"/>
      <c r="G18" s="1573"/>
      <c r="H18" s="1573"/>
      <c r="I18" s="1573"/>
    </row>
    <row r="19" spans="1:9" s="209" customFormat="1" ht="11.25" x14ac:dyDescent="0.2">
      <c r="A19" s="208"/>
      <c r="C19" s="210"/>
      <c r="D19" s="211"/>
      <c r="E19" s="211"/>
      <c r="F19" s="211"/>
      <c r="G19" s="211"/>
      <c r="H19" s="211"/>
      <c r="I19" s="211"/>
    </row>
    <row r="20" spans="1:9" s="181" customFormat="1" ht="11.25" x14ac:dyDescent="0.2">
      <c r="A20" s="1039" t="s">
        <v>360</v>
      </c>
      <c r="B20" s="1039"/>
      <c r="C20" s="1039"/>
      <c r="D20" s="1039"/>
      <c r="E20" s="1039"/>
      <c r="F20" s="1039"/>
      <c r="G20" s="1039"/>
      <c r="H20" s="1039"/>
      <c r="I20" s="1039"/>
    </row>
    <row r="21" spans="1:9" s="181" customFormat="1" ht="11.25" x14ac:dyDescent="0.2">
      <c r="C21" s="186"/>
    </row>
    <row r="22" spans="1:9" s="212" customFormat="1" ht="9.75" x14ac:dyDescent="0.2">
      <c r="A22" s="420" t="s">
        <v>97</v>
      </c>
      <c r="B22" s="420" t="s">
        <v>361</v>
      </c>
      <c r="C22" s="423" t="s">
        <v>362</v>
      </c>
      <c r="D22" s="420" t="s">
        <v>363</v>
      </c>
      <c r="E22" s="420" t="s">
        <v>364</v>
      </c>
      <c r="F22" s="1042" t="s">
        <v>365</v>
      </c>
      <c r="G22" s="1042"/>
      <c r="H22" s="1042"/>
      <c r="I22" s="1042"/>
    </row>
    <row r="23" spans="1:9" s="181" customFormat="1" ht="49.5" customHeight="1" x14ac:dyDescent="0.2">
      <c r="A23" s="213" t="s">
        <v>102</v>
      </c>
      <c r="B23" s="214">
        <v>296002.69</v>
      </c>
      <c r="C23" s="214">
        <v>52555.199999999997</v>
      </c>
      <c r="D23" s="214">
        <v>340455.47</v>
      </c>
      <c r="E23" s="214">
        <f>B23+C23-D23</f>
        <v>8102.4200000000419</v>
      </c>
      <c r="F23" s="1054" t="s">
        <v>1134</v>
      </c>
      <c r="G23" s="1055"/>
      <c r="H23" s="1055"/>
      <c r="I23" s="1056"/>
    </row>
    <row r="24" spans="1:9" s="181" customFormat="1" ht="43.5" customHeight="1" x14ac:dyDescent="0.2">
      <c r="A24" s="196" t="s">
        <v>103</v>
      </c>
      <c r="B24" s="215">
        <v>260783.35999999999</v>
      </c>
      <c r="C24" s="215">
        <v>739471</v>
      </c>
      <c r="D24" s="215">
        <v>792568</v>
      </c>
      <c r="E24" s="215">
        <f t="shared" ref="E24:E26" si="0">B24+C24-D24</f>
        <v>207686.36</v>
      </c>
      <c r="F24" s="1057" t="s">
        <v>1135</v>
      </c>
      <c r="G24" s="1058"/>
      <c r="H24" s="1058"/>
      <c r="I24" s="1059"/>
    </row>
    <row r="25" spans="1:9" s="181" customFormat="1" ht="41.25" customHeight="1" x14ac:dyDescent="0.2">
      <c r="A25" s="196" t="s">
        <v>101</v>
      </c>
      <c r="B25" s="215">
        <v>93584.27</v>
      </c>
      <c r="C25" s="215">
        <v>0</v>
      </c>
      <c r="D25" s="215">
        <v>24200</v>
      </c>
      <c r="E25" s="215">
        <f t="shared" si="0"/>
        <v>69384.27</v>
      </c>
      <c r="F25" s="1057" t="s">
        <v>1136</v>
      </c>
      <c r="G25" s="1058"/>
      <c r="H25" s="1058"/>
      <c r="I25" s="1059"/>
    </row>
    <row r="26" spans="1:9" s="181" customFormat="1" ht="44.25" customHeight="1" x14ac:dyDescent="0.2">
      <c r="A26" s="200" t="s">
        <v>104</v>
      </c>
      <c r="B26" s="216">
        <v>6297.5</v>
      </c>
      <c r="C26" s="216">
        <v>53690.8</v>
      </c>
      <c r="D26" s="216">
        <v>51930.92</v>
      </c>
      <c r="E26" s="215">
        <f t="shared" si="0"/>
        <v>8057.3800000000047</v>
      </c>
      <c r="F26" s="1060" t="s">
        <v>1137</v>
      </c>
      <c r="G26" s="1061"/>
      <c r="H26" s="1061"/>
      <c r="I26" s="1062"/>
    </row>
    <row r="27" spans="1:9" s="180" customFormat="1" ht="10.5" x14ac:dyDescent="0.15">
      <c r="A27" s="217" t="s">
        <v>34</v>
      </c>
      <c r="B27" s="183">
        <f>SUM(B23:B26)</f>
        <v>656667.82000000007</v>
      </c>
      <c r="C27" s="183">
        <f t="shared" ref="C27:E27" si="1">SUM(C23:C26)</f>
        <v>845717</v>
      </c>
      <c r="D27" s="183">
        <f t="shared" si="1"/>
        <v>1209154.3899999999</v>
      </c>
      <c r="E27" s="183">
        <f t="shared" si="1"/>
        <v>293230.43000000005</v>
      </c>
      <c r="F27" s="1063"/>
      <c r="G27" s="1063"/>
      <c r="H27" s="1063"/>
      <c r="I27" s="1064"/>
    </row>
    <row r="28" spans="1:9" s="181" customFormat="1" ht="11.25" x14ac:dyDescent="0.2">
      <c r="C28" s="186"/>
    </row>
    <row r="29" spans="1:9" s="181" customFormat="1" ht="11.25" x14ac:dyDescent="0.2">
      <c r="A29" s="1039" t="s">
        <v>370</v>
      </c>
      <c r="B29" s="1039"/>
      <c r="C29" s="1039"/>
      <c r="D29" s="1039"/>
      <c r="E29" s="1039"/>
      <c r="F29" s="1039"/>
      <c r="G29" s="1039"/>
      <c r="H29" s="1039"/>
      <c r="I29" s="1039"/>
    </row>
    <row r="30" spans="1:9" s="181" customFormat="1" ht="11.25" x14ac:dyDescent="0.2">
      <c r="C30" s="186"/>
    </row>
    <row r="31" spans="1:9" s="181" customFormat="1" ht="11.25" x14ac:dyDescent="0.2">
      <c r="A31" s="420" t="s">
        <v>105</v>
      </c>
      <c r="B31" s="420" t="s">
        <v>25</v>
      </c>
      <c r="C31" s="423" t="s">
        <v>106</v>
      </c>
      <c r="D31" s="1042" t="s">
        <v>107</v>
      </c>
      <c r="E31" s="1042"/>
      <c r="F31" s="1042"/>
      <c r="G31" s="1042"/>
      <c r="H31" s="1042"/>
      <c r="I31" s="1042"/>
    </row>
    <row r="32" spans="1:9" s="181" customFormat="1" ht="15" customHeight="1" x14ac:dyDescent="0.2">
      <c r="A32" s="218" t="s">
        <v>328</v>
      </c>
      <c r="B32" s="214"/>
      <c r="C32" s="219"/>
      <c r="D32" s="1065"/>
      <c r="E32" s="1066"/>
      <c r="F32" s="1066"/>
      <c r="G32" s="1066"/>
      <c r="H32" s="1066"/>
      <c r="I32" s="1067"/>
    </row>
    <row r="33" spans="1:9" s="180" customFormat="1" ht="11.25" x14ac:dyDescent="0.2">
      <c r="A33" s="217" t="s">
        <v>34</v>
      </c>
      <c r="B33" s="183">
        <f>SUM(B32:B32)</f>
        <v>0</v>
      </c>
      <c r="C33" s="1068"/>
      <c r="D33" s="1069"/>
      <c r="E33" s="1069"/>
      <c r="F33" s="1069"/>
      <c r="G33" s="1069"/>
      <c r="H33" s="1069"/>
      <c r="I33" s="1070"/>
    </row>
    <row r="34" spans="1:9" s="181" customFormat="1" ht="11.25" x14ac:dyDescent="0.2">
      <c r="C34" s="186"/>
    </row>
    <row r="35" spans="1:9" s="181" customFormat="1" ht="11.25" x14ac:dyDescent="0.2">
      <c r="A35" s="1039" t="s">
        <v>372</v>
      </c>
      <c r="B35" s="1039"/>
      <c r="C35" s="1039"/>
      <c r="D35" s="1039"/>
      <c r="E35" s="1039"/>
      <c r="F35" s="1039"/>
      <c r="G35" s="1039"/>
      <c r="H35" s="1039"/>
      <c r="I35" s="1039"/>
    </row>
    <row r="36" spans="1:9" s="181" customFormat="1" ht="11.25" x14ac:dyDescent="0.2">
      <c r="C36" s="186"/>
    </row>
    <row r="37" spans="1:9" s="181" customFormat="1" ht="11.25" x14ac:dyDescent="0.2">
      <c r="A37" s="420" t="s">
        <v>105</v>
      </c>
      <c r="B37" s="420" t="s">
        <v>25</v>
      </c>
      <c r="C37" s="423" t="s">
        <v>106</v>
      </c>
      <c r="D37" s="1071" t="s">
        <v>107</v>
      </c>
      <c r="E37" s="1071"/>
      <c r="F37" s="1071"/>
      <c r="G37" s="1071"/>
      <c r="H37" s="1071"/>
      <c r="I37" s="1072"/>
    </row>
    <row r="38" spans="1:9" s="181" customFormat="1" ht="15" customHeight="1" x14ac:dyDescent="0.2">
      <c r="A38" s="218" t="s">
        <v>328</v>
      </c>
      <c r="B38" s="214"/>
      <c r="C38" s="219"/>
      <c r="D38" s="1057"/>
      <c r="E38" s="1073"/>
      <c r="F38" s="1073"/>
      <c r="G38" s="1073"/>
      <c r="H38" s="1073"/>
      <c r="I38" s="1074"/>
    </row>
    <row r="39" spans="1:9" s="180" customFormat="1" ht="10.5" x14ac:dyDescent="0.15">
      <c r="A39" s="217" t="s">
        <v>34</v>
      </c>
      <c r="B39" s="183">
        <f>SUM(B38:B38)</f>
        <v>0</v>
      </c>
      <c r="C39" s="1075"/>
      <c r="D39" s="1076"/>
      <c r="E39" s="1076"/>
      <c r="F39" s="1076"/>
      <c r="G39" s="1076"/>
      <c r="H39" s="1076"/>
      <c r="I39" s="1076"/>
    </row>
    <row r="40" spans="1:9" s="181" customFormat="1" ht="11.25" x14ac:dyDescent="0.2">
      <c r="C40" s="186"/>
    </row>
    <row r="41" spans="1:9" s="181" customFormat="1" ht="11.25" x14ac:dyDescent="0.2">
      <c r="A41" s="1039" t="s">
        <v>374</v>
      </c>
      <c r="B41" s="1039"/>
      <c r="C41" s="1039"/>
      <c r="D41" s="1039"/>
      <c r="E41" s="1039"/>
      <c r="F41" s="1039"/>
      <c r="G41" s="1039"/>
      <c r="H41" s="1039"/>
      <c r="I41" s="1039"/>
    </row>
    <row r="42" spans="1:9" s="181" customFormat="1" ht="11.25" x14ac:dyDescent="0.2">
      <c r="C42" s="186"/>
    </row>
    <row r="43" spans="1:9" s="181" customFormat="1" ht="11.25" x14ac:dyDescent="0.2">
      <c r="A43" s="420" t="s">
        <v>25</v>
      </c>
      <c r="B43" s="423" t="s">
        <v>375</v>
      </c>
      <c r="C43" s="1077" t="s">
        <v>108</v>
      </c>
      <c r="D43" s="1077"/>
      <c r="E43" s="1077"/>
      <c r="F43" s="1077"/>
      <c r="G43" s="1077"/>
      <c r="H43" s="1077"/>
      <c r="I43" s="1078"/>
    </row>
    <row r="44" spans="1:9" s="181" customFormat="1" ht="11.25" x14ac:dyDescent="0.2">
      <c r="A44" s="228" t="s">
        <v>328</v>
      </c>
      <c r="B44" s="228"/>
      <c r="C44" s="1079"/>
      <c r="D44" s="1079"/>
      <c r="E44" s="1079"/>
      <c r="F44" s="1079"/>
      <c r="G44" s="1079"/>
      <c r="H44" s="1079"/>
      <c r="I44" s="1080"/>
    </row>
    <row r="45" spans="1:9" s="180" customFormat="1" ht="10.5" x14ac:dyDescent="0.15">
      <c r="A45" s="183" t="s">
        <v>34</v>
      </c>
      <c r="B45" s="183">
        <f>SUM(B44:B44)</f>
        <v>0</v>
      </c>
      <c r="C45" s="1081" t="s">
        <v>34</v>
      </c>
      <c r="D45" s="1081"/>
      <c r="E45" s="1081"/>
      <c r="F45" s="1081"/>
      <c r="G45" s="1081"/>
      <c r="H45" s="1081"/>
      <c r="I45" s="1082"/>
    </row>
    <row r="46" spans="1:9" s="181" customFormat="1" ht="11.25" x14ac:dyDescent="0.2">
      <c r="C46" s="186"/>
    </row>
    <row r="47" spans="1:9" s="181" customFormat="1" ht="11.25" x14ac:dyDescent="0.2">
      <c r="A47" s="1039" t="s">
        <v>377</v>
      </c>
      <c r="B47" s="1039"/>
      <c r="C47" s="1039"/>
      <c r="D47" s="1039"/>
      <c r="E47" s="1039"/>
      <c r="F47" s="1039"/>
      <c r="G47" s="1039"/>
      <c r="H47" s="1039"/>
      <c r="I47" s="1039"/>
    </row>
    <row r="48" spans="1:9" s="181" customFormat="1" ht="11.25" x14ac:dyDescent="0.2">
      <c r="C48" s="186"/>
    </row>
    <row r="49" spans="1:6" s="232" customFormat="1" ht="11.25" x14ac:dyDescent="0.2">
      <c r="A49" s="1042" t="s">
        <v>109</v>
      </c>
      <c r="B49" s="1042"/>
      <c r="C49" s="423" t="s">
        <v>110</v>
      </c>
      <c r="D49" s="420" t="s">
        <v>111</v>
      </c>
      <c r="E49" s="420" t="s">
        <v>25</v>
      </c>
    </row>
    <row r="50" spans="1:6" s="181" customFormat="1" ht="12" customHeight="1" x14ac:dyDescent="0.2">
      <c r="A50" s="1564" t="s">
        <v>1138</v>
      </c>
      <c r="B50" s="1565"/>
      <c r="C50" s="1552">
        <v>42916</v>
      </c>
      <c r="D50" s="1552">
        <v>42916</v>
      </c>
      <c r="E50" s="1554">
        <v>40000</v>
      </c>
      <c r="F50" s="181" t="s">
        <v>329</v>
      </c>
    </row>
    <row r="51" spans="1:6" s="181" customFormat="1" ht="12" customHeight="1" x14ac:dyDescent="0.2">
      <c r="A51" s="1569" t="s">
        <v>1139</v>
      </c>
      <c r="B51" s="1561"/>
      <c r="C51" s="1553"/>
      <c r="D51" s="1553"/>
      <c r="E51" s="1555"/>
    </row>
    <row r="52" spans="1:6" s="181" customFormat="1" ht="12" x14ac:dyDescent="0.2">
      <c r="A52" s="925" t="s">
        <v>1140</v>
      </c>
      <c r="B52" s="926"/>
      <c r="C52" s="927" t="s">
        <v>1141</v>
      </c>
      <c r="D52" s="928">
        <v>42947</v>
      </c>
      <c r="E52" s="1563">
        <v>160400</v>
      </c>
      <c r="F52" s="181" t="s">
        <v>329</v>
      </c>
    </row>
    <row r="53" spans="1:6" s="181" customFormat="1" ht="12" x14ac:dyDescent="0.2">
      <c r="A53" s="929" t="s">
        <v>1142</v>
      </c>
      <c r="B53" s="930"/>
      <c r="C53" s="931" t="s">
        <v>1143</v>
      </c>
      <c r="D53" s="931"/>
      <c r="E53" s="1553"/>
    </row>
    <row r="54" spans="1:6" s="181" customFormat="1" ht="12" customHeight="1" x14ac:dyDescent="0.2">
      <c r="A54" s="1564" t="s">
        <v>330</v>
      </c>
      <c r="B54" s="1565"/>
      <c r="C54" s="927" t="s">
        <v>1144</v>
      </c>
      <c r="D54" s="928">
        <v>42947</v>
      </c>
      <c r="E54" s="1554">
        <v>4200</v>
      </c>
      <c r="F54" s="181" t="s">
        <v>329</v>
      </c>
    </row>
    <row r="55" spans="1:6" s="181" customFormat="1" ht="12" customHeight="1" x14ac:dyDescent="0.2">
      <c r="A55" s="1566"/>
      <c r="B55" s="1561"/>
      <c r="C55" s="414" t="s">
        <v>1145</v>
      </c>
      <c r="D55" s="414"/>
      <c r="E55" s="1555"/>
    </row>
    <row r="56" spans="1:6" s="181" customFormat="1" ht="12" x14ac:dyDescent="0.2">
      <c r="A56" s="925" t="s">
        <v>1146</v>
      </c>
      <c r="B56" s="932"/>
      <c r="C56" s="933">
        <v>43008</v>
      </c>
      <c r="D56" s="933">
        <v>43008</v>
      </c>
      <c r="E56" s="934">
        <v>20000</v>
      </c>
      <c r="F56" s="181" t="s">
        <v>329</v>
      </c>
    </row>
    <row r="57" spans="1:6" s="181" customFormat="1" ht="12" x14ac:dyDescent="0.2">
      <c r="A57" s="925" t="s">
        <v>1140</v>
      </c>
      <c r="B57" s="926"/>
      <c r="C57" s="927" t="s">
        <v>1147</v>
      </c>
      <c r="D57" s="1562">
        <v>43039</v>
      </c>
      <c r="E57" s="1554">
        <v>29000</v>
      </c>
      <c r="F57" s="181" t="s">
        <v>329</v>
      </c>
    </row>
    <row r="58" spans="1:6" s="181" customFormat="1" ht="12" x14ac:dyDescent="0.2">
      <c r="A58" s="929" t="s">
        <v>1148</v>
      </c>
      <c r="B58" s="930"/>
      <c r="C58" s="931" t="s">
        <v>1149</v>
      </c>
      <c r="D58" s="1567"/>
      <c r="E58" s="1568"/>
    </row>
    <row r="59" spans="1:6" s="181" customFormat="1" ht="12" x14ac:dyDescent="0.2">
      <c r="A59" s="925" t="s">
        <v>1150</v>
      </c>
      <c r="B59" s="932"/>
      <c r="C59" s="1562">
        <v>43039</v>
      </c>
      <c r="D59" s="1562">
        <v>43039</v>
      </c>
      <c r="E59" s="1554">
        <v>1200</v>
      </c>
      <c r="F59" s="181" t="s">
        <v>329</v>
      </c>
    </row>
    <row r="60" spans="1:6" s="181" customFormat="1" ht="12" x14ac:dyDescent="0.2">
      <c r="A60" s="1560" t="s">
        <v>1151</v>
      </c>
      <c r="B60" s="1561"/>
      <c r="C60" s="1553"/>
      <c r="D60" s="1553"/>
      <c r="E60" s="1555"/>
    </row>
    <row r="61" spans="1:6" s="181" customFormat="1" ht="15" x14ac:dyDescent="0.2">
      <c r="A61" s="925" t="s">
        <v>1152</v>
      </c>
      <c r="B61" s="935"/>
      <c r="C61" s="1562">
        <v>43100</v>
      </c>
      <c r="D61" s="1562">
        <v>43100</v>
      </c>
      <c r="E61" s="1554">
        <v>1293643</v>
      </c>
      <c r="F61" s="181" t="s">
        <v>329</v>
      </c>
    </row>
    <row r="62" spans="1:6" s="181" customFormat="1" ht="15" x14ac:dyDescent="0.2">
      <c r="A62" s="929" t="s">
        <v>1153</v>
      </c>
      <c r="B62" s="936"/>
      <c r="C62" s="1558"/>
      <c r="D62" s="1558"/>
      <c r="E62" s="1559"/>
    </row>
    <row r="63" spans="1:6" s="181" customFormat="1" ht="15" x14ac:dyDescent="0.2">
      <c r="A63" s="929" t="s">
        <v>1154</v>
      </c>
      <c r="B63" s="936"/>
      <c r="C63" s="1558"/>
      <c r="D63" s="1558"/>
      <c r="E63" s="1559"/>
    </row>
    <row r="64" spans="1:6" s="181" customFormat="1" ht="12" x14ac:dyDescent="0.2">
      <c r="A64" s="1560" t="s">
        <v>1155</v>
      </c>
      <c r="B64" s="1561"/>
      <c r="C64" s="1553"/>
      <c r="D64" s="1553"/>
      <c r="E64" s="1555"/>
    </row>
    <row r="65" spans="1:9" s="181" customFormat="1" ht="12" x14ac:dyDescent="0.2">
      <c r="A65" s="937" t="s">
        <v>1156</v>
      </c>
      <c r="B65" s="938"/>
      <c r="C65" s="1552">
        <v>43100</v>
      </c>
      <c r="D65" s="1552">
        <v>43100</v>
      </c>
      <c r="E65" s="1554">
        <v>10617</v>
      </c>
      <c r="F65" s="181" t="s">
        <v>38</v>
      </c>
    </row>
    <row r="66" spans="1:9" s="181" customFormat="1" ht="12" x14ac:dyDescent="0.2">
      <c r="A66" s="1556" t="s">
        <v>1157</v>
      </c>
      <c r="B66" s="1557"/>
      <c r="C66" s="1553"/>
      <c r="D66" s="1553"/>
      <c r="E66" s="1555"/>
    </row>
    <row r="67" spans="1:9" s="181" customFormat="1" ht="15" x14ac:dyDescent="0.2">
      <c r="A67" s="925" t="s">
        <v>1158</v>
      </c>
      <c r="B67" s="939"/>
      <c r="C67" s="1552">
        <v>43100</v>
      </c>
      <c r="D67" s="1552">
        <v>43100</v>
      </c>
      <c r="E67" s="1554">
        <v>28548</v>
      </c>
      <c r="F67" s="181" t="s">
        <v>38</v>
      </c>
    </row>
    <row r="68" spans="1:9" s="181" customFormat="1" ht="15" x14ac:dyDescent="0.2">
      <c r="A68" s="929" t="s">
        <v>1159</v>
      </c>
      <c r="B68" s="940"/>
      <c r="C68" s="1558"/>
      <c r="D68" s="1558"/>
      <c r="E68" s="1559"/>
    </row>
    <row r="69" spans="1:9" s="181" customFormat="1" ht="15" x14ac:dyDescent="0.2">
      <c r="A69" s="929" t="s">
        <v>1160</v>
      </c>
      <c r="B69" s="940"/>
      <c r="C69" s="1558"/>
      <c r="D69" s="1558"/>
      <c r="E69" s="1559"/>
    </row>
    <row r="70" spans="1:9" s="181" customFormat="1" ht="12" x14ac:dyDescent="0.2">
      <c r="A70" s="1560" t="s">
        <v>1155</v>
      </c>
      <c r="B70" s="1561"/>
      <c r="C70" s="1553"/>
      <c r="D70" s="1553"/>
      <c r="E70" s="1555"/>
    </row>
    <row r="71" spans="1:9" s="181" customFormat="1" ht="11.25" x14ac:dyDescent="0.2">
      <c r="A71" s="255"/>
      <c r="B71" s="255"/>
      <c r="C71" s="293"/>
      <c r="D71" s="293"/>
      <c r="E71" s="294"/>
    </row>
    <row r="72" spans="1:9" s="181" customFormat="1" ht="12" x14ac:dyDescent="0.2">
      <c r="A72" s="1550" t="s">
        <v>1161</v>
      </c>
      <c r="B72" s="1551"/>
      <c r="C72" s="941"/>
      <c r="D72" s="941"/>
      <c r="E72" s="941"/>
      <c r="F72" s="941"/>
      <c r="G72" s="941"/>
    </row>
    <row r="73" spans="1:9" s="181" customFormat="1" ht="12" x14ac:dyDescent="0.2">
      <c r="A73" s="942" t="s">
        <v>1162</v>
      </c>
      <c r="B73" s="943"/>
      <c r="C73" s="941"/>
      <c r="D73" s="941"/>
      <c r="E73" s="941"/>
      <c r="F73" s="941"/>
      <c r="G73" s="941"/>
    </row>
    <row r="74" spans="1:9" s="181" customFormat="1" ht="12" x14ac:dyDescent="0.2">
      <c r="A74" s="942"/>
      <c r="B74" s="943"/>
      <c r="C74" s="941"/>
      <c r="D74" s="941"/>
      <c r="E74" s="941"/>
      <c r="F74" s="941"/>
      <c r="G74" s="941"/>
    </row>
    <row r="75" spans="1:9" s="181" customFormat="1" ht="11.25" x14ac:dyDescent="0.2">
      <c r="A75" s="426"/>
      <c r="B75" s="426"/>
      <c r="C75" s="237"/>
      <c r="D75" s="237"/>
      <c r="E75" s="238"/>
    </row>
    <row r="76" spans="1:9" s="181" customFormat="1" ht="11.25" x14ac:dyDescent="0.2">
      <c r="A76" s="1083" t="s">
        <v>397</v>
      </c>
      <c r="B76" s="1083"/>
      <c r="C76" s="1083"/>
      <c r="D76" s="1083"/>
      <c r="E76" s="1083"/>
      <c r="F76" s="1083"/>
      <c r="G76" s="1083"/>
      <c r="H76" s="1083"/>
      <c r="I76" s="1083"/>
    </row>
    <row r="77" spans="1:9" s="181" customFormat="1" ht="11.25" x14ac:dyDescent="0.2">
      <c r="A77" s="181" t="s">
        <v>1163</v>
      </c>
    </row>
    <row r="78" spans="1:9" s="181" customFormat="1" ht="11.25" x14ac:dyDescent="0.2">
      <c r="A78" s="1034"/>
      <c r="B78" s="1035"/>
      <c r="C78" s="1035"/>
      <c r="D78" s="1035"/>
      <c r="E78" s="1035"/>
      <c r="F78" s="1035"/>
      <c r="G78" s="1035"/>
      <c r="H78" s="1035"/>
      <c r="I78" s="1036"/>
    </row>
    <row r="79" spans="1:9" s="181" customFormat="1" ht="11.25" x14ac:dyDescent="0.2">
      <c r="A79" s="1034"/>
      <c r="B79" s="1035"/>
      <c r="C79" s="1035"/>
      <c r="D79" s="1035"/>
      <c r="E79" s="1035"/>
      <c r="F79" s="1035"/>
      <c r="G79" s="1035"/>
      <c r="H79" s="1035"/>
      <c r="I79" s="1036"/>
    </row>
    <row r="80" spans="1:9" s="181" customFormat="1" ht="0.75" customHeight="1" x14ac:dyDescent="0.2">
      <c r="A80" s="1034"/>
      <c r="B80" s="1035"/>
      <c r="C80" s="1035"/>
      <c r="D80" s="1035"/>
      <c r="E80" s="1035"/>
      <c r="F80" s="1035"/>
      <c r="G80" s="1035"/>
      <c r="H80" s="1035"/>
      <c r="I80" s="1036"/>
    </row>
    <row r="81" spans="1:9" s="181" customFormat="1" ht="11.25" hidden="1" x14ac:dyDescent="0.2"/>
    <row r="82" spans="1:9" s="180" customFormat="1" ht="10.5" x14ac:dyDescent="0.15">
      <c r="A82" s="1039" t="s">
        <v>399</v>
      </c>
      <c r="B82" s="1039"/>
      <c r="C82" s="1039"/>
      <c r="D82" s="1039"/>
      <c r="E82" s="1039"/>
      <c r="F82" s="1039"/>
      <c r="G82" s="1039"/>
      <c r="H82" s="1039"/>
      <c r="I82" s="1039"/>
    </row>
    <row r="83" spans="1:9" s="181" customFormat="1" ht="11.25" x14ac:dyDescent="0.2">
      <c r="A83" s="181" t="s">
        <v>112</v>
      </c>
    </row>
    <row r="84" spans="1:9" s="181" customFormat="1" ht="39.75" customHeight="1" x14ac:dyDescent="0.2">
      <c r="A84" s="1034" t="s">
        <v>1164</v>
      </c>
      <c r="B84" s="1035"/>
      <c r="C84" s="1035"/>
      <c r="D84" s="1035"/>
      <c r="E84" s="1035"/>
      <c r="F84" s="1035"/>
      <c r="G84" s="1035"/>
      <c r="H84" s="1035"/>
      <c r="I84" s="1036"/>
    </row>
    <row r="85" spans="1:9" s="181" customFormat="1" ht="27" customHeight="1" x14ac:dyDescent="0.2">
      <c r="A85" s="1034"/>
      <c r="B85" s="1035"/>
      <c r="C85" s="1035"/>
      <c r="D85" s="1035"/>
      <c r="E85" s="1035"/>
      <c r="F85" s="1035"/>
      <c r="G85" s="1035"/>
      <c r="H85" s="1035"/>
      <c r="I85" s="1036"/>
    </row>
    <row r="87" spans="1:9" x14ac:dyDescent="0.2">
      <c r="A87" s="411" t="s">
        <v>1165</v>
      </c>
    </row>
    <row r="88" spans="1:9" x14ac:dyDescent="0.2">
      <c r="A88" s="607" t="s">
        <v>1166</v>
      </c>
    </row>
    <row r="89" spans="1:9" x14ac:dyDescent="0.2">
      <c r="A89" s="607" t="s">
        <v>1167</v>
      </c>
      <c r="C89" s="240" t="s">
        <v>1168</v>
      </c>
    </row>
  </sheetData>
  <mergeCells count="71">
    <mergeCell ref="C43:I43"/>
    <mergeCell ref="C39:I39"/>
    <mergeCell ref="A41:I41"/>
    <mergeCell ref="C44:I44"/>
    <mergeCell ref="A15:A17"/>
    <mergeCell ref="A35:I35"/>
    <mergeCell ref="D38:I38"/>
    <mergeCell ref="D37:I37"/>
    <mergeCell ref="A3:I3"/>
    <mergeCell ref="A5:B5"/>
    <mergeCell ref="D5:I5"/>
    <mergeCell ref="A6:B6"/>
    <mergeCell ref="D6:I6"/>
    <mergeCell ref="A7:B7"/>
    <mergeCell ref="D7:I7"/>
    <mergeCell ref="A8:B8"/>
    <mergeCell ref="D8:I8"/>
    <mergeCell ref="A9:B9"/>
    <mergeCell ref="D9:I9"/>
    <mergeCell ref="A11:I11"/>
    <mergeCell ref="D17:I17"/>
    <mergeCell ref="D18:I18"/>
    <mergeCell ref="D32:I32"/>
    <mergeCell ref="C33:I33"/>
    <mergeCell ref="A20:I20"/>
    <mergeCell ref="F22:I22"/>
    <mergeCell ref="F23:I23"/>
    <mergeCell ref="F24:I24"/>
    <mergeCell ref="F25:I25"/>
    <mergeCell ref="F26:I26"/>
    <mergeCell ref="F27:I27"/>
    <mergeCell ref="A29:I29"/>
    <mergeCell ref="D31:I31"/>
    <mergeCell ref="C45:I45"/>
    <mergeCell ref="A47:I47"/>
    <mergeCell ref="A49:B49"/>
    <mergeCell ref="A50:B50"/>
    <mergeCell ref="C50:C51"/>
    <mergeCell ref="D50:D51"/>
    <mergeCell ref="E50:E51"/>
    <mergeCell ref="A51:B51"/>
    <mergeCell ref="E52:E53"/>
    <mergeCell ref="A54:B54"/>
    <mergeCell ref="E54:E55"/>
    <mergeCell ref="A55:B55"/>
    <mergeCell ref="D57:D58"/>
    <mergeCell ref="E57:E58"/>
    <mergeCell ref="C59:C60"/>
    <mergeCell ref="D59:D60"/>
    <mergeCell ref="E59:E60"/>
    <mergeCell ref="A60:B60"/>
    <mergeCell ref="C61:C64"/>
    <mergeCell ref="D61:D64"/>
    <mergeCell ref="E61:E64"/>
    <mergeCell ref="A64:B64"/>
    <mergeCell ref="C65:C66"/>
    <mergeCell ref="D65:D66"/>
    <mergeCell ref="E65:E66"/>
    <mergeCell ref="A66:B66"/>
    <mergeCell ref="C67:C70"/>
    <mergeCell ref="D67:D70"/>
    <mergeCell ref="E67:E70"/>
    <mergeCell ref="A70:B70"/>
    <mergeCell ref="A82:I82"/>
    <mergeCell ref="A84:I84"/>
    <mergeCell ref="A85:I85"/>
    <mergeCell ref="A72:B72"/>
    <mergeCell ref="A76:I76"/>
    <mergeCell ref="A78:I78"/>
    <mergeCell ref="A79:I79"/>
    <mergeCell ref="A80:I80"/>
  </mergeCells>
  <pageMargins left="0.70866141732283472" right="0.70866141732283472" top="0.78740157480314965" bottom="0.78740157480314965" header="0.31496062992125984" footer="0.31496062992125984"/>
  <pageSetup paperSize="9" scale="73" firstPageNumber="132" fitToHeight="8" orientation="portrait" useFirstPageNumber="1" r:id="rId1"/>
  <headerFoot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zoomScale="150" zoomScaleNormal="150" workbookViewId="0">
      <selection activeCell="A107" sqref="A107:XFD107"/>
    </sheetView>
  </sheetViews>
  <sheetFormatPr defaultColWidth="6.5" defaultRowHeight="8.25" x14ac:dyDescent="0.15"/>
  <cols>
    <col min="1" max="1" width="5.5" style="1" customWidth="1"/>
    <col min="2" max="2" width="6.5" customWidth="1"/>
    <col min="3" max="3" width="36.75" customWidth="1"/>
    <col min="4" max="4" width="9.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2" customFormat="1" ht="15.75" x14ac:dyDescent="0.25">
      <c r="A1" s="1019" t="s">
        <v>90</v>
      </c>
      <c r="B1" s="1019"/>
      <c r="C1" s="1019"/>
      <c r="D1" s="1019"/>
      <c r="E1" s="1019"/>
      <c r="F1" s="1019"/>
      <c r="G1" s="1019"/>
      <c r="H1" s="1019"/>
      <c r="I1" s="1019"/>
      <c r="J1" s="1019"/>
      <c r="K1" s="1019"/>
      <c r="L1" s="1019"/>
      <c r="M1" s="1019"/>
      <c r="N1" s="1019"/>
      <c r="O1" s="1019"/>
      <c r="P1" s="1019"/>
      <c r="Q1" s="1019"/>
      <c r="R1" s="1019"/>
      <c r="S1" s="1019"/>
      <c r="T1" s="1019"/>
      <c r="U1" s="1019"/>
      <c r="V1" s="1019"/>
      <c r="W1" s="1019"/>
      <c r="X1" s="1019"/>
    </row>
    <row r="3" spans="1:24" s="3" customFormat="1" ht="9.75" customHeight="1" x14ac:dyDescent="0.2">
      <c r="A3" s="1012" t="s">
        <v>40</v>
      </c>
      <c r="B3" s="1022" t="s">
        <v>41</v>
      </c>
      <c r="C3" s="1023"/>
      <c r="D3" s="1028" t="s">
        <v>42</v>
      </c>
      <c r="E3" s="1031" t="s">
        <v>34</v>
      </c>
      <c r="F3" s="1032"/>
      <c r="G3" s="1032"/>
      <c r="H3" s="1032"/>
      <c r="I3" s="1033"/>
      <c r="J3" s="1031" t="s">
        <v>39</v>
      </c>
      <c r="K3" s="1032"/>
      <c r="L3" s="1032"/>
      <c r="M3" s="1032"/>
      <c r="N3" s="1033"/>
      <c r="O3" s="1031" t="s">
        <v>43</v>
      </c>
      <c r="P3" s="1032"/>
      <c r="Q3" s="1032"/>
      <c r="R3" s="1032"/>
      <c r="S3" s="1033"/>
      <c r="T3" s="1031" t="s">
        <v>38</v>
      </c>
      <c r="U3" s="1032"/>
      <c r="V3" s="1032"/>
      <c r="W3" s="1032"/>
      <c r="X3" s="1033"/>
    </row>
    <row r="4" spans="1:24" s="4" customFormat="1" ht="9.75" customHeight="1" x14ac:dyDescent="0.2">
      <c r="A4" s="1020"/>
      <c r="B4" s="1024"/>
      <c r="C4" s="1025"/>
      <c r="D4" s="1029"/>
      <c r="E4" s="1014" t="s">
        <v>44</v>
      </c>
      <c r="F4" s="1016" t="s">
        <v>336</v>
      </c>
      <c r="G4" s="1017"/>
      <c r="H4" s="1018"/>
      <c r="I4" s="1012" t="s">
        <v>337</v>
      </c>
      <c r="J4" s="1014" t="s">
        <v>44</v>
      </c>
      <c r="K4" s="1016" t="s">
        <v>336</v>
      </c>
      <c r="L4" s="1017"/>
      <c r="M4" s="1018"/>
      <c r="N4" s="1012" t="s">
        <v>337</v>
      </c>
      <c r="O4" s="1014" t="s">
        <v>44</v>
      </c>
      <c r="P4" s="1016" t="s">
        <v>336</v>
      </c>
      <c r="Q4" s="1017"/>
      <c r="R4" s="1018"/>
      <c r="S4" s="1012" t="s">
        <v>337</v>
      </c>
      <c r="T4" s="1014" t="s">
        <v>44</v>
      </c>
      <c r="U4" s="1016" t="s">
        <v>336</v>
      </c>
      <c r="V4" s="1017"/>
      <c r="W4" s="1018"/>
      <c r="X4" s="1012" t="s">
        <v>337</v>
      </c>
    </row>
    <row r="5" spans="1:24" s="5" customFormat="1" ht="9.75" customHeight="1" x14ac:dyDescent="0.2">
      <c r="A5" s="1021"/>
      <c r="B5" s="1026"/>
      <c r="C5" s="1027"/>
      <c r="D5" s="1030"/>
      <c r="E5" s="1015"/>
      <c r="F5" s="14" t="s">
        <v>35</v>
      </c>
      <c r="G5" s="15" t="s">
        <v>36</v>
      </c>
      <c r="H5" s="14" t="s">
        <v>37</v>
      </c>
      <c r="I5" s="1013"/>
      <c r="J5" s="1015"/>
      <c r="K5" s="14" t="s">
        <v>35</v>
      </c>
      <c r="L5" s="15" t="s">
        <v>36</v>
      </c>
      <c r="M5" s="14" t="s">
        <v>37</v>
      </c>
      <c r="N5" s="1013"/>
      <c r="O5" s="1015"/>
      <c r="P5" s="14" t="s">
        <v>35</v>
      </c>
      <c r="Q5" s="15" t="s">
        <v>36</v>
      </c>
      <c r="R5" s="14" t="s">
        <v>37</v>
      </c>
      <c r="S5" s="1013"/>
      <c r="T5" s="1015"/>
      <c r="U5" s="14" t="s">
        <v>35</v>
      </c>
      <c r="V5" s="15" t="s">
        <v>36</v>
      </c>
      <c r="W5" s="14" t="s">
        <v>37</v>
      </c>
      <c r="X5" s="1013"/>
    </row>
    <row r="6" spans="1:24" s="3" customFormat="1" ht="9.75" customHeight="1" x14ac:dyDescent="0.2">
      <c r="A6" s="16" t="s">
        <v>0</v>
      </c>
      <c r="B6" s="1007" t="s">
        <v>1</v>
      </c>
      <c r="C6" s="1007"/>
      <c r="D6" s="17" t="s">
        <v>25</v>
      </c>
      <c r="E6" s="52">
        <f>SUM(E7:E9)</f>
        <v>2659650</v>
      </c>
      <c r="F6" s="52">
        <f>SUM(F7:F9)</f>
        <v>2797880</v>
      </c>
      <c r="G6" s="52">
        <f>SUM(G7:G9)</f>
        <v>2817093</v>
      </c>
      <c r="H6" s="18">
        <f t="shared" ref="H6:H36" si="0">G6/F6*100</f>
        <v>100.68669850029308</v>
      </c>
      <c r="I6" s="52">
        <f>SUM(I7:I9)</f>
        <v>2645132</v>
      </c>
      <c r="J6" s="52">
        <f>SUM(J7:J9)</f>
        <v>2659650</v>
      </c>
      <c r="K6" s="52">
        <f t="shared" ref="K6:N6" si="1">SUM(K7:K9)</f>
        <v>2797880</v>
      </c>
      <c r="L6" s="52">
        <f t="shared" si="1"/>
        <v>2817093</v>
      </c>
      <c r="M6" s="18">
        <f t="shared" ref="M6:M36" si="2">L6/K6*100</f>
        <v>100.68669850029308</v>
      </c>
      <c r="N6" s="69">
        <f t="shared" si="1"/>
        <v>2645132</v>
      </c>
      <c r="O6" s="52"/>
      <c r="P6" s="52"/>
      <c r="Q6" s="52"/>
      <c r="R6" s="18"/>
      <c r="S6" s="52"/>
      <c r="T6" s="52"/>
      <c r="U6" s="52"/>
      <c r="V6" s="52"/>
      <c r="W6" s="18"/>
      <c r="X6" s="52"/>
    </row>
    <row r="7" spans="1:24" s="3" customFormat="1" ht="9.75" x14ac:dyDescent="0.2">
      <c r="A7" s="19" t="s">
        <v>2</v>
      </c>
      <c r="B7" s="1010" t="s">
        <v>46</v>
      </c>
      <c r="C7" s="1011"/>
      <c r="D7" s="47" t="s">
        <v>25</v>
      </c>
      <c r="E7" s="53">
        <f t="shared" ref="E7:G9" si="3">SUM(J7,O7)</f>
        <v>482950</v>
      </c>
      <c r="F7" s="54">
        <f t="shared" si="3"/>
        <v>528254</v>
      </c>
      <c r="G7" s="54">
        <f t="shared" si="3"/>
        <v>547467</v>
      </c>
      <c r="H7" s="6">
        <f t="shared" si="0"/>
        <v>103.63707610354109</v>
      </c>
      <c r="I7" s="60">
        <v>552332</v>
      </c>
      <c r="J7" s="61">
        <v>482950</v>
      </c>
      <c r="K7" s="62">
        <v>528254</v>
      </c>
      <c r="L7" s="62">
        <v>547467</v>
      </c>
      <c r="M7" s="6">
        <f t="shared" si="2"/>
        <v>103.63707610354109</v>
      </c>
      <c r="N7" s="76">
        <v>552332</v>
      </c>
      <c r="O7" s="77"/>
      <c r="P7" s="62"/>
      <c r="Q7" s="62"/>
      <c r="R7" s="6"/>
      <c r="S7" s="76"/>
      <c r="T7" s="77"/>
      <c r="U7" s="62"/>
      <c r="V7" s="62"/>
      <c r="W7" s="6"/>
      <c r="X7" s="91"/>
    </row>
    <row r="8" spans="1:24" s="3" customFormat="1" ht="9.75" x14ac:dyDescent="0.2">
      <c r="A8" s="20" t="s">
        <v>3</v>
      </c>
      <c r="B8" s="1005" t="s">
        <v>47</v>
      </c>
      <c r="C8" s="1006"/>
      <c r="D8" s="48" t="s">
        <v>25</v>
      </c>
      <c r="E8" s="55"/>
      <c r="F8" s="56"/>
      <c r="G8" s="56"/>
      <c r="H8" s="7"/>
      <c r="I8" s="63">
        <v>0</v>
      </c>
      <c r="J8" s="64"/>
      <c r="K8" s="56"/>
      <c r="L8" s="56"/>
      <c r="M8" s="7"/>
      <c r="N8" s="63">
        <v>0</v>
      </c>
      <c r="O8" s="55"/>
      <c r="P8" s="56"/>
      <c r="Q8" s="56"/>
      <c r="R8" s="7"/>
      <c r="S8" s="63"/>
      <c r="T8" s="55"/>
      <c r="U8" s="56"/>
      <c r="V8" s="56"/>
      <c r="W8" s="7"/>
      <c r="X8" s="92"/>
    </row>
    <row r="9" spans="1:24" s="3" customFormat="1" ht="9.75" x14ac:dyDescent="0.2">
      <c r="A9" s="21" t="s">
        <v>4</v>
      </c>
      <c r="B9" s="22" t="s">
        <v>62</v>
      </c>
      <c r="C9" s="23"/>
      <c r="D9" s="50" t="s">
        <v>25</v>
      </c>
      <c r="E9" s="57">
        <f t="shared" si="3"/>
        <v>2176700</v>
      </c>
      <c r="F9" s="58">
        <f t="shared" si="3"/>
        <v>2269626</v>
      </c>
      <c r="G9" s="58">
        <f t="shared" si="3"/>
        <v>2269626</v>
      </c>
      <c r="H9" s="24">
        <f t="shared" si="0"/>
        <v>100</v>
      </c>
      <c r="I9" s="65">
        <f>SUM(N9,S9)</f>
        <v>2092800</v>
      </c>
      <c r="J9" s="66">
        <v>2176700</v>
      </c>
      <c r="K9" s="58">
        <v>2269626</v>
      </c>
      <c r="L9" s="58">
        <v>2269626</v>
      </c>
      <c r="M9" s="24">
        <f t="shared" si="2"/>
        <v>100</v>
      </c>
      <c r="N9" s="65">
        <v>2092800</v>
      </c>
      <c r="O9" s="57"/>
      <c r="P9" s="58"/>
      <c r="Q9" s="58"/>
      <c r="R9" s="24"/>
      <c r="S9" s="65"/>
      <c r="T9" s="57"/>
      <c r="U9" s="58"/>
      <c r="V9" s="58"/>
      <c r="W9" s="24"/>
      <c r="X9" s="93"/>
    </row>
    <row r="10" spans="1:24" s="3" customFormat="1" ht="9.75" x14ac:dyDescent="0.2">
      <c r="A10" s="16" t="s">
        <v>5</v>
      </c>
      <c r="B10" s="1007" t="s">
        <v>7</v>
      </c>
      <c r="C10" s="1007"/>
      <c r="D10" s="25" t="s">
        <v>25</v>
      </c>
      <c r="E10" s="59"/>
      <c r="F10" s="59"/>
      <c r="G10" s="59"/>
      <c r="H10" s="18"/>
      <c r="I10" s="67"/>
      <c r="J10" s="68"/>
      <c r="K10" s="59"/>
      <c r="L10" s="59"/>
      <c r="M10" s="18"/>
      <c r="N10" s="67"/>
      <c r="O10" s="59"/>
      <c r="P10" s="59"/>
      <c r="Q10" s="59"/>
      <c r="R10" s="18"/>
      <c r="S10" s="67"/>
      <c r="T10" s="59"/>
      <c r="U10" s="59"/>
      <c r="V10" s="59"/>
      <c r="W10" s="18"/>
      <c r="X10" s="59"/>
    </row>
    <row r="11" spans="1:24" s="3" customFormat="1" ht="9.75" x14ac:dyDescent="0.2">
      <c r="A11" s="16" t="s">
        <v>6</v>
      </c>
      <c r="B11" s="1007" t="s">
        <v>9</v>
      </c>
      <c r="C11" s="1007"/>
      <c r="D11" s="25" t="s">
        <v>25</v>
      </c>
      <c r="E11" s="52">
        <f>SUM(E12:E31)</f>
        <v>2659650</v>
      </c>
      <c r="F11" s="52">
        <f>SUM(F12:F31)</f>
        <v>2797880</v>
      </c>
      <c r="G11" s="52">
        <f>SUM(G12:G31)</f>
        <v>2727031.45</v>
      </c>
      <c r="H11" s="18">
        <f t="shared" si="0"/>
        <v>97.467777388594229</v>
      </c>
      <c r="I11" s="69">
        <f>SUM(I12:I31)</f>
        <v>2595263</v>
      </c>
      <c r="J11" s="52">
        <f>SUM(J12:J31)</f>
        <v>2659650</v>
      </c>
      <c r="K11" s="52">
        <f>SUM(K12:K31)</f>
        <v>2797880</v>
      </c>
      <c r="L11" s="52">
        <f>SUM(L12:L31)</f>
        <v>2727031.45</v>
      </c>
      <c r="M11" s="18">
        <f t="shared" si="2"/>
        <v>97.467777388594229</v>
      </c>
      <c r="N11" s="69">
        <f>SUM(N12:N31)</f>
        <v>2595263</v>
      </c>
      <c r="O11" s="52"/>
      <c r="P11" s="52"/>
      <c r="Q11" s="52"/>
      <c r="R11" s="18"/>
      <c r="S11" s="69"/>
      <c r="T11" s="52"/>
      <c r="U11" s="52"/>
      <c r="V11" s="52"/>
      <c r="W11" s="18"/>
      <c r="X11" s="52"/>
    </row>
    <row r="12" spans="1:24" s="3" customFormat="1" ht="9.75" x14ac:dyDescent="0.2">
      <c r="A12" s="26" t="s">
        <v>8</v>
      </c>
      <c r="B12" s="1008" t="s">
        <v>28</v>
      </c>
      <c r="C12" s="1009"/>
      <c r="D12" s="51" t="s">
        <v>25</v>
      </c>
      <c r="E12" s="53">
        <f t="shared" ref="E12:I21" si="4">SUM(J12,O12)</f>
        <v>53796</v>
      </c>
      <c r="F12" s="54">
        <f t="shared" si="4"/>
        <v>53796</v>
      </c>
      <c r="G12" s="54">
        <f t="shared" si="4"/>
        <v>51681</v>
      </c>
      <c r="H12" s="6">
        <f t="shared" si="0"/>
        <v>96.068480927950034</v>
      </c>
      <c r="I12" s="60">
        <f t="shared" si="4"/>
        <v>64722</v>
      </c>
      <c r="J12" s="70">
        <v>53796</v>
      </c>
      <c r="K12" s="71">
        <v>53796</v>
      </c>
      <c r="L12" s="71">
        <v>51681</v>
      </c>
      <c r="M12" s="6">
        <f t="shared" si="2"/>
        <v>96.068480927950034</v>
      </c>
      <c r="N12" s="78">
        <v>64722</v>
      </c>
      <c r="O12" s="79"/>
      <c r="P12" s="71"/>
      <c r="Q12" s="71"/>
      <c r="R12" s="6"/>
      <c r="S12" s="83"/>
      <c r="T12" s="79"/>
      <c r="U12" s="71"/>
      <c r="V12" s="71"/>
      <c r="W12" s="6"/>
      <c r="X12" s="94"/>
    </row>
    <row r="13" spans="1:24" s="3" customFormat="1" ht="9.75" x14ac:dyDescent="0.2">
      <c r="A13" s="27" t="s">
        <v>10</v>
      </c>
      <c r="B13" s="997" t="s">
        <v>29</v>
      </c>
      <c r="C13" s="998"/>
      <c r="D13" s="48" t="s">
        <v>25</v>
      </c>
      <c r="E13" s="55">
        <f t="shared" si="4"/>
        <v>283000</v>
      </c>
      <c r="F13" s="56">
        <f t="shared" si="4"/>
        <v>278500</v>
      </c>
      <c r="G13" s="56">
        <f t="shared" si="4"/>
        <v>217678</v>
      </c>
      <c r="H13" s="7">
        <f t="shared" si="0"/>
        <v>78.160861759425487</v>
      </c>
      <c r="I13" s="63">
        <f t="shared" si="4"/>
        <v>212569</v>
      </c>
      <c r="J13" s="72">
        <v>283000</v>
      </c>
      <c r="K13" s="56">
        <v>278500</v>
      </c>
      <c r="L13" s="56">
        <v>217678</v>
      </c>
      <c r="M13" s="7">
        <f t="shared" si="2"/>
        <v>78.160861759425487</v>
      </c>
      <c r="N13" s="63">
        <v>212569</v>
      </c>
      <c r="O13" s="55"/>
      <c r="P13" s="56"/>
      <c r="Q13" s="56"/>
      <c r="R13" s="7"/>
      <c r="S13" s="63"/>
      <c r="T13" s="55"/>
      <c r="U13" s="56"/>
      <c r="V13" s="56"/>
      <c r="W13" s="7"/>
      <c r="X13" s="92"/>
    </row>
    <row r="14" spans="1:24" s="3" customFormat="1" ht="9.75" x14ac:dyDescent="0.2">
      <c r="A14" s="27" t="s">
        <v>11</v>
      </c>
      <c r="B14" s="418" t="s">
        <v>63</v>
      </c>
      <c r="C14" s="419"/>
      <c r="D14" s="48" t="s">
        <v>25</v>
      </c>
      <c r="E14" s="55"/>
      <c r="F14" s="56"/>
      <c r="G14" s="56"/>
      <c r="H14" s="7"/>
      <c r="I14" s="63"/>
      <c r="J14" s="72"/>
      <c r="K14" s="56"/>
      <c r="L14" s="56"/>
      <c r="M14" s="7"/>
      <c r="N14" s="63"/>
      <c r="O14" s="55"/>
      <c r="P14" s="56"/>
      <c r="Q14" s="56"/>
      <c r="R14" s="7"/>
      <c r="S14" s="63"/>
      <c r="T14" s="55"/>
      <c r="U14" s="56"/>
      <c r="V14" s="56"/>
      <c r="W14" s="7"/>
      <c r="X14" s="92"/>
    </row>
    <row r="15" spans="1:24" s="3" customFormat="1" ht="9.75" x14ac:dyDescent="0.2">
      <c r="A15" s="27" t="s">
        <v>12</v>
      </c>
      <c r="B15" s="997" t="s">
        <v>64</v>
      </c>
      <c r="C15" s="998"/>
      <c r="D15" s="48" t="s">
        <v>25</v>
      </c>
      <c r="E15" s="55">
        <f t="shared" si="4"/>
        <v>7000</v>
      </c>
      <c r="F15" s="56">
        <f t="shared" si="4"/>
        <v>11500</v>
      </c>
      <c r="G15" s="56">
        <f t="shared" si="4"/>
        <v>11138</v>
      </c>
      <c r="H15" s="7">
        <f t="shared" si="0"/>
        <v>96.852173913043487</v>
      </c>
      <c r="I15" s="63">
        <f t="shared" si="4"/>
        <v>4391</v>
      </c>
      <c r="J15" s="72">
        <v>7000</v>
      </c>
      <c r="K15" s="56">
        <v>11500</v>
      </c>
      <c r="L15" s="56">
        <v>11138</v>
      </c>
      <c r="M15" s="7">
        <f t="shared" si="2"/>
        <v>96.852173913043487</v>
      </c>
      <c r="N15" s="63">
        <v>4391</v>
      </c>
      <c r="O15" s="55"/>
      <c r="P15" s="56"/>
      <c r="Q15" s="56"/>
      <c r="R15" s="7"/>
      <c r="S15" s="63"/>
      <c r="T15" s="55"/>
      <c r="U15" s="56"/>
      <c r="V15" s="56"/>
      <c r="W15" s="7"/>
      <c r="X15" s="92"/>
    </row>
    <row r="16" spans="1:24" s="3" customFormat="1" ht="9.75" x14ac:dyDescent="0.2">
      <c r="A16" s="27" t="s">
        <v>13</v>
      </c>
      <c r="B16" s="997" t="s">
        <v>30</v>
      </c>
      <c r="C16" s="998"/>
      <c r="D16" s="48" t="s">
        <v>25</v>
      </c>
      <c r="E16" s="55">
        <f t="shared" si="4"/>
        <v>500</v>
      </c>
      <c r="F16" s="56">
        <f t="shared" si="4"/>
        <v>500</v>
      </c>
      <c r="G16" s="56">
        <f t="shared" si="4"/>
        <v>0</v>
      </c>
      <c r="H16" s="7">
        <f t="shared" si="0"/>
        <v>0</v>
      </c>
      <c r="I16" s="63">
        <f t="shared" si="4"/>
        <v>807</v>
      </c>
      <c r="J16" s="72">
        <v>500</v>
      </c>
      <c r="K16" s="56">
        <v>500</v>
      </c>
      <c r="L16" s="56"/>
      <c r="M16" s="7">
        <f t="shared" si="2"/>
        <v>0</v>
      </c>
      <c r="N16" s="63">
        <v>807</v>
      </c>
      <c r="O16" s="55"/>
      <c r="P16" s="56"/>
      <c r="Q16" s="56"/>
      <c r="R16" s="7"/>
      <c r="S16" s="63"/>
      <c r="T16" s="55"/>
      <c r="U16" s="56"/>
      <c r="V16" s="56"/>
      <c r="W16" s="7"/>
      <c r="X16" s="92"/>
    </row>
    <row r="17" spans="1:24" s="3" customFormat="1" ht="9.75" x14ac:dyDescent="0.2">
      <c r="A17" s="27" t="s">
        <v>14</v>
      </c>
      <c r="B17" s="418" t="s">
        <v>48</v>
      </c>
      <c r="C17" s="419"/>
      <c r="D17" s="48" t="s">
        <v>25</v>
      </c>
      <c r="E17" s="55">
        <f t="shared" si="4"/>
        <v>700</v>
      </c>
      <c r="F17" s="56">
        <f t="shared" si="4"/>
        <v>700</v>
      </c>
      <c r="G17" s="56">
        <f t="shared" si="4"/>
        <v>644</v>
      </c>
      <c r="H17" s="7">
        <f t="shared" si="0"/>
        <v>92</v>
      </c>
      <c r="I17" s="63">
        <f t="shared" si="4"/>
        <v>652</v>
      </c>
      <c r="J17" s="72">
        <v>700</v>
      </c>
      <c r="K17" s="56">
        <v>700</v>
      </c>
      <c r="L17" s="56">
        <v>644</v>
      </c>
      <c r="M17" s="7">
        <f t="shared" si="2"/>
        <v>92</v>
      </c>
      <c r="N17" s="63">
        <v>652</v>
      </c>
      <c r="O17" s="55"/>
      <c r="P17" s="56"/>
      <c r="Q17" s="56"/>
      <c r="R17" s="7"/>
      <c r="S17" s="63"/>
      <c r="T17" s="55"/>
      <c r="U17" s="56"/>
      <c r="V17" s="56"/>
      <c r="W17" s="7"/>
      <c r="X17" s="92"/>
    </row>
    <row r="18" spans="1:24" s="3" customFormat="1" ht="9.75" x14ac:dyDescent="0.2">
      <c r="A18" s="27" t="s">
        <v>15</v>
      </c>
      <c r="B18" s="997" t="s">
        <v>31</v>
      </c>
      <c r="C18" s="998"/>
      <c r="D18" s="48" t="s">
        <v>25</v>
      </c>
      <c r="E18" s="55">
        <f t="shared" si="4"/>
        <v>239276</v>
      </c>
      <c r="F18" s="56">
        <f t="shared" si="4"/>
        <v>239276</v>
      </c>
      <c r="G18" s="56">
        <f t="shared" si="4"/>
        <v>235392.45</v>
      </c>
      <c r="H18" s="7">
        <f t="shared" si="0"/>
        <v>98.376957989936315</v>
      </c>
      <c r="I18" s="63">
        <f t="shared" si="4"/>
        <v>227790</v>
      </c>
      <c r="J18" s="72">
        <v>239276</v>
      </c>
      <c r="K18" s="56">
        <v>239276</v>
      </c>
      <c r="L18" s="56">
        <v>235392.45</v>
      </c>
      <c r="M18" s="7">
        <f t="shared" si="2"/>
        <v>98.376957989936315</v>
      </c>
      <c r="N18" s="63">
        <v>227790</v>
      </c>
      <c r="O18" s="55"/>
      <c r="P18" s="56"/>
      <c r="Q18" s="56"/>
      <c r="R18" s="7"/>
      <c r="S18" s="63"/>
      <c r="T18" s="55"/>
      <c r="U18" s="56"/>
      <c r="V18" s="56"/>
      <c r="W18" s="7"/>
      <c r="X18" s="92"/>
    </row>
    <row r="19" spans="1:24" s="8" customFormat="1" ht="9.75" x14ac:dyDescent="0.2">
      <c r="A19" s="27" t="s">
        <v>16</v>
      </c>
      <c r="B19" s="997" t="s">
        <v>32</v>
      </c>
      <c r="C19" s="998"/>
      <c r="D19" s="48" t="s">
        <v>25</v>
      </c>
      <c r="E19" s="55">
        <f t="shared" si="4"/>
        <v>1500748</v>
      </c>
      <c r="F19" s="56">
        <f t="shared" si="4"/>
        <v>1596867</v>
      </c>
      <c r="G19" s="56">
        <f t="shared" si="4"/>
        <v>1596867</v>
      </c>
      <c r="H19" s="7">
        <f t="shared" si="0"/>
        <v>100</v>
      </c>
      <c r="I19" s="63">
        <f t="shared" si="4"/>
        <v>1480471</v>
      </c>
      <c r="J19" s="73">
        <v>1500748</v>
      </c>
      <c r="K19" s="56">
        <v>1596867</v>
      </c>
      <c r="L19" s="56">
        <v>1596867</v>
      </c>
      <c r="M19" s="7">
        <f t="shared" si="2"/>
        <v>100</v>
      </c>
      <c r="N19" s="63">
        <v>1480471</v>
      </c>
      <c r="O19" s="55"/>
      <c r="P19" s="56"/>
      <c r="Q19" s="56"/>
      <c r="R19" s="7"/>
      <c r="S19" s="63"/>
      <c r="T19" s="84"/>
      <c r="U19" s="85"/>
      <c r="V19" s="85"/>
      <c r="W19" s="7"/>
      <c r="X19" s="95"/>
    </row>
    <row r="20" spans="1:24" s="3" customFormat="1" ht="9.75" x14ac:dyDescent="0.2">
      <c r="A20" s="27" t="s">
        <v>17</v>
      </c>
      <c r="B20" s="997" t="s">
        <v>49</v>
      </c>
      <c r="C20" s="998"/>
      <c r="D20" s="48" t="s">
        <v>25</v>
      </c>
      <c r="E20" s="55">
        <f t="shared" si="4"/>
        <v>516557</v>
      </c>
      <c r="F20" s="56">
        <f t="shared" si="4"/>
        <v>549641</v>
      </c>
      <c r="G20" s="56">
        <f t="shared" si="4"/>
        <v>549641</v>
      </c>
      <c r="H20" s="7">
        <f t="shared" si="0"/>
        <v>100</v>
      </c>
      <c r="I20" s="63">
        <f t="shared" si="4"/>
        <v>509579</v>
      </c>
      <c r="J20" s="72">
        <v>516557</v>
      </c>
      <c r="K20" s="56">
        <v>549641</v>
      </c>
      <c r="L20" s="56">
        <v>549641</v>
      </c>
      <c r="M20" s="7">
        <f t="shared" si="2"/>
        <v>100</v>
      </c>
      <c r="N20" s="63">
        <v>509579</v>
      </c>
      <c r="O20" s="55"/>
      <c r="P20" s="56"/>
      <c r="Q20" s="56"/>
      <c r="R20" s="7"/>
      <c r="S20" s="63"/>
      <c r="T20" s="55"/>
      <c r="U20" s="56"/>
      <c r="V20" s="56"/>
      <c r="W20" s="7"/>
      <c r="X20" s="92"/>
    </row>
    <row r="21" spans="1:24" s="3" customFormat="1" ht="9.75" x14ac:dyDescent="0.2">
      <c r="A21" s="27" t="s">
        <v>18</v>
      </c>
      <c r="B21" s="997" t="s">
        <v>50</v>
      </c>
      <c r="C21" s="998"/>
      <c r="D21" s="48" t="s">
        <v>25</v>
      </c>
      <c r="E21" s="55">
        <f t="shared" si="4"/>
        <v>41043</v>
      </c>
      <c r="F21" s="56">
        <f t="shared" si="4"/>
        <v>50070</v>
      </c>
      <c r="G21" s="56">
        <f t="shared" si="4"/>
        <v>50070</v>
      </c>
      <c r="H21" s="7">
        <f t="shared" si="0"/>
        <v>100</v>
      </c>
      <c r="I21" s="63">
        <f t="shared" si="4"/>
        <v>32987</v>
      </c>
      <c r="J21" s="72">
        <v>41043</v>
      </c>
      <c r="K21" s="56">
        <v>50070</v>
      </c>
      <c r="L21" s="56">
        <v>50070</v>
      </c>
      <c r="M21" s="7">
        <f t="shared" si="2"/>
        <v>100</v>
      </c>
      <c r="N21" s="63">
        <v>32987</v>
      </c>
      <c r="O21" s="55"/>
      <c r="P21" s="56"/>
      <c r="Q21" s="56"/>
      <c r="R21" s="7"/>
      <c r="S21" s="63"/>
      <c r="T21" s="55"/>
      <c r="U21" s="56"/>
      <c r="V21" s="56"/>
      <c r="W21" s="7"/>
      <c r="X21" s="92"/>
    </row>
    <row r="22" spans="1:24" s="3" customFormat="1" ht="9.75" x14ac:dyDescent="0.2">
      <c r="A22" s="27" t="s">
        <v>19</v>
      </c>
      <c r="B22" s="997" t="s">
        <v>65</v>
      </c>
      <c r="C22" s="998"/>
      <c r="D22" s="48" t="s">
        <v>25</v>
      </c>
      <c r="E22" s="55"/>
      <c r="F22" s="56"/>
      <c r="G22" s="56"/>
      <c r="H22" s="7"/>
      <c r="I22" s="63"/>
      <c r="J22" s="72"/>
      <c r="K22" s="56"/>
      <c r="L22" s="56"/>
      <c r="M22" s="7"/>
      <c r="N22" s="63"/>
      <c r="O22" s="55"/>
      <c r="P22" s="56"/>
      <c r="Q22" s="56"/>
      <c r="R22" s="7"/>
      <c r="S22" s="63"/>
      <c r="T22" s="55"/>
      <c r="U22" s="56"/>
      <c r="V22" s="56"/>
      <c r="W22" s="7"/>
      <c r="X22" s="92"/>
    </row>
    <row r="23" spans="1:24" s="3" customFormat="1" ht="9.75" x14ac:dyDescent="0.2">
      <c r="A23" s="27" t="s">
        <v>20</v>
      </c>
      <c r="B23" s="418" t="s">
        <v>66</v>
      </c>
      <c r="C23" s="419"/>
      <c r="D23" s="48" t="s">
        <v>25</v>
      </c>
      <c r="E23" s="55"/>
      <c r="F23" s="56"/>
      <c r="G23" s="56"/>
      <c r="H23" s="7"/>
      <c r="I23" s="63"/>
      <c r="J23" s="72"/>
      <c r="K23" s="56"/>
      <c r="L23" s="56"/>
      <c r="M23" s="7"/>
      <c r="N23" s="63"/>
      <c r="O23" s="55"/>
      <c r="P23" s="56"/>
      <c r="Q23" s="56"/>
      <c r="R23" s="7"/>
      <c r="S23" s="63"/>
      <c r="T23" s="55"/>
      <c r="U23" s="56"/>
      <c r="V23" s="56"/>
      <c r="W23" s="7"/>
      <c r="X23" s="92"/>
    </row>
    <row r="24" spans="1:24" s="3" customFormat="1" ht="9.75" x14ac:dyDescent="0.2">
      <c r="A24" s="27" t="s">
        <v>21</v>
      </c>
      <c r="B24" s="418" t="s">
        <v>73</v>
      </c>
      <c r="C24" s="419"/>
      <c r="D24" s="48" t="s">
        <v>25</v>
      </c>
      <c r="E24" s="55"/>
      <c r="F24" s="56"/>
      <c r="G24" s="56"/>
      <c r="H24" s="7"/>
      <c r="I24" s="63"/>
      <c r="J24" s="72"/>
      <c r="K24" s="56"/>
      <c r="L24" s="56"/>
      <c r="M24" s="7"/>
      <c r="N24" s="63"/>
      <c r="O24" s="55"/>
      <c r="P24" s="56"/>
      <c r="Q24" s="56"/>
      <c r="R24" s="7"/>
      <c r="S24" s="63"/>
      <c r="T24" s="55"/>
      <c r="U24" s="56"/>
      <c r="V24" s="56"/>
      <c r="W24" s="7"/>
      <c r="X24" s="92"/>
    </row>
    <row r="25" spans="1:24" s="3" customFormat="1" ht="9.75" x14ac:dyDescent="0.2">
      <c r="A25" s="28" t="s">
        <v>22</v>
      </c>
      <c r="B25" s="29" t="s">
        <v>68</v>
      </c>
      <c r="C25" s="30"/>
      <c r="D25" s="48" t="s">
        <v>25</v>
      </c>
      <c r="E25" s="55"/>
      <c r="F25" s="56"/>
      <c r="G25" s="56"/>
      <c r="H25" s="7"/>
      <c r="I25" s="63"/>
      <c r="J25" s="72"/>
      <c r="K25" s="74"/>
      <c r="L25" s="74"/>
      <c r="M25" s="7"/>
      <c r="N25" s="80"/>
      <c r="O25" s="81"/>
      <c r="P25" s="74"/>
      <c r="Q25" s="74"/>
      <c r="R25" s="7"/>
      <c r="S25" s="86"/>
      <c r="T25" s="81"/>
      <c r="U25" s="74"/>
      <c r="V25" s="74"/>
      <c r="W25" s="7"/>
      <c r="X25" s="96"/>
    </row>
    <row r="26" spans="1:24" s="10" customFormat="1" ht="9.75" x14ac:dyDescent="0.2">
      <c r="A26" s="27" t="s">
        <v>23</v>
      </c>
      <c r="B26" s="997" t="s">
        <v>69</v>
      </c>
      <c r="C26" s="998"/>
      <c r="D26" s="48" t="s">
        <v>25</v>
      </c>
      <c r="E26" s="55"/>
      <c r="F26" s="56"/>
      <c r="G26" s="56"/>
      <c r="H26" s="11"/>
      <c r="I26" s="63"/>
      <c r="J26" s="72"/>
      <c r="K26" s="75"/>
      <c r="L26" s="75"/>
      <c r="M26" s="7"/>
      <c r="N26" s="63"/>
      <c r="O26" s="82"/>
      <c r="P26" s="75"/>
      <c r="Q26" s="75"/>
      <c r="R26" s="7"/>
      <c r="S26" s="80"/>
      <c r="T26" s="87"/>
      <c r="U26" s="88"/>
      <c r="V26" s="88"/>
      <c r="W26" s="7"/>
      <c r="X26" s="97"/>
    </row>
    <row r="27" spans="1:24" s="12" customFormat="1" ht="9.75" x14ac:dyDescent="0.2">
      <c r="A27" s="27" t="s">
        <v>45</v>
      </c>
      <c r="B27" s="418" t="s">
        <v>70</v>
      </c>
      <c r="C27" s="419"/>
      <c r="D27" s="48" t="s">
        <v>25</v>
      </c>
      <c r="E27" s="55"/>
      <c r="F27" s="56"/>
      <c r="G27" s="56"/>
      <c r="H27" s="11"/>
      <c r="I27" s="63"/>
      <c r="J27" s="72"/>
      <c r="K27" s="75"/>
      <c r="L27" s="75"/>
      <c r="M27" s="7"/>
      <c r="N27" s="80"/>
      <c r="O27" s="82"/>
      <c r="P27" s="75"/>
      <c r="Q27" s="75"/>
      <c r="R27" s="7"/>
      <c r="S27" s="80"/>
      <c r="T27" s="87"/>
      <c r="U27" s="88"/>
      <c r="V27" s="88"/>
      <c r="W27" s="7"/>
      <c r="X27" s="97"/>
    </row>
    <row r="28" spans="1:24" s="12" customFormat="1" ht="9.75" x14ac:dyDescent="0.2">
      <c r="A28" s="27" t="s">
        <v>51</v>
      </c>
      <c r="B28" s="418" t="s">
        <v>74</v>
      </c>
      <c r="C28" s="419"/>
      <c r="D28" s="48" t="s">
        <v>25</v>
      </c>
      <c r="E28" s="55">
        <v>17000</v>
      </c>
      <c r="F28" s="56">
        <v>17000</v>
      </c>
      <c r="G28" s="56">
        <v>13890</v>
      </c>
      <c r="H28" s="11">
        <v>81.709999999999994</v>
      </c>
      <c r="I28" s="63">
        <v>61265</v>
      </c>
      <c r="J28" s="72">
        <v>17000</v>
      </c>
      <c r="K28" s="75">
        <v>17000</v>
      </c>
      <c r="L28" s="75">
        <v>13890</v>
      </c>
      <c r="M28" s="7">
        <f t="shared" si="2"/>
        <v>81.705882352941174</v>
      </c>
      <c r="N28" s="80">
        <v>61265</v>
      </c>
      <c r="O28" s="82"/>
      <c r="P28" s="75"/>
      <c r="Q28" s="75"/>
      <c r="R28" s="7"/>
      <c r="S28" s="80"/>
      <c r="T28" s="87"/>
      <c r="U28" s="88"/>
      <c r="V28" s="88"/>
      <c r="W28" s="7"/>
      <c r="X28" s="97"/>
    </row>
    <row r="29" spans="1:24" s="10" customFormat="1" ht="9.75" x14ac:dyDescent="0.2">
      <c r="A29" s="27" t="s">
        <v>52</v>
      </c>
      <c r="B29" s="997" t="s">
        <v>67</v>
      </c>
      <c r="C29" s="998"/>
      <c r="D29" s="48" t="s">
        <v>25</v>
      </c>
      <c r="E29" s="55">
        <f t="shared" ref="E29:G29" si="5">SUM(J29,O29)</f>
        <v>30</v>
      </c>
      <c r="F29" s="56">
        <f t="shared" si="5"/>
        <v>30</v>
      </c>
      <c r="G29" s="56">
        <f t="shared" si="5"/>
        <v>30</v>
      </c>
      <c r="H29" s="11">
        <f t="shared" si="0"/>
        <v>100</v>
      </c>
      <c r="I29" s="63">
        <f>SUM(N29,S29)</f>
        <v>30</v>
      </c>
      <c r="J29" s="72">
        <v>30</v>
      </c>
      <c r="K29" s="75">
        <v>30</v>
      </c>
      <c r="L29" s="75">
        <v>30</v>
      </c>
      <c r="M29" s="7">
        <f t="shared" si="2"/>
        <v>100</v>
      </c>
      <c r="N29" s="80">
        <v>30</v>
      </c>
      <c r="O29" s="82"/>
      <c r="P29" s="75"/>
      <c r="Q29" s="75"/>
      <c r="R29" s="7"/>
      <c r="S29" s="80"/>
      <c r="T29" s="87"/>
      <c r="U29" s="88"/>
      <c r="V29" s="88"/>
      <c r="W29" s="7"/>
      <c r="X29" s="97"/>
    </row>
    <row r="30" spans="1:24" s="3" customFormat="1" ht="9.75" x14ac:dyDescent="0.2">
      <c r="A30" s="27" t="s">
        <v>54</v>
      </c>
      <c r="B30" s="418" t="s">
        <v>53</v>
      </c>
      <c r="C30" s="419"/>
      <c r="D30" s="48" t="s">
        <v>25</v>
      </c>
      <c r="E30" s="55"/>
      <c r="F30" s="56"/>
      <c r="G30" s="56"/>
      <c r="H30" s="11"/>
      <c r="I30" s="63"/>
      <c r="J30" s="72"/>
      <c r="K30" s="75"/>
      <c r="L30" s="75"/>
      <c r="M30" s="7"/>
      <c r="N30" s="80"/>
      <c r="O30" s="82"/>
      <c r="P30" s="75"/>
      <c r="Q30" s="75"/>
      <c r="R30" s="7"/>
      <c r="S30" s="80"/>
      <c r="T30" s="87"/>
      <c r="U30" s="88"/>
      <c r="V30" s="88"/>
      <c r="W30" s="7"/>
      <c r="X30" s="97"/>
    </row>
    <row r="31" spans="1:24" s="31" customFormat="1" ht="9.75" x14ac:dyDescent="0.2">
      <c r="A31" s="27" t="s">
        <v>55</v>
      </c>
      <c r="B31" s="102" t="s">
        <v>71</v>
      </c>
      <c r="C31" s="103"/>
      <c r="D31" s="48" t="s">
        <v>25</v>
      </c>
      <c r="E31" s="55"/>
      <c r="F31" s="56"/>
      <c r="G31" s="56"/>
      <c r="H31" s="11"/>
      <c r="I31" s="63"/>
      <c r="J31" s="72"/>
      <c r="K31" s="104"/>
      <c r="L31" s="104"/>
      <c r="M31" s="7"/>
      <c r="N31" s="105"/>
      <c r="O31" s="106"/>
      <c r="P31" s="104"/>
      <c r="Q31" s="104"/>
      <c r="R31" s="7"/>
      <c r="S31" s="105"/>
      <c r="T31" s="107"/>
      <c r="U31" s="108"/>
      <c r="V31" s="108"/>
      <c r="W31" s="7"/>
      <c r="X31" s="109"/>
    </row>
    <row r="32" spans="1:24" s="31" customFormat="1" ht="9.75" x14ac:dyDescent="0.2">
      <c r="A32" s="110" t="s">
        <v>56</v>
      </c>
      <c r="B32" s="111" t="s">
        <v>72</v>
      </c>
      <c r="C32" s="112"/>
      <c r="D32" s="49" t="s">
        <v>25</v>
      </c>
      <c r="E32" s="57"/>
      <c r="F32" s="58"/>
      <c r="G32" s="58"/>
      <c r="H32" s="13"/>
      <c r="I32" s="65"/>
      <c r="J32" s="113"/>
      <c r="K32" s="90"/>
      <c r="L32" s="90"/>
      <c r="M32" s="24"/>
      <c r="N32" s="114"/>
      <c r="O32" s="89"/>
      <c r="P32" s="90"/>
      <c r="Q32" s="90"/>
      <c r="R32" s="24"/>
      <c r="S32" s="114"/>
      <c r="T32" s="89"/>
      <c r="U32" s="90"/>
      <c r="V32" s="90"/>
      <c r="W32" s="24"/>
      <c r="X32" s="98"/>
    </row>
    <row r="33" spans="1:24" s="31" customFormat="1" ht="9.75" x14ac:dyDescent="0.2">
      <c r="A33" s="16" t="s">
        <v>57</v>
      </c>
      <c r="B33" s="34" t="s">
        <v>58</v>
      </c>
      <c r="C33" s="35"/>
      <c r="D33" s="17" t="s">
        <v>25</v>
      </c>
      <c r="E33" s="52">
        <f>E6-E11</f>
        <v>0</v>
      </c>
      <c r="F33" s="52">
        <f t="shared" ref="F33:G33" si="6">F6-F11</f>
        <v>0</v>
      </c>
      <c r="G33" s="52">
        <f t="shared" si="6"/>
        <v>90061.549999999814</v>
      </c>
      <c r="H33" s="32"/>
      <c r="I33" s="52">
        <f t="shared" ref="I33:L33" si="7">I6-I11</f>
        <v>49869</v>
      </c>
      <c r="J33" s="52">
        <f t="shared" si="7"/>
        <v>0</v>
      </c>
      <c r="K33" s="52">
        <f t="shared" si="7"/>
        <v>0</v>
      </c>
      <c r="L33" s="52">
        <f t="shared" si="7"/>
        <v>90061.549999999814</v>
      </c>
      <c r="M33" s="33"/>
      <c r="N33" s="52">
        <f t="shared" ref="N33" si="8">N6-N11</f>
        <v>49869</v>
      </c>
      <c r="O33" s="52"/>
      <c r="P33" s="52"/>
      <c r="Q33" s="52"/>
      <c r="R33" s="33"/>
      <c r="S33" s="52"/>
      <c r="T33" s="52"/>
      <c r="U33" s="52"/>
      <c r="V33" s="52"/>
      <c r="W33" s="178"/>
      <c r="X33" s="52"/>
    </row>
    <row r="34" spans="1:24" s="37" customFormat="1" ht="9.75" x14ac:dyDescent="0.2">
      <c r="A34" s="36" t="s">
        <v>59</v>
      </c>
      <c r="B34" s="999" t="s">
        <v>24</v>
      </c>
      <c r="C34" s="1000"/>
      <c r="D34" s="99" t="s">
        <v>25</v>
      </c>
      <c r="E34" s="40">
        <v>24168</v>
      </c>
      <c r="F34" s="41">
        <v>26614</v>
      </c>
      <c r="G34" s="41">
        <v>26614</v>
      </c>
      <c r="H34" s="9">
        <f t="shared" si="0"/>
        <v>100</v>
      </c>
      <c r="I34" s="44">
        <v>23586</v>
      </c>
      <c r="J34" s="444">
        <v>24168</v>
      </c>
      <c r="K34" s="444">
        <v>26614</v>
      </c>
      <c r="L34" s="444">
        <v>26614</v>
      </c>
      <c r="M34" s="178">
        <f t="shared" si="2"/>
        <v>100</v>
      </c>
      <c r="N34" s="444">
        <v>23586</v>
      </c>
      <c r="O34" s="444"/>
      <c r="P34" s="444"/>
      <c r="Q34" s="444"/>
      <c r="R34" s="178"/>
      <c r="S34" s="444"/>
      <c r="T34" s="444"/>
      <c r="U34" s="444"/>
      <c r="V34" s="444"/>
      <c r="W34" s="178"/>
      <c r="X34" s="444"/>
    </row>
    <row r="35" spans="1:24" s="37" customFormat="1" ht="9.75" x14ac:dyDescent="0.2">
      <c r="A35" s="38" t="s">
        <v>60</v>
      </c>
      <c r="B35" s="1001" t="s">
        <v>33</v>
      </c>
      <c r="C35" s="1002"/>
      <c r="D35" s="100" t="s">
        <v>26</v>
      </c>
      <c r="E35" s="118">
        <v>5</v>
      </c>
      <c r="F35" s="119">
        <v>5</v>
      </c>
      <c r="G35" s="119">
        <v>5</v>
      </c>
      <c r="H35" s="11">
        <f t="shared" si="0"/>
        <v>100</v>
      </c>
      <c r="I35" s="45">
        <v>5</v>
      </c>
      <c r="J35" s="444">
        <v>5</v>
      </c>
      <c r="K35" s="444">
        <v>5</v>
      </c>
      <c r="L35" s="444">
        <v>5</v>
      </c>
      <c r="M35" s="178">
        <f t="shared" si="2"/>
        <v>100</v>
      </c>
      <c r="N35" s="444">
        <v>5</v>
      </c>
      <c r="O35" s="444"/>
      <c r="P35" s="444"/>
      <c r="Q35" s="444"/>
      <c r="R35" s="178"/>
      <c r="S35" s="444"/>
      <c r="T35" s="444"/>
      <c r="U35" s="444"/>
      <c r="V35" s="444"/>
      <c r="W35" s="178"/>
      <c r="X35" s="444"/>
    </row>
    <row r="36" spans="1:24" s="37" customFormat="1" ht="9.75" x14ac:dyDescent="0.2">
      <c r="A36" s="39" t="s">
        <v>61</v>
      </c>
      <c r="B36" s="1003" t="s">
        <v>27</v>
      </c>
      <c r="C36" s="1004"/>
      <c r="D36" s="101" t="s">
        <v>26</v>
      </c>
      <c r="E36" s="42">
        <v>6</v>
      </c>
      <c r="F36" s="43">
        <v>6</v>
      </c>
      <c r="G36" s="43">
        <v>6</v>
      </c>
      <c r="H36" s="13">
        <f t="shared" si="0"/>
        <v>100</v>
      </c>
      <c r="I36" s="46">
        <v>6</v>
      </c>
      <c r="J36" s="444">
        <v>6</v>
      </c>
      <c r="K36" s="444">
        <v>6</v>
      </c>
      <c r="L36" s="444">
        <v>6</v>
      </c>
      <c r="M36" s="178">
        <f t="shared" si="2"/>
        <v>100</v>
      </c>
      <c r="N36" s="444">
        <v>6</v>
      </c>
      <c r="O36" s="444"/>
      <c r="P36" s="444"/>
      <c r="Q36" s="444"/>
      <c r="R36" s="178"/>
      <c r="S36" s="444"/>
      <c r="T36" s="444"/>
      <c r="U36" s="444"/>
      <c r="V36" s="444"/>
      <c r="W36" s="178"/>
      <c r="X36" s="444"/>
    </row>
  </sheetData>
  <mergeCells count="39">
    <mergeCell ref="A1:X1"/>
    <mergeCell ref="A3:A5"/>
    <mergeCell ref="B3:C5"/>
    <mergeCell ref="D3:D5"/>
    <mergeCell ref="E3:I3"/>
    <mergeCell ref="J3:N3"/>
    <mergeCell ref="O3:S3"/>
    <mergeCell ref="T3:X3"/>
    <mergeCell ref="E4:E5"/>
    <mergeCell ref="F4:H4"/>
    <mergeCell ref="S4:S5"/>
    <mergeCell ref="T4:T5"/>
    <mergeCell ref="U4:W4"/>
    <mergeCell ref="X4:X5"/>
    <mergeCell ref="O4:O5"/>
    <mergeCell ref="P4:R4"/>
    <mergeCell ref="B7:C7"/>
    <mergeCell ref="I4:I5"/>
    <mergeCell ref="J4:J5"/>
    <mergeCell ref="K4:M4"/>
    <mergeCell ref="N4:N5"/>
    <mergeCell ref="B6:C6"/>
    <mergeCell ref="B22:C22"/>
    <mergeCell ref="B8:C8"/>
    <mergeCell ref="B10:C10"/>
    <mergeCell ref="B11:C11"/>
    <mergeCell ref="B12:C12"/>
    <mergeCell ref="B13:C13"/>
    <mergeCell ref="B15:C15"/>
    <mergeCell ref="B16:C16"/>
    <mergeCell ref="B18:C18"/>
    <mergeCell ref="B19:C19"/>
    <mergeCell ref="B20:C20"/>
    <mergeCell ref="B21:C21"/>
    <mergeCell ref="B26:C26"/>
    <mergeCell ref="B29:C29"/>
    <mergeCell ref="B34:C34"/>
    <mergeCell ref="B35:C35"/>
    <mergeCell ref="B36:C36"/>
  </mergeCells>
  <pageMargins left="0.70866141732283472" right="0.70866141732283472" top="0.78740157480314965" bottom="0.78740157480314965" header="0.31496062992125984" footer="0.31496062992125984"/>
  <pageSetup paperSize="9" scale="91" firstPageNumber="134" orientation="landscape" useFirstPageNumber="1" r:id="rId1"/>
  <headerFoot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3"/>
  <sheetViews>
    <sheetView topLeftCell="A37" workbookViewId="0">
      <selection activeCell="A107" sqref="A107:XFD107"/>
    </sheetView>
  </sheetViews>
  <sheetFormatPr defaultRowHeight="12.75" x14ac:dyDescent="0.2"/>
  <cols>
    <col min="1" max="1" width="58" style="240" customWidth="1"/>
    <col min="2" max="2" width="33.5" style="240" customWidth="1"/>
    <col min="3" max="5" width="25.75" style="240" customWidth="1"/>
    <col min="6" max="6" width="22.75" style="240" customWidth="1"/>
    <col min="7" max="7" width="19.75" style="240" customWidth="1"/>
    <col min="8" max="16384" width="10" style="240"/>
  </cols>
  <sheetData>
    <row r="1" spans="1:9" s="425" customFormat="1" ht="18.75" x14ac:dyDescent="0.3">
      <c r="A1" s="425" t="s">
        <v>92</v>
      </c>
      <c r="B1" s="425" t="s">
        <v>1169</v>
      </c>
    </row>
    <row r="3" spans="1:9" s="180" customFormat="1" ht="10.5" x14ac:dyDescent="0.15">
      <c r="A3" s="1039" t="s">
        <v>354</v>
      </c>
      <c r="B3" s="1039"/>
      <c r="C3" s="1039"/>
      <c r="D3" s="1039"/>
      <c r="E3" s="1039"/>
      <c r="F3" s="1039"/>
      <c r="G3" s="1039"/>
      <c r="H3" s="1039"/>
      <c r="I3" s="1039"/>
    </row>
    <row r="4" spans="1:9" s="181" customFormat="1" ht="11.25" x14ac:dyDescent="0.2"/>
    <row r="5" spans="1:9" s="182" customFormat="1" ht="9.75" x14ac:dyDescent="0.2">
      <c r="A5" s="1040" t="s">
        <v>93</v>
      </c>
      <c r="B5" s="1041"/>
      <c r="C5" s="420" t="s">
        <v>25</v>
      </c>
      <c r="D5" s="1042" t="s">
        <v>355</v>
      </c>
      <c r="E5" s="1042"/>
      <c r="F5" s="1042"/>
      <c r="G5" s="1042"/>
      <c r="H5" s="1042"/>
      <c r="I5" s="1042"/>
    </row>
    <row r="6" spans="1:9" s="181" customFormat="1" ht="15" customHeight="1" x14ac:dyDescent="0.2">
      <c r="A6" s="1043" t="s">
        <v>356</v>
      </c>
      <c r="B6" s="1043"/>
      <c r="C6" s="183">
        <v>90061.55</v>
      </c>
      <c r="D6" s="1044"/>
      <c r="E6" s="1045"/>
      <c r="F6" s="1045"/>
      <c r="G6" s="1045"/>
      <c r="H6" s="1045"/>
      <c r="I6" s="1045"/>
    </row>
    <row r="7" spans="1:9" s="181" customFormat="1" ht="33.75" customHeight="1" x14ac:dyDescent="0.2">
      <c r="A7" s="1046" t="s">
        <v>94</v>
      </c>
      <c r="B7" s="1047"/>
      <c r="C7" s="184">
        <v>90061.55</v>
      </c>
      <c r="D7" s="1048" t="s">
        <v>1170</v>
      </c>
      <c r="E7" s="1048"/>
      <c r="F7" s="1048"/>
      <c r="G7" s="1048"/>
      <c r="H7" s="1048"/>
      <c r="I7" s="1048"/>
    </row>
    <row r="8" spans="1:9" s="180" customFormat="1" ht="13.5" customHeight="1" x14ac:dyDescent="0.15">
      <c r="A8" s="1049" t="s">
        <v>95</v>
      </c>
      <c r="B8" s="1050"/>
      <c r="C8" s="185">
        <v>0</v>
      </c>
      <c r="D8" s="1048"/>
      <c r="E8" s="1048"/>
      <c r="F8" s="1048"/>
      <c r="G8" s="1048"/>
      <c r="H8" s="1048"/>
      <c r="I8" s="1048"/>
    </row>
    <row r="9" spans="1:9" s="180" customFormat="1" ht="15" customHeight="1" x14ac:dyDescent="0.15">
      <c r="A9" s="1049" t="s">
        <v>96</v>
      </c>
      <c r="B9" s="1050"/>
      <c r="C9" s="185">
        <v>0</v>
      </c>
      <c r="D9" s="1051"/>
      <c r="E9" s="1052"/>
      <c r="F9" s="1052"/>
      <c r="G9" s="1052"/>
      <c r="H9" s="1052"/>
      <c r="I9" s="1053"/>
    </row>
    <row r="10" spans="1:9" s="181" customFormat="1" ht="11.25" x14ac:dyDescent="0.2">
      <c r="C10" s="186"/>
    </row>
    <row r="11" spans="1:9" s="181" customFormat="1" ht="11.25" x14ac:dyDescent="0.2">
      <c r="A11" s="1039" t="s">
        <v>359</v>
      </c>
      <c r="B11" s="1039"/>
      <c r="C11" s="1039"/>
      <c r="D11" s="1039"/>
      <c r="E11" s="1039"/>
      <c r="F11" s="1039"/>
      <c r="G11" s="1039"/>
      <c r="H11" s="1039"/>
      <c r="I11" s="1039"/>
    </row>
    <row r="12" spans="1:9" s="181" customFormat="1" ht="11.25" x14ac:dyDescent="0.2">
      <c r="C12" s="186"/>
      <c r="D12" s="187"/>
      <c r="E12" s="187"/>
      <c r="F12" s="187"/>
      <c r="G12" s="187"/>
      <c r="H12" s="187"/>
      <c r="I12" s="187"/>
    </row>
    <row r="13" spans="1:9" s="190" customFormat="1" ht="9.75" x14ac:dyDescent="0.2">
      <c r="A13" s="420" t="s">
        <v>93</v>
      </c>
      <c r="B13" s="420" t="s">
        <v>97</v>
      </c>
      <c r="C13" s="420" t="s">
        <v>25</v>
      </c>
      <c r="D13" s="188"/>
      <c r="E13" s="189"/>
      <c r="F13" s="189"/>
      <c r="G13" s="189"/>
      <c r="H13" s="189"/>
      <c r="I13" s="189"/>
    </row>
    <row r="14" spans="1:9" s="181" customFormat="1" ht="15" customHeight="1" x14ac:dyDescent="0.2">
      <c r="A14" s="191" t="s">
        <v>98</v>
      </c>
      <c r="B14" s="192"/>
      <c r="C14" s="193">
        <v>0</v>
      </c>
      <c r="D14" s="194"/>
      <c r="E14" s="195"/>
      <c r="F14" s="195"/>
      <c r="G14" s="195"/>
      <c r="H14" s="195"/>
      <c r="I14" s="195"/>
    </row>
    <row r="15" spans="1:9" s="181" customFormat="1" ht="15" customHeight="1" x14ac:dyDescent="0.2">
      <c r="A15" s="1037" t="s">
        <v>99</v>
      </c>
      <c r="B15" s="196" t="s">
        <v>100</v>
      </c>
      <c r="C15" s="197">
        <v>70061.55</v>
      </c>
      <c r="D15" s="198"/>
      <c r="E15" s="199"/>
      <c r="F15" s="199"/>
      <c r="G15" s="199"/>
      <c r="H15" s="199"/>
      <c r="I15" s="199"/>
    </row>
    <row r="16" spans="1:9" s="181" customFormat="1" ht="15" customHeight="1" x14ac:dyDescent="0.2">
      <c r="A16" s="1038"/>
      <c r="B16" s="200" t="s">
        <v>100</v>
      </c>
      <c r="C16" s="201"/>
      <c r="D16" s="198"/>
      <c r="E16" s="199"/>
      <c r="F16" s="199"/>
      <c r="G16" s="199"/>
      <c r="H16" s="199"/>
      <c r="I16" s="199"/>
    </row>
    <row r="17" spans="1:14" s="181" customFormat="1" ht="15" customHeight="1" x14ac:dyDescent="0.2">
      <c r="A17" s="1038"/>
      <c r="B17" s="200" t="s">
        <v>101</v>
      </c>
      <c r="C17" s="202">
        <v>20000</v>
      </c>
      <c r="D17" s="203"/>
      <c r="E17" s="204"/>
      <c r="F17" s="204"/>
      <c r="G17" s="204"/>
      <c r="H17" s="204"/>
      <c r="I17" s="204"/>
    </row>
    <row r="18" spans="1:14" s="181" customFormat="1" ht="15" customHeight="1" x14ac:dyDescent="0.2">
      <c r="A18" s="421" t="s">
        <v>356</v>
      </c>
      <c r="B18" s="205"/>
      <c r="C18" s="206">
        <f>SUM(C14:C17)</f>
        <v>90061.55</v>
      </c>
      <c r="D18" s="207"/>
      <c r="E18" s="207"/>
      <c r="F18" s="207"/>
      <c r="G18" s="207"/>
      <c r="H18" s="207"/>
      <c r="I18" s="207"/>
    </row>
    <row r="19" spans="1:14" s="209" customFormat="1" ht="11.25" x14ac:dyDescent="0.2">
      <c r="A19" s="208"/>
      <c r="C19" s="210"/>
      <c r="D19" s="211"/>
      <c r="E19" s="211"/>
      <c r="F19" s="211"/>
      <c r="G19" s="211"/>
      <c r="H19" s="211"/>
      <c r="I19" s="211"/>
    </row>
    <row r="20" spans="1:14" s="181" customFormat="1" ht="11.25" x14ac:dyDescent="0.2">
      <c r="A20" s="1039" t="s">
        <v>360</v>
      </c>
      <c r="B20" s="1039"/>
      <c r="C20" s="1039"/>
      <c r="D20" s="1039"/>
      <c r="E20" s="1039"/>
      <c r="F20" s="1039"/>
      <c r="G20" s="1039"/>
      <c r="H20" s="1039"/>
      <c r="I20" s="1039"/>
    </row>
    <row r="21" spans="1:14" s="181" customFormat="1" ht="11.25" x14ac:dyDescent="0.2">
      <c r="C21" s="186"/>
    </row>
    <row r="22" spans="1:14" s="212" customFormat="1" ht="9.75" x14ac:dyDescent="0.2">
      <c r="A22" s="420" t="s">
        <v>97</v>
      </c>
      <c r="B22" s="420" t="s">
        <v>361</v>
      </c>
      <c r="C22" s="423" t="s">
        <v>362</v>
      </c>
      <c r="D22" s="420" t="s">
        <v>363</v>
      </c>
      <c r="E22" s="420" t="s">
        <v>364</v>
      </c>
      <c r="F22" s="1042" t="s">
        <v>365</v>
      </c>
      <c r="G22" s="1042"/>
      <c r="H22" s="1042"/>
      <c r="I22" s="1042"/>
    </row>
    <row r="23" spans="1:14" s="181" customFormat="1" ht="24" customHeight="1" x14ac:dyDescent="0.2">
      <c r="A23" s="213" t="s">
        <v>102</v>
      </c>
      <c r="B23" s="214">
        <v>156.24</v>
      </c>
      <c r="C23" s="214">
        <v>24868.49</v>
      </c>
      <c r="D23" s="214">
        <v>9797</v>
      </c>
      <c r="E23" s="214">
        <f>B23+C23-D23</f>
        <v>15227.730000000003</v>
      </c>
      <c r="F23" s="1054" t="s">
        <v>1171</v>
      </c>
      <c r="G23" s="1055"/>
      <c r="H23" s="1055"/>
      <c r="I23" s="1056"/>
    </row>
    <row r="24" spans="1:14" s="181" customFormat="1" ht="18" customHeight="1" x14ac:dyDescent="0.2">
      <c r="A24" s="196" t="s">
        <v>103</v>
      </c>
      <c r="B24" s="215">
        <v>0</v>
      </c>
      <c r="C24" s="215">
        <v>0</v>
      </c>
      <c r="D24" s="215">
        <v>0</v>
      </c>
      <c r="E24" s="215">
        <f t="shared" ref="E24:E26" si="0">B24+C24-D24</f>
        <v>0</v>
      </c>
    </row>
    <row r="25" spans="1:14" s="181" customFormat="1" ht="21.75" customHeight="1" x14ac:dyDescent="0.2">
      <c r="A25" s="196" t="s">
        <v>101</v>
      </c>
      <c r="B25" s="215">
        <v>13673.73</v>
      </c>
      <c r="C25" s="215">
        <v>25000</v>
      </c>
      <c r="D25" s="215">
        <v>28003</v>
      </c>
      <c r="E25" s="215">
        <f t="shared" si="0"/>
        <v>10670.729999999996</v>
      </c>
      <c r="F25" s="1057" t="s">
        <v>1172</v>
      </c>
      <c r="G25" s="1058"/>
      <c r="H25" s="1058"/>
      <c r="I25" s="1059"/>
    </row>
    <row r="26" spans="1:14" s="181" customFormat="1" ht="30.75" customHeight="1" x14ac:dyDescent="0.2">
      <c r="A26" s="200" t="s">
        <v>104</v>
      </c>
      <c r="B26" s="216">
        <v>22696.84</v>
      </c>
      <c r="C26" s="216">
        <v>31937</v>
      </c>
      <c r="D26" s="216">
        <v>14781</v>
      </c>
      <c r="E26" s="215">
        <f t="shared" si="0"/>
        <v>39852.839999999997</v>
      </c>
      <c r="F26" s="1060" t="s">
        <v>1173</v>
      </c>
      <c r="G26" s="1061"/>
      <c r="H26" s="1061"/>
      <c r="I26" s="1062"/>
      <c r="N26" s="944"/>
    </row>
    <row r="27" spans="1:14" s="180" customFormat="1" ht="10.5" x14ac:dyDescent="0.15">
      <c r="A27" s="217" t="s">
        <v>34</v>
      </c>
      <c r="B27" s="183">
        <f>SUM(B23:B26)</f>
        <v>36526.81</v>
      </c>
      <c r="C27" s="183">
        <f t="shared" ref="C27:E27" si="1">SUM(C23:C26)</f>
        <v>81805.490000000005</v>
      </c>
      <c r="D27" s="183">
        <f t="shared" si="1"/>
        <v>52581</v>
      </c>
      <c r="E27" s="183">
        <f t="shared" si="1"/>
        <v>65751.299999999988</v>
      </c>
      <c r="F27" s="1063"/>
      <c r="G27" s="1063"/>
      <c r="H27" s="1063"/>
      <c r="I27" s="1064"/>
    </row>
    <row r="28" spans="1:14" s="181" customFormat="1" ht="11.25" x14ac:dyDescent="0.2">
      <c r="C28" s="186"/>
    </row>
    <row r="29" spans="1:14" s="181" customFormat="1" ht="11.25" x14ac:dyDescent="0.2">
      <c r="A29" s="1039" t="s">
        <v>370</v>
      </c>
      <c r="B29" s="1039"/>
      <c r="C29" s="1039"/>
      <c r="D29" s="1039"/>
      <c r="E29" s="1039"/>
      <c r="F29" s="1039"/>
      <c r="G29" s="1039"/>
      <c r="H29" s="1039"/>
      <c r="I29" s="1039"/>
    </row>
    <row r="30" spans="1:14" s="181" customFormat="1" ht="11.25" x14ac:dyDescent="0.2">
      <c r="C30" s="186"/>
    </row>
    <row r="31" spans="1:14" s="181" customFormat="1" ht="11.25" x14ac:dyDescent="0.2">
      <c r="A31" s="420" t="s">
        <v>105</v>
      </c>
      <c r="B31" s="420" t="s">
        <v>25</v>
      </c>
      <c r="C31" s="423" t="s">
        <v>106</v>
      </c>
      <c r="D31" s="1042" t="s">
        <v>107</v>
      </c>
      <c r="E31" s="1042"/>
      <c r="F31" s="1042"/>
      <c r="G31" s="1042"/>
      <c r="H31" s="1042"/>
      <c r="I31" s="1042"/>
    </row>
    <row r="32" spans="1:14" s="181" customFormat="1" ht="14.25" customHeight="1" x14ac:dyDescent="0.2">
      <c r="A32" s="218"/>
      <c r="B32" s="214">
        <v>0</v>
      </c>
      <c r="C32" s="219"/>
      <c r="D32" s="1065"/>
      <c r="E32" s="1066"/>
      <c r="F32" s="1066"/>
      <c r="G32" s="1066"/>
      <c r="H32" s="1066"/>
      <c r="I32" s="1067"/>
    </row>
    <row r="33" spans="1:9" s="181" customFormat="1" ht="0.75" customHeight="1" x14ac:dyDescent="0.2">
      <c r="A33" s="220"/>
      <c r="B33" s="216"/>
      <c r="C33" s="221"/>
      <c r="D33" s="1360"/>
      <c r="E33" s="1361"/>
      <c r="F33" s="1361"/>
      <c r="G33" s="1361"/>
      <c r="H33" s="1361"/>
      <c r="I33" s="1362"/>
    </row>
    <row r="34" spans="1:9" s="181" customFormat="1" ht="15" hidden="1" customHeight="1" x14ac:dyDescent="0.2">
      <c r="A34" s="220"/>
      <c r="B34" s="216"/>
      <c r="C34" s="222"/>
      <c r="D34" s="1360"/>
      <c r="E34" s="1361"/>
      <c r="F34" s="1361"/>
      <c r="G34" s="1361"/>
      <c r="H34" s="1361"/>
      <c r="I34" s="1362"/>
    </row>
    <row r="35" spans="1:9" s="181" customFormat="1" ht="15" hidden="1" customHeight="1" x14ac:dyDescent="0.2">
      <c r="A35" s="220"/>
      <c r="B35" s="216"/>
      <c r="C35" s="222"/>
      <c r="D35" s="1360"/>
      <c r="E35" s="1361"/>
      <c r="F35" s="1361"/>
      <c r="G35" s="1361"/>
      <c r="H35" s="1361"/>
      <c r="I35" s="1362"/>
    </row>
    <row r="36" spans="1:9" s="181" customFormat="1" ht="15" hidden="1" customHeight="1" x14ac:dyDescent="0.2">
      <c r="A36" s="220"/>
      <c r="B36" s="216"/>
      <c r="C36" s="222"/>
      <c r="D36" s="1234"/>
      <c r="E36" s="1235"/>
      <c r="F36" s="1235"/>
      <c r="G36" s="1235"/>
      <c r="H36" s="1235"/>
      <c r="I36" s="1236"/>
    </row>
    <row r="37" spans="1:9" s="180" customFormat="1" ht="11.25" x14ac:dyDescent="0.2">
      <c r="A37" s="217" t="s">
        <v>34</v>
      </c>
      <c r="B37" s="183">
        <f>SUM(B32:B36)</f>
        <v>0</v>
      </c>
      <c r="C37" s="1068"/>
      <c r="D37" s="1069"/>
      <c r="E37" s="1069"/>
      <c r="F37" s="1069"/>
      <c r="G37" s="1069"/>
      <c r="H37" s="1069"/>
      <c r="I37" s="1070"/>
    </row>
    <row r="38" spans="1:9" s="181" customFormat="1" ht="11.25" x14ac:dyDescent="0.2">
      <c r="C38" s="186"/>
    </row>
    <row r="39" spans="1:9" s="181" customFormat="1" ht="11.25" x14ac:dyDescent="0.2">
      <c r="A39" s="1039" t="s">
        <v>372</v>
      </c>
      <c r="B39" s="1039"/>
      <c r="C39" s="1039"/>
      <c r="D39" s="1039"/>
      <c r="E39" s="1039"/>
      <c r="F39" s="1039"/>
      <c r="G39" s="1039"/>
      <c r="H39" s="1039"/>
      <c r="I39" s="1039"/>
    </row>
    <row r="40" spans="1:9" s="181" customFormat="1" ht="11.25" x14ac:dyDescent="0.2">
      <c r="C40" s="186"/>
    </row>
    <row r="41" spans="1:9" s="181" customFormat="1" ht="11.25" x14ac:dyDescent="0.2">
      <c r="A41" s="420" t="s">
        <v>105</v>
      </c>
      <c r="B41" s="420" t="s">
        <v>25</v>
      </c>
      <c r="C41" s="423" t="s">
        <v>106</v>
      </c>
      <c r="D41" s="1071" t="s">
        <v>107</v>
      </c>
      <c r="E41" s="1071"/>
      <c r="F41" s="1071"/>
      <c r="G41" s="1071"/>
      <c r="H41" s="1071"/>
      <c r="I41" s="1072"/>
    </row>
    <row r="42" spans="1:9" s="181" customFormat="1" ht="14.25" customHeight="1" x14ac:dyDescent="0.2">
      <c r="A42" s="218"/>
      <c r="B42" s="214">
        <v>0</v>
      </c>
      <c r="C42" s="219"/>
      <c r="D42" s="1057"/>
      <c r="E42" s="1073"/>
      <c r="F42" s="1073"/>
      <c r="G42" s="1073"/>
      <c r="H42" s="1073"/>
      <c r="I42" s="1074"/>
    </row>
    <row r="43" spans="1:9" s="181" customFormat="1" ht="15" hidden="1" customHeight="1" x14ac:dyDescent="0.2">
      <c r="A43" s="223"/>
      <c r="B43" s="215"/>
      <c r="C43" s="224"/>
      <c r="D43" s="1057"/>
      <c r="E43" s="1073"/>
      <c r="F43" s="1073"/>
      <c r="G43" s="1073"/>
      <c r="H43" s="1073"/>
      <c r="I43" s="1074"/>
    </row>
    <row r="44" spans="1:9" s="181" customFormat="1" ht="15" hidden="1" customHeight="1" x14ac:dyDescent="0.2">
      <c r="A44" s="223"/>
      <c r="B44" s="215"/>
      <c r="C44" s="224"/>
      <c r="D44" s="1057"/>
      <c r="E44" s="1073"/>
      <c r="F44" s="1073"/>
      <c r="G44" s="1073"/>
      <c r="H44" s="1073"/>
      <c r="I44" s="1074"/>
    </row>
    <row r="45" spans="1:9" s="181" customFormat="1" ht="15" hidden="1" customHeight="1" x14ac:dyDescent="0.2">
      <c r="A45" s="225"/>
      <c r="B45" s="226"/>
      <c r="C45" s="227"/>
      <c r="D45" s="1057"/>
      <c r="E45" s="1073"/>
      <c r="F45" s="1073"/>
      <c r="G45" s="1073"/>
      <c r="H45" s="1073"/>
      <c r="I45" s="1074"/>
    </row>
    <row r="46" spans="1:9" s="181" customFormat="1" ht="15" hidden="1" customHeight="1" x14ac:dyDescent="0.2">
      <c r="A46" s="220"/>
      <c r="B46" s="216"/>
      <c r="C46" s="221"/>
      <c r="D46" s="1240"/>
      <c r="E46" s="1241"/>
      <c r="F46" s="1241"/>
      <c r="G46" s="1241"/>
      <c r="H46" s="1241"/>
      <c r="I46" s="1242"/>
    </row>
    <row r="47" spans="1:9" s="180" customFormat="1" ht="10.5" x14ac:dyDescent="0.15">
      <c r="A47" s="217" t="s">
        <v>34</v>
      </c>
      <c r="B47" s="183">
        <f>SUM(B42:B46)</f>
        <v>0</v>
      </c>
      <c r="C47" s="1075"/>
      <c r="D47" s="1076"/>
      <c r="E47" s="1076"/>
      <c r="F47" s="1076"/>
      <c r="G47" s="1076"/>
      <c r="H47" s="1076"/>
      <c r="I47" s="1076"/>
    </row>
    <row r="48" spans="1:9" s="181" customFormat="1" ht="11.25" x14ac:dyDescent="0.2">
      <c r="C48" s="186"/>
    </row>
    <row r="49" spans="1:9" s="181" customFormat="1" ht="11.25" x14ac:dyDescent="0.2">
      <c r="A49" s="1039" t="s">
        <v>374</v>
      </c>
      <c r="B49" s="1039"/>
      <c r="C49" s="1039"/>
      <c r="D49" s="1039"/>
      <c r="E49" s="1039"/>
      <c r="F49" s="1039"/>
      <c r="G49" s="1039"/>
      <c r="H49" s="1039"/>
      <c r="I49" s="1039"/>
    </row>
    <row r="50" spans="1:9" s="181" customFormat="1" ht="11.25" x14ac:dyDescent="0.2">
      <c r="C50" s="186"/>
    </row>
    <row r="51" spans="1:9" s="181" customFormat="1" ht="11.25" x14ac:dyDescent="0.2">
      <c r="A51" s="420" t="s">
        <v>25</v>
      </c>
      <c r="B51" s="423" t="s">
        <v>375</v>
      </c>
      <c r="C51" s="1077" t="s">
        <v>108</v>
      </c>
      <c r="D51" s="1077"/>
      <c r="E51" s="1077"/>
      <c r="F51" s="1077"/>
      <c r="G51" s="1077"/>
      <c r="H51" s="1077"/>
      <c r="I51" s="1078"/>
    </row>
    <row r="52" spans="1:9" s="181" customFormat="1" ht="11.25" x14ac:dyDescent="0.2">
      <c r="A52" s="228"/>
      <c r="B52" s="228">
        <v>0</v>
      </c>
      <c r="C52" s="1079"/>
      <c r="D52" s="1079"/>
      <c r="E52" s="1079"/>
      <c r="F52" s="1079"/>
      <c r="G52" s="1079"/>
      <c r="H52" s="1079"/>
      <c r="I52" s="1080"/>
    </row>
    <row r="53" spans="1:9" s="181" customFormat="1" ht="11.25" hidden="1" x14ac:dyDescent="0.2">
      <c r="A53" s="229"/>
      <c r="B53" s="215"/>
      <c r="C53" s="1237"/>
      <c r="D53" s="1238"/>
      <c r="E53" s="1238"/>
      <c r="F53" s="1238"/>
      <c r="G53" s="1238"/>
      <c r="H53" s="1238"/>
      <c r="I53" s="1239"/>
    </row>
    <row r="54" spans="1:9" s="181" customFormat="1" ht="11.25" hidden="1" x14ac:dyDescent="0.2">
      <c r="A54" s="230"/>
      <c r="B54" s="231"/>
      <c r="C54" s="1127"/>
      <c r="D54" s="1127"/>
      <c r="E54" s="1127"/>
      <c r="F54" s="1127"/>
      <c r="G54" s="1127"/>
      <c r="H54" s="1127"/>
      <c r="I54" s="1128"/>
    </row>
    <row r="55" spans="1:9" s="180" customFormat="1" ht="10.5" x14ac:dyDescent="0.15">
      <c r="A55" s="183">
        <f>A52+A53+A54</f>
        <v>0</v>
      </c>
      <c r="B55" s="183">
        <f>B52+B53+B54</f>
        <v>0</v>
      </c>
      <c r="C55" s="1081" t="s">
        <v>34</v>
      </c>
      <c r="D55" s="1081"/>
      <c r="E55" s="1081"/>
      <c r="F55" s="1081"/>
      <c r="G55" s="1081"/>
      <c r="H55" s="1081"/>
      <c r="I55" s="1082"/>
    </row>
    <row r="56" spans="1:9" s="181" customFormat="1" ht="11.25" x14ac:dyDescent="0.2">
      <c r="C56" s="186"/>
    </row>
    <row r="57" spans="1:9" s="181" customFormat="1" ht="11.25" x14ac:dyDescent="0.2">
      <c r="A57" s="1039" t="s">
        <v>377</v>
      </c>
      <c r="B57" s="1039"/>
      <c r="C57" s="1039"/>
      <c r="D57" s="1039"/>
      <c r="E57" s="1039"/>
      <c r="F57" s="1039"/>
      <c r="G57" s="1039"/>
      <c r="H57" s="1039"/>
      <c r="I57" s="1039"/>
    </row>
    <row r="58" spans="1:9" s="181" customFormat="1" ht="11.25" x14ac:dyDescent="0.2">
      <c r="C58" s="186"/>
    </row>
    <row r="59" spans="1:9" s="232" customFormat="1" ht="11.25" x14ac:dyDescent="0.2">
      <c r="A59" s="1042" t="s">
        <v>109</v>
      </c>
      <c r="B59" s="1042"/>
      <c r="C59" s="423" t="s">
        <v>115</v>
      </c>
      <c r="D59" s="423" t="s">
        <v>110</v>
      </c>
      <c r="E59" s="420" t="s">
        <v>111</v>
      </c>
      <c r="F59" s="420" t="s">
        <v>25</v>
      </c>
      <c r="G59" s="420" t="s">
        <v>25</v>
      </c>
    </row>
    <row r="60" spans="1:9" s="181" customFormat="1" ht="12" x14ac:dyDescent="0.2">
      <c r="A60" s="1574" t="s">
        <v>1174</v>
      </c>
      <c r="B60" s="1575"/>
      <c r="C60" s="945" t="s">
        <v>199</v>
      </c>
      <c r="D60" s="415">
        <v>42950</v>
      </c>
      <c r="E60" s="415">
        <v>42950</v>
      </c>
      <c r="F60" s="946">
        <v>80257</v>
      </c>
      <c r="G60" s="946"/>
    </row>
    <row r="61" spans="1:9" s="181" customFormat="1" ht="12" x14ac:dyDescent="0.2">
      <c r="A61" s="1576" t="s">
        <v>1175</v>
      </c>
      <c r="B61" s="1577"/>
      <c r="C61" s="945" t="s">
        <v>332</v>
      </c>
      <c r="D61" s="415">
        <v>42950</v>
      </c>
      <c r="E61" s="415">
        <v>42950</v>
      </c>
      <c r="F61" s="946"/>
      <c r="G61" s="946">
        <v>58830</v>
      </c>
    </row>
    <row r="62" spans="1:9" s="181" customFormat="1" ht="12" x14ac:dyDescent="0.2">
      <c r="A62" s="1574" t="s">
        <v>1176</v>
      </c>
      <c r="B62" s="1575"/>
      <c r="C62" s="945" t="s">
        <v>262</v>
      </c>
      <c r="D62" s="415">
        <v>42950</v>
      </c>
      <c r="E62" s="415">
        <v>42950</v>
      </c>
      <c r="F62" s="946"/>
      <c r="G62" s="946">
        <v>14708</v>
      </c>
    </row>
    <row r="63" spans="1:9" s="181" customFormat="1" ht="12" x14ac:dyDescent="0.2">
      <c r="A63" s="1574" t="s">
        <v>1177</v>
      </c>
      <c r="B63" s="1575"/>
      <c r="C63" s="945" t="s">
        <v>263</v>
      </c>
      <c r="D63" s="415">
        <v>42950</v>
      </c>
      <c r="E63" s="415">
        <v>42950</v>
      </c>
      <c r="F63" s="946"/>
      <c r="G63" s="946">
        <v>5295</v>
      </c>
    </row>
    <row r="64" spans="1:9" s="181" customFormat="1" ht="12" x14ac:dyDescent="0.2">
      <c r="A64" s="1576" t="s">
        <v>1178</v>
      </c>
      <c r="B64" s="1577"/>
      <c r="C64" s="945" t="s">
        <v>128</v>
      </c>
      <c r="D64" s="415">
        <v>42950</v>
      </c>
      <c r="E64" s="415">
        <v>42950</v>
      </c>
      <c r="F64" s="946"/>
      <c r="G64" s="946">
        <v>247</v>
      </c>
    </row>
    <row r="65" spans="1:7" s="181" customFormat="1" ht="12" x14ac:dyDescent="0.2">
      <c r="A65" s="1574" t="s">
        <v>1179</v>
      </c>
      <c r="B65" s="1575"/>
      <c r="C65" s="945" t="s">
        <v>207</v>
      </c>
      <c r="D65" s="415">
        <v>42950</v>
      </c>
      <c r="E65" s="415">
        <v>42950</v>
      </c>
      <c r="F65" s="946"/>
      <c r="G65" s="946">
        <v>1177</v>
      </c>
    </row>
    <row r="66" spans="1:7" s="181" customFormat="1" ht="12" x14ac:dyDescent="0.2">
      <c r="A66" s="1574" t="s">
        <v>1180</v>
      </c>
      <c r="B66" s="1575"/>
      <c r="C66" s="945" t="s">
        <v>333</v>
      </c>
      <c r="D66" s="415">
        <v>43003</v>
      </c>
      <c r="E66" s="415">
        <v>43003</v>
      </c>
      <c r="F66" s="946">
        <v>7504</v>
      </c>
      <c r="G66" s="946"/>
    </row>
    <row r="67" spans="1:7" s="181" customFormat="1" ht="12" x14ac:dyDescent="0.2">
      <c r="A67" s="1574" t="s">
        <v>1181</v>
      </c>
      <c r="B67" s="1575"/>
      <c r="C67" s="945" t="s">
        <v>207</v>
      </c>
      <c r="D67" s="415">
        <v>43003</v>
      </c>
      <c r="E67" s="415">
        <v>43003</v>
      </c>
      <c r="F67" s="946"/>
      <c r="G67" s="946">
        <v>7504</v>
      </c>
    </row>
    <row r="68" spans="1:7" s="181" customFormat="1" ht="12" x14ac:dyDescent="0.2">
      <c r="A68" s="1574" t="s">
        <v>1174</v>
      </c>
      <c r="B68" s="1575"/>
      <c r="C68" s="945" t="s">
        <v>199</v>
      </c>
      <c r="D68" s="415">
        <v>43032</v>
      </c>
      <c r="E68" s="415">
        <v>43032</v>
      </c>
      <c r="F68" s="946">
        <v>12669</v>
      </c>
      <c r="G68" s="946"/>
    </row>
    <row r="69" spans="1:7" s="181" customFormat="1" ht="12" x14ac:dyDescent="0.2">
      <c r="A69" s="1576" t="s">
        <v>1175</v>
      </c>
      <c r="B69" s="1577"/>
      <c r="C69" s="945" t="s">
        <v>332</v>
      </c>
      <c r="D69" s="415">
        <v>43032</v>
      </c>
      <c r="E69" s="415">
        <v>43032</v>
      </c>
      <c r="F69" s="946"/>
      <c r="G69" s="946">
        <v>9286</v>
      </c>
    </row>
    <row r="70" spans="1:7" s="181" customFormat="1" ht="12" x14ac:dyDescent="0.2">
      <c r="A70" s="1574" t="s">
        <v>1176</v>
      </c>
      <c r="B70" s="1575"/>
      <c r="C70" s="945" t="s">
        <v>262</v>
      </c>
      <c r="D70" s="415">
        <v>43032</v>
      </c>
      <c r="E70" s="415">
        <v>43032</v>
      </c>
      <c r="F70" s="946"/>
      <c r="G70" s="946">
        <v>2322</v>
      </c>
    </row>
    <row r="71" spans="1:7" s="181" customFormat="1" ht="12" x14ac:dyDescent="0.2">
      <c r="A71" s="1574" t="s">
        <v>1177</v>
      </c>
      <c r="B71" s="1575"/>
      <c r="C71" s="945" t="s">
        <v>263</v>
      </c>
      <c r="D71" s="415">
        <v>43032</v>
      </c>
      <c r="E71" s="415">
        <v>43032</v>
      </c>
      <c r="F71" s="946"/>
      <c r="G71" s="946">
        <v>836</v>
      </c>
    </row>
    <row r="72" spans="1:7" s="181" customFormat="1" ht="12" x14ac:dyDescent="0.2">
      <c r="A72" s="1576" t="s">
        <v>1178</v>
      </c>
      <c r="B72" s="1577"/>
      <c r="C72" s="945" t="s">
        <v>128</v>
      </c>
      <c r="D72" s="415">
        <v>43032</v>
      </c>
      <c r="E72" s="415">
        <v>43032</v>
      </c>
      <c r="F72" s="946"/>
      <c r="G72" s="946">
        <v>39</v>
      </c>
    </row>
    <row r="73" spans="1:7" s="181" customFormat="1" ht="12" x14ac:dyDescent="0.2">
      <c r="A73" s="1574" t="s">
        <v>1179</v>
      </c>
      <c r="B73" s="1575"/>
      <c r="C73" s="945" t="s">
        <v>207</v>
      </c>
      <c r="D73" s="415">
        <v>43032</v>
      </c>
      <c r="E73" s="415">
        <v>43032</v>
      </c>
      <c r="F73" s="946"/>
      <c r="G73" s="946">
        <v>186</v>
      </c>
    </row>
    <row r="74" spans="1:7" s="181" customFormat="1" ht="12" x14ac:dyDescent="0.2">
      <c r="A74" s="1574" t="s">
        <v>1182</v>
      </c>
      <c r="B74" s="1575"/>
      <c r="C74" s="945" t="s">
        <v>210</v>
      </c>
      <c r="D74" s="415">
        <v>43031</v>
      </c>
      <c r="E74" s="415">
        <v>43031</v>
      </c>
      <c r="F74" s="946"/>
      <c r="G74" s="946">
        <v>-3500</v>
      </c>
    </row>
    <row r="75" spans="1:7" s="181" customFormat="1" ht="12" x14ac:dyDescent="0.2">
      <c r="A75" s="1574" t="s">
        <v>1183</v>
      </c>
      <c r="B75" s="1575"/>
      <c r="C75" s="945" t="s">
        <v>1184</v>
      </c>
      <c r="D75" s="415">
        <v>43031</v>
      </c>
      <c r="E75" s="415">
        <v>43031</v>
      </c>
      <c r="F75" s="946"/>
      <c r="G75" s="946">
        <v>3500</v>
      </c>
    </row>
    <row r="76" spans="1:7" s="181" customFormat="1" ht="12" x14ac:dyDescent="0.2">
      <c r="A76" s="1574" t="s">
        <v>1182</v>
      </c>
      <c r="B76" s="1575"/>
      <c r="C76" s="945" t="s">
        <v>210</v>
      </c>
      <c r="D76" s="415">
        <v>43062</v>
      </c>
      <c r="E76" s="415">
        <v>43062</v>
      </c>
      <c r="F76" s="946"/>
      <c r="G76" s="946">
        <v>-1000</v>
      </c>
    </row>
    <row r="77" spans="1:7" s="181" customFormat="1" ht="12" x14ac:dyDescent="0.2">
      <c r="A77" s="1574" t="s">
        <v>1183</v>
      </c>
      <c r="B77" s="1575"/>
      <c r="C77" s="945" t="s">
        <v>1184</v>
      </c>
      <c r="D77" s="415">
        <v>43062</v>
      </c>
      <c r="E77" s="415">
        <v>43062</v>
      </c>
      <c r="F77" s="946"/>
      <c r="G77" s="946">
        <v>1000</v>
      </c>
    </row>
    <row r="78" spans="1:7" s="181" customFormat="1" ht="12" x14ac:dyDescent="0.2">
      <c r="A78" s="1574" t="s">
        <v>1185</v>
      </c>
      <c r="B78" s="1575"/>
      <c r="C78" s="945" t="s">
        <v>126</v>
      </c>
      <c r="D78" s="415">
        <v>43091</v>
      </c>
      <c r="E78" s="415">
        <v>43091</v>
      </c>
      <c r="F78" s="946">
        <v>28003</v>
      </c>
      <c r="G78" s="946"/>
    </row>
    <row r="79" spans="1:7" s="181" customFormat="1" ht="12" x14ac:dyDescent="0.2">
      <c r="A79" s="1574" t="s">
        <v>1186</v>
      </c>
      <c r="B79" s="1575"/>
      <c r="C79" s="945" t="s">
        <v>127</v>
      </c>
      <c r="D79" s="415">
        <v>43091</v>
      </c>
      <c r="E79" s="415">
        <v>43091</v>
      </c>
      <c r="F79" s="946"/>
      <c r="G79" s="946">
        <v>28003</v>
      </c>
    </row>
    <row r="80" spans="1:7" s="181" customFormat="1" ht="12" x14ac:dyDescent="0.2">
      <c r="A80" s="1574" t="s">
        <v>1187</v>
      </c>
      <c r="B80" s="1575"/>
      <c r="C80" s="945" t="s">
        <v>122</v>
      </c>
      <c r="D80" s="415">
        <v>43091</v>
      </c>
      <c r="E80" s="415">
        <v>43091</v>
      </c>
      <c r="F80" s="946">
        <v>9797</v>
      </c>
      <c r="G80" s="946"/>
    </row>
    <row r="81" spans="1:9" s="181" customFormat="1" ht="12" x14ac:dyDescent="0.2">
      <c r="A81" s="1574" t="s">
        <v>1188</v>
      </c>
      <c r="B81" s="1575"/>
      <c r="C81" s="945" t="s">
        <v>334</v>
      </c>
      <c r="D81" s="415">
        <v>43091</v>
      </c>
      <c r="E81" s="415">
        <v>43091</v>
      </c>
      <c r="F81" s="946"/>
      <c r="G81" s="946">
        <v>7000</v>
      </c>
    </row>
    <row r="82" spans="1:9" s="181" customFormat="1" ht="12" x14ac:dyDescent="0.2">
      <c r="A82" s="1574" t="s">
        <v>1189</v>
      </c>
      <c r="B82" s="1575"/>
      <c r="C82" s="945" t="s">
        <v>335</v>
      </c>
      <c r="D82" s="415">
        <v>43091</v>
      </c>
      <c r="E82" s="415">
        <v>43091</v>
      </c>
      <c r="F82" s="946"/>
      <c r="G82" s="946">
        <v>2519</v>
      </c>
    </row>
    <row r="83" spans="1:9" s="181" customFormat="1" ht="12" x14ac:dyDescent="0.2">
      <c r="A83" s="1574" t="s">
        <v>1190</v>
      </c>
      <c r="B83" s="1575"/>
      <c r="C83" s="945" t="s">
        <v>1191</v>
      </c>
      <c r="D83" s="415">
        <v>43091</v>
      </c>
      <c r="E83" s="415">
        <v>43091</v>
      </c>
      <c r="F83" s="946"/>
      <c r="G83" s="946">
        <v>118</v>
      </c>
    </row>
    <row r="84" spans="1:9" s="181" customFormat="1" ht="12" customHeight="1" x14ac:dyDescent="0.2">
      <c r="A84" s="1574" t="s">
        <v>1192</v>
      </c>
      <c r="B84" s="1575"/>
      <c r="C84" s="945" t="s">
        <v>1193</v>
      </c>
      <c r="D84" s="415">
        <v>43091</v>
      </c>
      <c r="E84" s="415">
        <v>43091</v>
      </c>
      <c r="F84" s="946"/>
      <c r="G84" s="946">
        <v>160</v>
      </c>
    </row>
    <row r="85" spans="1:9" s="181" customFormat="1" ht="12" customHeight="1" x14ac:dyDescent="0.2">
      <c r="A85" s="1574" t="s">
        <v>1194</v>
      </c>
      <c r="B85" s="1575"/>
      <c r="C85" s="945"/>
      <c r="D85" s="415"/>
      <c r="E85" s="415"/>
      <c r="F85" s="946">
        <f>SUM(F60:F84)</f>
        <v>138230</v>
      </c>
      <c r="G85" s="946">
        <f>SUM(G60:G84)</f>
        <v>138230</v>
      </c>
    </row>
    <row r="86" spans="1:9" s="181" customFormat="1" ht="15" customHeight="1" x14ac:dyDescent="0.2">
      <c r="A86" s="1083" t="s">
        <v>397</v>
      </c>
      <c r="B86" s="1083"/>
      <c r="C86" s="1083"/>
      <c r="D86" s="1083"/>
      <c r="E86" s="1083"/>
      <c r="F86" s="1083"/>
      <c r="G86" s="1083"/>
      <c r="H86" s="1083"/>
      <c r="I86" s="1083"/>
    </row>
    <row r="87" spans="1:9" s="181" customFormat="1" ht="24.75" customHeight="1" x14ac:dyDescent="0.2">
      <c r="A87" s="1034" t="s">
        <v>1347</v>
      </c>
      <c r="B87" s="1035"/>
      <c r="C87" s="1035"/>
      <c r="D87" s="1035"/>
      <c r="E87" s="1035"/>
      <c r="F87" s="1035"/>
      <c r="G87" s="1035"/>
      <c r="H87" s="1035"/>
      <c r="I87" s="1036"/>
    </row>
    <row r="88" spans="1:9" s="181" customFormat="1" ht="24.75" customHeight="1" x14ac:dyDescent="0.2">
      <c r="A88" s="426"/>
      <c r="B88" s="426"/>
      <c r="C88" s="426"/>
      <c r="D88" s="426"/>
      <c r="E88" s="426"/>
      <c r="F88" s="426"/>
      <c r="G88" s="426"/>
      <c r="H88" s="426"/>
      <c r="I88" s="426"/>
    </row>
    <row r="89" spans="1:9" s="180" customFormat="1" ht="15" customHeight="1" x14ac:dyDescent="0.15">
      <c r="A89" s="1039" t="s">
        <v>399</v>
      </c>
      <c r="B89" s="1039"/>
      <c r="C89" s="1039"/>
      <c r="D89" s="1039"/>
      <c r="E89" s="1039"/>
      <c r="F89" s="1039"/>
      <c r="G89" s="1039"/>
      <c r="H89" s="1039"/>
      <c r="I89" s="1039"/>
    </row>
    <row r="90" spans="1:9" s="181" customFormat="1" ht="45.75" customHeight="1" x14ac:dyDescent="0.2">
      <c r="A90" s="1034" t="s">
        <v>1346</v>
      </c>
      <c r="B90" s="1035"/>
      <c r="C90" s="1035"/>
      <c r="D90" s="1035"/>
      <c r="E90" s="1035"/>
      <c r="F90" s="1035"/>
      <c r="G90" s="1035"/>
      <c r="H90" s="1035"/>
      <c r="I90" s="1036"/>
    </row>
    <row r="92" spans="1:9" x14ac:dyDescent="0.2">
      <c r="A92" s="607" t="s">
        <v>1195</v>
      </c>
      <c r="C92" s="607" t="s">
        <v>1196</v>
      </c>
      <c r="D92" s="607"/>
    </row>
    <row r="93" spans="1:9" x14ac:dyDescent="0.2">
      <c r="A93" s="239"/>
    </row>
  </sheetData>
  <mergeCells count="69">
    <mergeCell ref="F26:I26"/>
    <mergeCell ref="D31:I31"/>
    <mergeCell ref="A20:I20"/>
    <mergeCell ref="F27:I27"/>
    <mergeCell ref="A72:B72"/>
    <mergeCell ref="A29:I29"/>
    <mergeCell ref="D32:I36"/>
    <mergeCell ref="C37:I37"/>
    <mergeCell ref="A39:I39"/>
    <mergeCell ref="D41:I41"/>
    <mergeCell ref="D42:I42"/>
    <mergeCell ref="D43:I43"/>
    <mergeCell ref="D44:I44"/>
    <mergeCell ref="D45:I45"/>
    <mergeCell ref="D46:I46"/>
    <mergeCell ref="C47:I47"/>
    <mergeCell ref="A11:I11"/>
    <mergeCell ref="A15:A17"/>
    <mergeCell ref="F22:I22"/>
    <mergeCell ref="F23:I23"/>
    <mergeCell ref="F25:I25"/>
    <mergeCell ref="A7:B7"/>
    <mergeCell ref="D7:I7"/>
    <mergeCell ref="A8:B8"/>
    <mergeCell ref="D8:I8"/>
    <mergeCell ref="A9:B9"/>
    <mergeCell ref="D9:I9"/>
    <mergeCell ref="A3:I3"/>
    <mergeCell ref="A5:B5"/>
    <mergeCell ref="D5:I5"/>
    <mergeCell ref="A6:B6"/>
    <mergeCell ref="D6:I6"/>
    <mergeCell ref="A49:I49"/>
    <mergeCell ref="C51:I51"/>
    <mergeCell ref="C52:I52"/>
    <mergeCell ref="C53:I53"/>
    <mergeCell ref="C54:I54"/>
    <mergeCell ref="C55:I55"/>
    <mergeCell ref="A57:I57"/>
    <mergeCell ref="A59:B59"/>
    <mergeCell ref="A60:B60"/>
    <mergeCell ref="A61:B61"/>
    <mergeCell ref="A62:B62"/>
    <mergeCell ref="A63:B63"/>
    <mergeCell ref="A64:B64"/>
    <mergeCell ref="A65:B65"/>
    <mergeCell ref="A66:B66"/>
    <mergeCell ref="A67:B67"/>
    <mergeCell ref="A68:B68"/>
    <mergeCell ref="A69:B69"/>
    <mergeCell ref="A70:B70"/>
    <mergeCell ref="A71:B71"/>
    <mergeCell ref="A73:B73"/>
    <mergeCell ref="A74:B74"/>
    <mergeCell ref="A75:B75"/>
    <mergeCell ref="A76:B76"/>
    <mergeCell ref="A77:B77"/>
    <mergeCell ref="A78:B78"/>
    <mergeCell ref="A79:B79"/>
    <mergeCell ref="A80:B80"/>
    <mergeCell ref="A81:B81"/>
    <mergeCell ref="A87:I87"/>
    <mergeCell ref="A89:I89"/>
    <mergeCell ref="A90:I90"/>
    <mergeCell ref="A82:B82"/>
    <mergeCell ref="A83:B83"/>
    <mergeCell ref="A84:B84"/>
    <mergeCell ref="A85:B85"/>
    <mergeCell ref="A86:I86"/>
  </mergeCells>
  <pageMargins left="0.70866141732283472" right="0.70866141732283472" top="0.78740157480314965" bottom="0.78740157480314965" header="0.31496062992125984" footer="0.31496062992125984"/>
  <pageSetup paperSize="9" scale="70" firstPageNumber="135" fitToHeight="6" orientation="portrait" useFirstPageNumber="1" r:id="rId1"/>
  <headerFoot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zoomScale="150" zoomScaleNormal="150" workbookViewId="0">
      <selection activeCell="A107" sqref="A107:XFD107"/>
    </sheetView>
  </sheetViews>
  <sheetFormatPr defaultColWidth="6.5" defaultRowHeight="8.25" x14ac:dyDescent="0.15"/>
  <cols>
    <col min="1" max="1" width="5.5" style="1" customWidth="1"/>
    <col min="2" max="2" width="6.5" customWidth="1"/>
    <col min="3" max="3" width="36.75" customWidth="1"/>
    <col min="4" max="4" width="9.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2" customFormat="1" ht="15.75" x14ac:dyDescent="0.25">
      <c r="A1" s="1019" t="s">
        <v>353</v>
      </c>
      <c r="B1" s="1019"/>
      <c r="C1" s="1019"/>
      <c r="D1" s="1019"/>
      <c r="E1" s="1019"/>
      <c r="F1" s="1019"/>
      <c r="G1" s="1019"/>
      <c r="H1" s="1019"/>
      <c r="I1" s="1019"/>
      <c r="J1" s="1019"/>
      <c r="K1" s="1019"/>
      <c r="L1" s="1019"/>
      <c r="M1" s="1019"/>
      <c r="N1" s="1019"/>
      <c r="O1" s="1019"/>
      <c r="P1" s="1019"/>
      <c r="Q1" s="1019"/>
      <c r="R1" s="1019"/>
      <c r="S1" s="1019"/>
      <c r="T1" s="1019"/>
      <c r="U1" s="1019"/>
      <c r="V1" s="1019"/>
      <c r="W1" s="1019"/>
      <c r="X1" s="1019"/>
    </row>
    <row r="3" spans="1:24" s="3" customFormat="1" ht="9.75" customHeight="1" x14ac:dyDescent="0.2">
      <c r="A3" s="1012" t="s">
        <v>40</v>
      </c>
      <c r="B3" s="1022" t="s">
        <v>41</v>
      </c>
      <c r="C3" s="1023"/>
      <c r="D3" s="1028" t="s">
        <v>42</v>
      </c>
      <c r="E3" s="1031" t="s">
        <v>34</v>
      </c>
      <c r="F3" s="1032"/>
      <c r="G3" s="1032"/>
      <c r="H3" s="1032"/>
      <c r="I3" s="1033"/>
      <c r="J3" s="1031" t="s">
        <v>39</v>
      </c>
      <c r="K3" s="1032"/>
      <c r="L3" s="1032"/>
      <c r="M3" s="1032"/>
      <c r="N3" s="1033"/>
      <c r="O3" s="1031" t="s">
        <v>43</v>
      </c>
      <c r="P3" s="1032"/>
      <c r="Q3" s="1032"/>
      <c r="R3" s="1032"/>
      <c r="S3" s="1033"/>
      <c r="T3" s="1031" t="s">
        <v>38</v>
      </c>
      <c r="U3" s="1032"/>
      <c r="V3" s="1032"/>
      <c r="W3" s="1032"/>
      <c r="X3" s="1033"/>
    </row>
    <row r="4" spans="1:24" s="4" customFormat="1" ht="9.75" customHeight="1" x14ac:dyDescent="0.2">
      <c r="A4" s="1020"/>
      <c r="B4" s="1024"/>
      <c r="C4" s="1025"/>
      <c r="D4" s="1029"/>
      <c r="E4" s="1014" t="s">
        <v>44</v>
      </c>
      <c r="F4" s="1016" t="s">
        <v>336</v>
      </c>
      <c r="G4" s="1017"/>
      <c r="H4" s="1018"/>
      <c r="I4" s="1012" t="s">
        <v>337</v>
      </c>
      <c r="J4" s="1014" t="s">
        <v>44</v>
      </c>
      <c r="K4" s="1016" t="s">
        <v>336</v>
      </c>
      <c r="L4" s="1017"/>
      <c r="M4" s="1018"/>
      <c r="N4" s="1012" t="s">
        <v>337</v>
      </c>
      <c r="O4" s="1014" t="s">
        <v>44</v>
      </c>
      <c r="P4" s="1016" t="s">
        <v>336</v>
      </c>
      <c r="Q4" s="1017"/>
      <c r="R4" s="1018"/>
      <c r="S4" s="1012" t="s">
        <v>337</v>
      </c>
      <c r="T4" s="1014" t="s">
        <v>44</v>
      </c>
      <c r="U4" s="1016" t="s">
        <v>336</v>
      </c>
      <c r="V4" s="1017"/>
      <c r="W4" s="1018"/>
      <c r="X4" s="1012" t="s">
        <v>337</v>
      </c>
    </row>
    <row r="5" spans="1:24" s="5" customFormat="1" ht="9.75" customHeight="1" x14ac:dyDescent="0.2">
      <c r="A5" s="1021"/>
      <c r="B5" s="1026"/>
      <c r="C5" s="1027"/>
      <c r="D5" s="1030"/>
      <c r="E5" s="1015"/>
      <c r="F5" s="14" t="s">
        <v>35</v>
      </c>
      <c r="G5" s="15" t="s">
        <v>36</v>
      </c>
      <c r="H5" s="14" t="s">
        <v>37</v>
      </c>
      <c r="I5" s="1013"/>
      <c r="J5" s="1015"/>
      <c r="K5" s="14" t="s">
        <v>35</v>
      </c>
      <c r="L5" s="15" t="s">
        <v>36</v>
      </c>
      <c r="M5" s="14" t="s">
        <v>37</v>
      </c>
      <c r="N5" s="1013"/>
      <c r="O5" s="1015"/>
      <c r="P5" s="14" t="s">
        <v>35</v>
      </c>
      <c r="Q5" s="15" t="s">
        <v>36</v>
      </c>
      <c r="R5" s="14" t="s">
        <v>37</v>
      </c>
      <c r="S5" s="1013"/>
      <c r="T5" s="1015"/>
      <c r="U5" s="14" t="s">
        <v>35</v>
      </c>
      <c r="V5" s="15" t="s">
        <v>36</v>
      </c>
      <c r="W5" s="14" t="s">
        <v>37</v>
      </c>
      <c r="X5" s="1013"/>
    </row>
    <row r="6" spans="1:24" s="3" customFormat="1" ht="9.75" customHeight="1" x14ac:dyDescent="0.2">
      <c r="A6" s="16" t="s">
        <v>0</v>
      </c>
      <c r="B6" s="1007" t="s">
        <v>1</v>
      </c>
      <c r="C6" s="1007"/>
      <c r="D6" s="17" t="s">
        <v>25</v>
      </c>
      <c r="E6" s="52">
        <f>SUM(E7:E9)</f>
        <v>6217000</v>
      </c>
      <c r="F6" s="52">
        <f>SUM(F7:F9)</f>
        <v>9221272</v>
      </c>
      <c r="G6" s="52">
        <f>SUM(G7:G9)</f>
        <v>9234136.6999999993</v>
      </c>
      <c r="H6" s="18">
        <f t="shared" ref="H6:H29" si="0">G6/F6*100</f>
        <v>100.13951112167605</v>
      </c>
      <c r="I6" s="52">
        <f>SUM(I7:I9)</f>
        <v>0</v>
      </c>
      <c r="J6" s="52">
        <f>SUM(J7:J9)</f>
        <v>6217000</v>
      </c>
      <c r="K6" s="52">
        <f t="shared" ref="K6:X6" si="1">SUM(K7:K9)</f>
        <v>9221272</v>
      </c>
      <c r="L6" s="52">
        <f t="shared" si="1"/>
        <v>9234136.6999999993</v>
      </c>
      <c r="M6" s="18">
        <f t="shared" ref="M6:M29" si="2">L6/K6*100</f>
        <v>100.13951112167605</v>
      </c>
      <c r="N6" s="69">
        <f t="shared" si="1"/>
        <v>0</v>
      </c>
      <c r="O6" s="52">
        <f t="shared" si="1"/>
        <v>0</v>
      </c>
      <c r="P6" s="52">
        <f t="shared" si="1"/>
        <v>0</v>
      </c>
      <c r="Q6" s="52">
        <f t="shared" si="1"/>
        <v>0</v>
      </c>
      <c r="R6" s="18">
        <v>0</v>
      </c>
      <c r="S6" s="52">
        <f t="shared" si="1"/>
        <v>0</v>
      </c>
      <c r="T6" s="52">
        <f t="shared" si="1"/>
        <v>0</v>
      </c>
      <c r="U6" s="52">
        <f t="shared" si="1"/>
        <v>325000</v>
      </c>
      <c r="V6" s="52">
        <f t="shared" si="1"/>
        <v>320624</v>
      </c>
      <c r="W6" s="18">
        <f t="shared" ref="W6:W13" si="3">V6/U6*100</f>
        <v>98.65353846153846</v>
      </c>
      <c r="X6" s="52">
        <f t="shared" si="1"/>
        <v>0</v>
      </c>
    </row>
    <row r="7" spans="1:24" s="3" customFormat="1" ht="9.75" x14ac:dyDescent="0.2">
      <c r="A7" s="19" t="s">
        <v>2</v>
      </c>
      <c r="B7" s="1010" t="s">
        <v>46</v>
      </c>
      <c r="C7" s="1011"/>
      <c r="D7" s="47" t="s">
        <v>25</v>
      </c>
      <c r="E7" s="53">
        <f t="shared" ref="E7:G10" si="4">SUM(J7,O7)</f>
        <v>3800000</v>
      </c>
      <c r="F7" s="54">
        <f t="shared" si="4"/>
        <v>5400000</v>
      </c>
      <c r="G7" s="54">
        <f t="shared" si="4"/>
        <v>5412969.7000000002</v>
      </c>
      <c r="H7" s="6">
        <f t="shared" si="0"/>
        <v>100.24017962962964</v>
      </c>
      <c r="I7" s="60">
        <f>SUM(N7,S7)</f>
        <v>0</v>
      </c>
      <c r="J7" s="53">
        <v>3800000</v>
      </c>
      <c r="K7" s="54">
        <v>5400000</v>
      </c>
      <c r="L7" s="62">
        <v>5412969.7000000002</v>
      </c>
      <c r="M7" s="6">
        <f t="shared" si="2"/>
        <v>100.24017962962964</v>
      </c>
      <c r="N7" s="76"/>
      <c r="O7" s="77"/>
      <c r="P7" s="62"/>
      <c r="Q7" s="62"/>
      <c r="R7" s="6">
        <v>0</v>
      </c>
      <c r="S7" s="76"/>
      <c r="T7" s="77"/>
      <c r="U7" s="77">
        <v>325000</v>
      </c>
      <c r="V7" s="62">
        <v>320624</v>
      </c>
      <c r="W7" s="6">
        <f t="shared" si="3"/>
        <v>98.65353846153846</v>
      </c>
      <c r="X7" s="91"/>
    </row>
    <row r="8" spans="1:24" s="3" customFormat="1" ht="9.75" x14ac:dyDescent="0.2">
      <c r="A8" s="20" t="s">
        <v>3</v>
      </c>
      <c r="B8" s="1005" t="s">
        <v>47</v>
      </c>
      <c r="C8" s="1006"/>
      <c r="D8" s="48" t="s">
        <v>25</v>
      </c>
      <c r="E8" s="55">
        <f t="shared" si="4"/>
        <v>0</v>
      </c>
      <c r="F8" s="56">
        <f t="shared" si="4"/>
        <v>2000</v>
      </c>
      <c r="G8" s="56">
        <f t="shared" si="4"/>
        <v>1895</v>
      </c>
      <c r="H8" s="7">
        <f t="shared" si="0"/>
        <v>94.75</v>
      </c>
      <c r="I8" s="63">
        <f>SUM(N8,S8)</f>
        <v>0</v>
      </c>
      <c r="J8" s="55">
        <v>0</v>
      </c>
      <c r="K8" s="56">
        <v>2000</v>
      </c>
      <c r="L8" s="56">
        <v>1895</v>
      </c>
      <c r="M8" s="7">
        <f t="shared" si="2"/>
        <v>94.75</v>
      </c>
      <c r="N8" s="63"/>
      <c r="O8" s="55"/>
      <c r="P8" s="56"/>
      <c r="Q8" s="56"/>
      <c r="R8" s="7">
        <v>0</v>
      </c>
      <c r="S8" s="63"/>
      <c r="T8" s="55"/>
      <c r="U8" s="55">
        <v>0</v>
      </c>
      <c r="V8" s="56">
        <v>0</v>
      </c>
      <c r="W8" s="7">
        <v>0</v>
      </c>
      <c r="X8" s="92"/>
    </row>
    <row r="9" spans="1:24" s="3" customFormat="1" ht="9.75" x14ac:dyDescent="0.2">
      <c r="A9" s="21" t="s">
        <v>4</v>
      </c>
      <c r="B9" s="22" t="s">
        <v>62</v>
      </c>
      <c r="C9" s="23"/>
      <c r="D9" s="50" t="s">
        <v>25</v>
      </c>
      <c r="E9" s="57">
        <f t="shared" si="4"/>
        <v>2417000</v>
      </c>
      <c r="F9" s="58">
        <f t="shared" si="4"/>
        <v>3819272</v>
      </c>
      <c r="G9" s="58">
        <f t="shared" si="4"/>
        <v>3819272</v>
      </c>
      <c r="H9" s="24">
        <f t="shared" si="0"/>
        <v>100</v>
      </c>
      <c r="I9" s="65">
        <f>SUM(N9,S9)</f>
        <v>0</v>
      </c>
      <c r="J9" s="57">
        <v>2417000</v>
      </c>
      <c r="K9" s="58">
        <v>3819272</v>
      </c>
      <c r="L9" s="58">
        <v>3819272</v>
      </c>
      <c r="M9" s="24">
        <f t="shared" si="2"/>
        <v>100</v>
      </c>
      <c r="N9" s="65"/>
      <c r="O9" s="57"/>
      <c r="P9" s="58"/>
      <c r="Q9" s="58"/>
      <c r="R9" s="24">
        <v>0</v>
      </c>
      <c r="S9" s="65"/>
      <c r="T9" s="57"/>
      <c r="U9" s="57"/>
      <c r="V9" s="58"/>
      <c r="W9" s="24">
        <v>0</v>
      </c>
      <c r="X9" s="93"/>
    </row>
    <row r="10" spans="1:24" s="3" customFormat="1" ht="9.75" x14ac:dyDescent="0.2">
      <c r="A10" s="16" t="s">
        <v>5</v>
      </c>
      <c r="B10" s="1007" t="s">
        <v>7</v>
      </c>
      <c r="C10" s="1007"/>
      <c r="D10" s="25" t="s">
        <v>25</v>
      </c>
      <c r="E10" s="59">
        <f t="shared" si="4"/>
        <v>0</v>
      </c>
      <c r="F10" s="59">
        <f t="shared" si="4"/>
        <v>0</v>
      </c>
      <c r="G10" s="59">
        <f t="shared" si="4"/>
        <v>0</v>
      </c>
      <c r="H10" s="18">
        <v>0</v>
      </c>
      <c r="I10" s="67">
        <f>SUM(N10,S10)</f>
        <v>0</v>
      </c>
      <c r="J10" s="68">
        <v>0</v>
      </c>
      <c r="K10" s="59">
        <v>0</v>
      </c>
      <c r="L10" s="59">
        <v>0</v>
      </c>
      <c r="M10" s="18">
        <v>0</v>
      </c>
      <c r="N10" s="67"/>
      <c r="O10" s="59"/>
      <c r="P10" s="59"/>
      <c r="Q10" s="59"/>
      <c r="R10" s="18">
        <v>0</v>
      </c>
      <c r="S10" s="67"/>
      <c r="T10" s="59"/>
      <c r="U10" s="59"/>
      <c r="V10" s="59"/>
      <c r="W10" s="18">
        <v>0</v>
      </c>
      <c r="X10" s="59"/>
    </row>
    <row r="11" spans="1:24" s="3" customFormat="1" ht="9.75" x14ac:dyDescent="0.2">
      <c r="A11" s="16" t="s">
        <v>6</v>
      </c>
      <c r="B11" s="1007" t="s">
        <v>9</v>
      </c>
      <c r="C11" s="1007"/>
      <c r="D11" s="25" t="s">
        <v>25</v>
      </c>
      <c r="E11" s="52">
        <f>SUM(E12:E31)</f>
        <v>6217000</v>
      </c>
      <c r="F11" s="52">
        <f>SUM(F12:F31)</f>
        <v>9221272</v>
      </c>
      <c r="G11" s="52">
        <f>SUM(G12:G31)</f>
        <v>9077254.6699999999</v>
      </c>
      <c r="H11" s="18">
        <f t="shared" si="0"/>
        <v>98.438205379908538</v>
      </c>
      <c r="I11" s="69">
        <f>SUM(I12:I31)</f>
        <v>0</v>
      </c>
      <c r="J11" s="52">
        <f>SUM(J12:J31)</f>
        <v>6217000</v>
      </c>
      <c r="K11" s="52">
        <f>SUM(K12:K31)</f>
        <v>9221272</v>
      </c>
      <c r="L11" s="52">
        <f>SUM(L12:L31)</f>
        <v>9077254.6699999999</v>
      </c>
      <c r="M11" s="18">
        <f t="shared" si="2"/>
        <v>98.438205379908538</v>
      </c>
      <c r="N11" s="69">
        <f>SUM(N12:N31)</f>
        <v>0</v>
      </c>
      <c r="O11" s="52">
        <f>SUM(O12:O31)</f>
        <v>0</v>
      </c>
      <c r="P11" s="52">
        <f>SUM(P12:P31)</f>
        <v>0</v>
      </c>
      <c r="Q11" s="52">
        <f>SUM(Q12:Q31)</f>
        <v>0</v>
      </c>
      <c r="R11" s="18">
        <v>0</v>
      </c>
      <c r="S11" s="69">
        <f>SUM(S12:S31)</f>
        <v>0</v>
      </c>
      <c r="T11" s="52">
        <f>SUM(T12:T31)</f>
        <v>0</v>
      </c>
      <c r="U11" s="596">
        <f>SUM(U12:U31)</f>
        <v>240000</v>
      </c>
      <c r="V11" s="52">
        <f>SUM(V12:V31)</f>
        <v>233472</v>
      </c>
      <c r="W11" s="18">
        <f t="shared" si="3"/>
        <v>97.28</v>
      </c>
      <c r="X11" s="52">
        <f>SUM(X12:X31)</f>
        <v>0</v>
      </c>
    </row>
    <row r="12" spans="1:24" s="3" customFormat="1" ht="9.75" x14ac:dyDescent="0.2">
      <c r="A12" s="26" t="s">
        <v>8</v>
      </c>
      <c r="B12" s="1008" t="s">
        <v>28</v>
      </c>
      <c r="C12" s="1009"/>
      <c r="D12" s="51" t="s">
        <v>25</v>
      </c>
      <c r="E12" s="53">
        <f t="shared" ref="E12:I28" si="5">SUM(J12,O12)</f>
        <v>120000</v>
      </c>
      <c r="F12" s="54">
        <f t="shared" si="5"/>
        <v>388000</v>
      </c>
      <c r="G12" s="54">
        <f t="shared" si="5"/>
        <v>387613.46</v>
      </c>
      <c r="H12" s="6">
        <f t="shared" si="0"/>
        <v>99.9003762886598</v>
      </c>
      <c r="I12" s="60">
        <f t="shared" si="5"/>
        <v>0</v>
      </c>
      <c r="J12" s="53">
        <v>120000</v>
      </c>
      <c r="K12" s="54">
        <v>388000</v>
      </c>
      <c r="L12" s="71">
        <v>387613.46</v>
      </c>
      <c r="M12" s="6">
        <f t="shared" si="2"/>
        <v>99.9003762886598</v>
      </c>
      <c r="N12" s="78"/>
      <c r="O12" s="79"/>
      <c r="P12" s="71"/>
      <c r="Q12" s="71"/>
      <c r="R12" s="6">
        <v>0</v>
      </c>
      <c r="S12" s="83"/>
      <c r="T12" s="597"/>
      <c r="U12" s="598">
        <v>60000</v>
      </c>
      <c r="V12" s="598">
        <v>58594</v>
      </c>
      <c r="W12" s="6">
        <f t="shared" si="3"/>
        <v>97.656666666666666</v>
      </c>
      <c r="X12" s="94"/>
    </row>
    <row r="13" spans="1:24" s="3" customFormat="1" ht="9.75" x14ac:dyDescent="0.2">
      <c r="A13" s="27" t="s">
        <v>10</v>
      </c>
      <c r="B13" s="997" t="s">
        <v>29</v>
      </c>
      <c r="C13" s="998"/>
      <c r="D13" s="48" t="s">
        <v>25</v>
      </c>
      <c r="E13" s="55">
        <f t="shared" si="5"/>
        <v>640000</v>
      </c>
      <c r="F13" s="56">
        <f t="shared" si="5"/>
        <v>566000</v>
      </c>
      <c r="G13" s="56">
        <f t="shared" si="5"/>
        <v>564137</v>
      </c>
      <c r="H13" s="7">
        <f t="shared" si="0"/>
        <v>99.670848056537096</v>
      </c>
      <c r="I13" s="63">
        <f t="shared" si="5"/>
        <v>0</v>
      </c>
      <c r="J13" s="55">
        <v>640000</v>
      </c>
      <c r="K13" s="56">
        <v>566000</v>
      </c>
      <c r="L13" s="56">
        <v>564137</v>
      </c>
      <c r="M13" s="7">
        <f t="shared" si="2"/>
        <v>99.670848056537096</v>
      </c>
      <c r="N13" s="63"/>
      <c r="O13" s="55"/>
      <c r="P13" s="56"/>
      <c r="Q13" s="56"/>
      <c r="R13" s="7">
        <v>0</v>
      </c>
      <c r="S13" s="63"/>
      <c r="T13" s="55"/>
      <c r="U13" s="162">
        <v>35000</v>
      </c>
      <c r="V13" s="56">
        <v>34188</v>
      </c>
      <c r="W13" s="7">
        <f t="shared" si="3"/>
        <v>97.68</v>
      </c>
      <c r="X13" s="92"/>
    </row>
    <row r="14" spans="1:24" s="3" customFormat="1" ht="9.75" x14ac:dyDescent="0.2">
      <c r="A14" s="27" t="s">
        <v>11</v>
      </c>
      <c r="B14" s="418" t="s">
        <v>63</v>
      </c>
      <c r="C14" s="419"/>
      <c r="D14" s="48" t="s">
        <v>25</v>
      </c>
      <c r="E14" s="55">
        <f t="shared" si="5"/>
        <v>0</v>
      </c>
      <c r="F14" s="56">
        <f t="shared" si="5"/>
        <v>0</v>
      </c>
      <c r="G14" s="56">
        <f t="shared" si="5"/>
        <v>0</v>
      </c>
      <c r="H14" s="7">
        <v>0</v>
      </c>
      <c r="I14" s="63">
        <f t="shared" si="5"/>
        <v>0</v>
      </c>
      <c r="J14" s="55">
        <v>0</v>
      </c>
      <c r="K14" s="56">
        <v>0</v>
      </c>
      <c r="L14" s="56">
        <v>0</v>
      </c>
      <c r="M14" s="7">
        <v>0</v>
      </c>
      <c r="N14" s="63"/>
      <c r="O14" s="55"/>
      <c r="P14" s="56"/>
      <c r="Q14" s="56"/>
      <c r="R14" s="7">
        <v>0</v>
      </c>
      <c r="S14" s="63"/>
      <c r="T14" s="55"/>
      <c r="U14" s="56"/>
      <c r="V14" s="56"/>
      <c r="W14" s="7">
        <v>0</v>
      </c>
      <c r="X14" s="92"/>
    </row>
    <row r="15" spans="1:24" s="3" customFormat="1" ht="9.75" x14ac:dyDescent="0.2">
      <c r="A15" s="27" t="s">
        <v>12</v>
      </c>
      <c r="B15" s="997" t="s">
        <v>64</v>
      </c>
      <c r="C15" s="998"/>
      <c r="D15" s="48" t="s">
        <v>25</v>
      </c>
      <c r="E15" s="55">
        <f t="shared" si="5"/>
        <v>270000</v>
      </c>
      <c r="F15" s="56">
        <f t="shared" si="5"/>
        <v>247500</v>
      </c>
      <c r="G15" s="56">
        <f t="shared" si="5"/>
        <v>243917.88</v>
      </c>
      <c r="H15" s="7">
        <f t="shared" si="0"/>
        <v>98.55267878787879</v>
      </c>
      <c r="I15" s="63">
        <f t="shared" si="5"/>
        <v>0</v>
      </c>
      <c r="J15" s="55">
        <v>270000</v>
      </c>
      <c r="K15" s="56">
        <v>247500</v>
      </c>
      <c r="L15" s="56">
        <v>243917.88</v>
      </c>
      <c r="M15" s="7">
        <f t="shared" si="2"/>
        <v>98.55267878787879</v>
      </c>
      <c r="N15" s="63"/>
      <c r="O15" s="55"/>
      <c r="P15" s="56"/>
      <c r="Q15" s="56"/>
      <c r="R15" s="7">
        <v>0</v>
      </c>
      <c r="S15" s="63"/>
      <c r="T15" s="55"/>
      <c r="U15" s="56"/>
      <c r="V15" s="56"/>
      <c r="W15" s="7">
        <v>0</v>
      </c>
      <c r="X15" s="92"/>
    </row>
    <row r="16" spans="1:24" s="3" customFormat="1" ht="9.75" x14ac:dyDescent="0.2">
      <c r="A16" s="27" t="s">
        <v>13</v>
      </c>
      <c r="B16" s="997" t="s">
        <v>30</v>
      </c>
      <c r="C16" s="998"/>
      <c r="D16" s="48" t="s">
        <v>25</v>
      </c>
      <c r="E16" s="55">
        <f t="shared" si="5"/>
        <v>0</v>
      </c>
      <c r="F16" s="56">
        <f t="shared" si="5"/>
        <v>13000</v>
      </c>
      <c r="G16" s="56">
        <f t="shared" si="5"/>
        <v>12505</v>
      </c>
      <c r="H16" s="7">
        <f t="shared" si="0"/>
        <v>96.192307692307693</v>
      </c>
      <c r="I16" s="63">
        <f t="shared" si="5"/>
        <v>0</v>
      </c>
      <c r="J16" s="55">
        <v>0</v>
      </c>
      <c r="K16" s="56">
        <v>13000</v>
      </c>
      <c r="L16" s="56">
        <v>12505</v>
      </c>
      <c r="M16" s="7">
        <f t="shared" si="2"/>
        <v>96.192307692307693</v>
      </c>
      <c r="N16" s="63"/>
      <c r="O16" s="55"/>
      <c r="P16" s="56"/>
      <c r="Q16" s="56"/>
      <c r="R16" s="7">
        <v>0</v>
      </c>
      <c r="S16" s="63"/>
      <c r="T16" s="55"/>
      <c r="U16" s="56"/>
      <c r="V16" s="56"/>
      <c r="W16" s="7">
        <v>0</v>
      </c>
      <c r="X16" s="92"/>
    </row>
    <row r="17" spans="1:24" s="3" customFormat="1" ht="9.75" x14ac:dyDescent="0.2">
      <c r="A17" s="27" t="s">
        <v>14</v>
      </c>
      <c r="B17" s="418" t="s">
        <v>48</v>
      </c>
      <c r="C17" s="419"/>
      <c r="D17" s="48" t="s">
        <v>25</v>
      </c>
      <c r="E17" s="55">
        <f t="shared" si="5"/>
        <v>0</v>
      </c>
      <c r="F17" s="56">
        <f t="shared" si="5"/>
        <v>16000</v>
      </c>
      <c r="G17" s="56">
        <f t="shared" si="5"/>
        <v>15605.5</v>
      </c>
      <c r="H17" s="7">
        <f t="shared" si="0"/>
        <v>97.534374999999997</v>
      </c>
      <c r="I17" s="63">
        <f t="shared" si="5"/>
        <v>0</v>
      </c>
      <c r="J17" s="55">
        <v>0</v>
      </c>
      <c r="K17" s="56">
        <v>16000</v>
      </c>
      <c r="L17" s="56">
        <v>15605.5</v>
      </c>
      <c r="M17" s="7">
        <f t="shared" si="2"/>
        <v>97.534374999999997</v>
      </c>
      <c r="N17" s="63"/>
      <c r="O17" s="55"/>
      <c r="P17" s="56"/>
      <c r="Q17" s="56"/>
      <c r="R17" s="7">
        <v>0</v>
      </c>
      <c r="S17" s="63"/>
      <c r="T17" s="55"/>
      <c r="U17" s="56"/>
      <c r="V17" s="56"/>
      <c r="W17" s="7">
        <v>0</v>
      </c>
      <c r="X17" s="92"/>
    </row>
    <row r="18" spans="1:24" s="3" customFormat="1" ht="9.75" x14ac:dyDescent="0.2">
      <c r="A18" s="27" t="s">
        <v>15</v>
      </c>
      <c r="B18" s="997" t="s">
        <v>31</v>
      </c>
      <c r="C18" s="998"/>
      <c r="D18" s="48" t="s">
        <v>25</v>
      </c>
      <c r="E18" s="55">
        <f t="shared" si="5"/>
        <v>2770000</v>
      </c>
      <c r="F18" s="56">
        <f t="shared" si="5"/>
        <v>4219000</v>
      </c>
      <c r="G18" s="56">
        <f t="shared" si="5"/>
        <v>4086537.83</v>
      </c>
      <c r="H18" s="7">
        <f t="shared" si="0"/>
        <v>96.860342024176347</v>
      </c>
      <c r="I18" s="63">
        <f t="shared" si="5"/>
        <v>0</v>
      </c>
      <c r="J18" s="55">
        <v>2770000</v>
      </c>
      <c r="K18" s="56">
        <v>4219000</v>
      </c>
      <c r="L18" s="56">
        <v>4086537.83</v>
      </c>
      <c r="M18" s="7">
        <f t="shared" si="2"/>
        <v>96.860342024176347</v>
      </c>
      <c r="N18" s="63"/>
      <c r="O18" s="55"/>
      <c r="P18" s="56"/>
      <c r="Q18" s="56"/>
      <c r="R18" s="7">
        <v>0</v>
      </c>
      <c r="S18" s="63"/>
      <c r="T18" s="55"/>
      <c r="U18" s="56">
        <v>85000</v>
      </c>
      <c r="V18" s="56">
        <v>82681</v>
      </c>
      <c r="W18" s="7">
        <f>V18/U18*100</f>
        <v>97.271764705882362</v>
      </c>
      <c r="X18" s="92"/>
    </row>
    <row r="19" spans="1:24" s="8" customFormat="1" ht="9.75" x14ac:dyDescent="0.2">
      <c r="A19" s="27" t="s">
        <v>16</v>
      </c>
      <c r="B19" s="997" t="s">
        <v>32</v>
      </c>
      <c r="C19" s="998"/>
      <c r="D19" s="48" t="s">
        <v>25</v>
      </c>
      <c r="E19" s="55">
        <f t="shared" si="5"/>
        <v>1400000</v>
      </c>
      <c r="F19" s="56">
        <f t="shared" si="5"/>
        <v>2128724</v>
      </c>
      <c r="G19" s="56">
        <f t="shared" si="5"/>
        <v>2128724</v>
      </c>
      <c r="H19" s="7">
        <f t="shared" si="0"/>
        <v>100</v>
      </c>
      <c r="I19" s="63">
        <f t="shared" si="5"/>
        <v>0</v>
      </c>
      <c r="J19" s="55">
        <v>1400000</v>
      </c>
      <c r="K19" s="56">
        <v>2128724</v>
      </c>
      <c r="L19" s="56">
        <v>2128724</v>
      </c>
      <c r="M19" s="7">
        <f t="shared" si="2"/>
        <v>100</v>
      </c>
      <c r="N19" s="63"/>
      <c r="O19" s="55"/>
      <c r="P19" s="56"/>
      <c r="Q19" s="56"/>
      <c r="R19" s="7">
        <v>0</v>
      </c>
      <c r="S19" s="63"/>
      <c r="T19" s="84"/>
      <c r="U19" s="56">
        <v>50000</v>
      </c>
      <c r="V19" s="56">
        <v>48272</v>
      </c>
      <c r="W19" s="7">
        <f>V19/U19*100</f>
        <v>96.543999999999997</v>
      </c>
      <c r="X19" s="95"/>
    </row>
    <row r="20" spans="1:24" s="3" customFormat="1" ht="9.75" x14ac:dyDescent="0.2">
      <c r="A20" s="27" t="s">
        <v>17</v>
      </c>
      <c r="B20" s="997" t="s">
        <v>49</v>
      </c>
      <c r="C20" s="998"/>
      <c r="D20" s="48" t="s">
        <v>25</v>
      </c>
      <c r="E20" s="55">
        <f t="shared" si="5"/>
        <v>490000</v>
      </c>
      <c r="F20" s="56">
        <f t="shared" si="5"/>
        <v>651435</v>
      </c>
      <c r="G20" s="56">
        <f t="shared" si="5"/>
        <v>651058</v>
      </c>
      <c r="H20" s="7">
        <f t="shared" si="0"/>
        <v>99.942127764090046</v>
      </c>
      <c r="I20" s="63">
        <f t="shared" si="5"/>
        <v>0</v>
      </c>
      <c r="J20" s="55">
        <v>490000</v>
      </c>
      <c r="K20" s="56">
        <v>651435</v>
      </c>
      <c r="L20" s="56">
        <v>651058</v>
      </c>
      <c r="M20" s="7">
        <f t="shared" si="2"/>
        <v>99.942127764090046</v>
      </c>
      <c r="N20" s="63"/>
      <c r="O20" s="55"/>
      <c r="P20" s="56"/>
      <c r="Q20" s="56"/>
      <c r="R20" s="7">
        <v>0</v>
      </c>
      <c r="S20" s="63"/>
      <c r="T20" s="55"/>
      <c r="U20" s="56">
        <v>10000</v>
      </c>
      <c r="V20" s="56">
        <v>9737</v>
      </c>
      <c r="W20" s="7">
        <f>V20/U20*100</f>
        <v>97.37</v>
      </c>
      <c r="X20" s="92"/>
    </row>
    <row r="21" spans="1:24" s="3" customFormat="1" ht="9.75" x14ac:dyDescent="0.2">
      <c r="A21" s="27" t="s">
        <v>18</v>
      </c>
      <c r="B21" s="997" t="s">
        <v>50</v>
      </c>
      <c r="C21" s="998"/>
      <c r="D21" s="48" t="s">
        <v>25</v>
      </c>
      <c r="E21" s="55">
        <f t="shared" si="5"/>
        <v>0</v>
      </c>
      <c r="F21" s="56">
        <f t="shared" si="5"/>
        <v>62113</v>
      </c>
      <c r="G21" s="56">
        <f t="shared" si="5"/>
        <v>62113</v>
      </c>
      <c r="H21" s="7">
        <f t="shared" si="0"/>
        <v>100</v>
      </c>
      <c r="I21" s="63">
        <f t="shared" si="5"/>
        <v>0</v>
      </c>
      <c r="J21" s="55">
        <v>0</v>
      </c>
      <c r="K21" s="56">
        <v>62113</v>
      </c>
      <c r="L21" s="56">
        <v>62113</v>
      </c>
      <c r="M21" s="7">
        <f t="shared" si="2"/>
        <v>100</v>
      </c>
      <c r="N21" s="63"/>
      <c r="O21" s="55"/>
      <c r="P21" s="56"/>
      <c r="Q21" s="56"/>
      <c r="R21" s="7">
        <v>0</v>
      </c>
      <c r="S21" s="63"/>
      <c r="T21" s="55"/>
      <c r="U21" s="56"/>
      <c r="V21" s="56"/>
      <c r="W21" s="7">
        <v>0</v>
      </c>
      <c r="X21" s="92"/>
    </row>
    <row r="22" spans="1:24" s="3" customFormat="1" ht="9.75" x14ac:dyDescent="0.2">
      <c r="A22" s="27" t="s">
        <v>19</v>
      </c>
      <c r="B22" s="997" t="s">
        <v>65</v>
      </c>
      <c r="C22" s="998"/>
      <c r="D22" s="48" t="s">
        <v>25</v>
      </c>
      <c r="E22" s="55">
        <f t="shared" si="5"/>
        <v>0</v>
      </c>
      <c r="F22" s="56">
        <f t="shared" si="5"/>
        <v>0</v>
      </c>
      <c r="G22" s="56">
        <f t="shared" si="5"/>
        <v>0</v>
      </c>
      <c r="H22" s="7">
        <v>0</v>
      </c>
      <c r="I22" s="63">
        <f t="shared" si="5"/>
        <v>0</v>
      </c>
      <c r="J22" s="55">
        <v>0</v>
      </c>
      <c r="K22" s="56">
        <v>0</v>
      </c>
      <c r="L22" s="56">
        <v>0</v>
      </c>
      <c r="M22" s="7">
        <v>0</v>
      </c>
      <c r="N22" s="63"/>
      <c r="O22" s="55"/>
      <c r="P22" s="56"/>
      <c r="Q22" s="56"/>
      <c r="R22" s="7">
        <v>0</v>
      </c>
      <c r="S22" s="63"/>
      <c r="T22" s="55"/>
      <c r="U22" s="56"/>
      <c r="V22" s="56"/>
      <c r="W22" s="7">
        <v>0</v>
      </c>
      <c r="X22" s="92"/>
    </row>
    <row r="23" spans="1:24" s="3" customFormat="1" ht="9.75" x14ac:dyDescent="0.2">
      <c r="A23" s="27" t="s">
        <v>20</v>
      </c>
      <c r="B23" s="418" t="s">
        <v>66</v>
      </c>
      <c r="C23" s="419"/>
      <c r="D23" s="48" t="s">
        <v>25</v>
      </c>
      <c r="E23" s="55">
        <f t="shared" si="5"/>
        <v>0</v>
      </c>
      <c r="F23" s="56">
        <f t="shared" si="5"/>
        <v>0</v>
      </c>
      <c r="G23" s="56">
        <f t="shared" si="5"/>
        <v>0</v>
      </c>
      <c r="H23" s="7">
        <v>0</v>
      </c>
      <c r="I23" s="63">
        <f t="shared" si="5"/>
        <v>0</v>
      </c>
      <c r="J23" s="55">
        <v>0</v>
      </c>
      <c r="K23" s="56">
        <v>0</v>
      </c>
      <c r="L23" s="56">
        <v>0</v>
      </c>
      <c r="M23" s="7">
        <v>0</v>
      </c>
      <c r="N23" s="63"/>
      <c r="O23" s="55"/>
      <c r="P23" s="56"/>
      <c r="Q23" s="56"/>
      <c r="R23" s="7">
        <v>0</v>
      </c>
      <c r="S23" s="63"/>
      <c r="T23" s="55"/>
      <c r="U23" s="56"/>
      <c r="V23" s="56"/>
      <c r="W23" s="7">
        <v>0</v>
      </c>
      <c r="X23" s="92"/>
    </row>
    <row r="24" spans="1:24" s="3" customFormat="1" ht="9.75" x14ac:dyDescent="0.2">
      <c r="A24" s="27" t="s">
        <v>21</v>
      </c>
      <c r="B24" s="418" t="s">
        <v>73</v>
      </c>
      <c r="C24" s="419"/>
      <c r="D24" s="48" t="s">
        <v>25</v>
      </c>
      <c r="E24" s="55">
        <f t="shared" si="5"/>
        <v>0</v>
      </c>
      <c r="F24" s="56">
        <f t="shared" si="5"/>
        <v>0</v>
      </c>
      <c r="G24" s="56">
        <f t="shared" si="5"/>
        <v>0</v>
      </c>
      <c r="H24" s="7">
        <v>0</v>
      </c>
      <c r="I24" s="63">
        <f t="shared" si="5"/>
        <v>0</v>
      </c>
      <c r="J24" s="55">
        <v>0</v>
      </c>
      <c r="K24" s="56">
        <v>0</v>
      </c>
      <c r="L24" s="56">
        <v>0</v>
      </c>
      <c r="M24" s="7">
        <v>0</v>
      </c>
      <c r="N24" s="63"/>
      <c r="O24" s="55"/>
      <c r="P24" s="56"/>
      <c r="Q24" s="56"/>
      <c r="R24" s="7">
        <v>0</v>
      </c>
      <c r="S24" s="63"/>
      <c r="T24" s="55"/>
      <c r="U24" s="56"/>
      <c r="V24" s="56"/>
      <c r="W24" s="7">
        <v>0</v>
      </c>
      <c r="X24" s="92"/>
    </row>
    <row r="25" spans="1:24" s="3" customFormat="1" ht="9.75" x14ac:dyDescent="0.2">
      <c r="A25" s="28" t="s">
        <v>22</v>
      </c>
      <c r="B25" s="29" t="s">
        <v>68</v>
      </c>
      <c r="C25" s="30"/>
      <c r="D25" s="48" t="s">
        <v>25</v>
      </c>
      <c r="E25" s="55">
        <f t="shared" si="5"/>
        <v>0</v>
      </c>
      <c r="F25" s="56">
        <f t="shared" si="5"/>
        <v>0</v>
      </c>
      <c r="G25" s="56">
        <f t="shared" si="5"/>
        <v>0</v>
      </c>
      <c r="H25" s="7">
        <v>0</v>
      </c>
      <c r="I25" s="63">
        <f t="shared" si="5"/>
        <v>0</v>
      </c>
      <c r="J25" s="55">
        <v>0</v>
      </c>
      <c r="K25" s="56">
        <v>0</v>
      </c>
      <c r="L25" s="74">
        <v>0</v>
      </c>
      <c r="M25" s="7">
        <v>0</v>
      </c>
      <c r="N25" s="80"/>
      <c r="O25" s="81"/>
      <c r="P25" s="74"/>
      <c r="Q25" s="74"/>
      <c r="R25" s="7">
        <v>0</v>
      </c>
      <c r="S25" s="86"/>
      <c r="T25" s="81"/>
      <c r="U25" s="56"/>
      <c r="V25" s="56"/>
      <c r="W25" s="7">
        <v>0</v>
      </c>
      <c r="X25" s="96"/>
    </row>
    <row r="26" spans="1:24" s="10" customFormat="1" ht="9.75" x14ac:dyDescent="0.2">
      <c r="A26" s="27" t="s">
        <v>23</v>
      </c>
      <c r="B26" s="997" t="s">
        <v>69</v>
      </c>
      <c r="C26" s="998"/>
      <c r="D26" s="48" t="s">
        <v>25</v>
      </c>
      <c r="E26" s="55">
        <f t="shared" si="5"/>
        <v>527000</v>
      </c>
      <c r="F26" s="56">
        <f t="shared" si="5"/>
        <v>721500</v>
      </c>
      <c r="G26" s="56">
        <f t="shared" si="5"/>
        <v>720905</v>
      </c>
      <c r="H26" s="11">
        <f t="shared" si="0"/>
        <v>99.91753291753291</v>
      </c>
      <c r="I26" s="63">
        <f t="shared" si="5"/>
        <v>0</v>
      </c>
      <c r="J26" s="55">
        <v>527000</v>
      </c>
      <c r="K26" s="56">
        <v>721500</v>
      </c>
      <c r="L26" s="75">
        <v>720905</v>
      </c>
      <c r="M26" s="7">
        <f t="shared" si="2"/>
        <v>99.91753291753291</v>
      </c>
      <c r="N26" s="63"/>
      <c r="O26" s="82"/>
      <c r="P26" s="75"/>
      <c r="Q26" s="75"/>
      <c r="R26" s="7">
        <v>0</v>
      </c>
      <c r="S26" s="80"/>
      <c r="T26" s="87"/>
      <c r="U26" s="88"/>
      <c r="V26" s="56"/>
      <c r="W26" s="7">
        <v>0</v>
      </c>
      <c r="X26" s="97"/>
    </row>
    <row r="27" spans="1:24" s="12" customFormat="1" ht="9.75" x14ac:dyDescent="0.2">
      <c r="A27" s="27" t="s">
        <v>45</v>
      </c>
      <c r="B27" s="418" t="s">
        <v>70</v>
      </c>
      <c r="C27" s="419"/>
      <c r="D27" s="48" t="s">
        <v>25</v>
      </c>
      <c r="E27" s="55">
        <f t="shared" si="5"/>
        <v>0</v>
      </c>
      <c r="F27" s="56">
        <f t="shared" si="5"/>
        <v>0</v>
      </c>
      <c r="G27" s="56">
        <f t="shared" si="5"/>
        <v>0</v>
      </c>
      <c r="H27" s="11">
        <v>0</v>
      </c>
      <c r="I27" s="63">
        <f t="shared" si="5"/>
        <v>0</v>
      </c>
      <c r="J27" s="55">
        <v>0</v>
      </c>
      <c r="K27" s="56">
        <v>0</v>
      </c>
      <c r="L27" s="75">
        <v>0</v>
      </c>
      <c r="M27" s="7">
        <v>0</v>
      </c>
      <c r="N27" s="80"/>
      <c r="O27" s="82"/>
      <c r="P27" s="75"/>
      <c r="Q27" s="75"/>
      <c r="R27" s="7">
        <v>0</v>
      </c>
      <c r="S27" s="80"/>
      <c r="T27" s="87"/>
      <c r="U27" s="88"/>
      <c r="V27" s="56"/>
      <c r="W27" s="7">
        <v>0</v>
      </c>
      <c r="X27" s="97"/>
    </row>
    <row r="28" spans="1:24" s="12" customFormat="1" ht="9.75" x14ac:dyDescent="0.2">
      <c r="A28" s="27" t="s">
        <v>51</v>
      </c>
      <c r="B28" s="418" t="s">
        <v>74</v>
      </c>
      <c r="C28" s="419"/>
      <c r="D28" s="48" t="s">
        <v>25</v>
      </c>
      <c r="E28" s="55">
        <v>0</v>
      </c>
      <c r="F28" s="56">
        <f t="shared" si="5"/>
        <v>175000</v>
      </c>
      <c r="G28" s="56">
        <f t="shared" si="5"/>
        <v>172745</v>
      </c>
      <c r="H28" s="11">
        <f t="shared" si="0"/>
        <v>98.71142857142857</v>
      </c>
      <c r="I28" s="63">
        <v>0</v>
      </c>
      <c r="J28" s="55">
        <v>0</v>
      </c>
      <c r="K28" s="56">
        <v>175000</v>
      </c>
      <c r="L28" s="75">
        <v>172745</v>
      </c>
      <c r="M28" s="7">
        <f t="shared" si="2"/>
        <v>98.71142857142857</v>
      </c>
      <c r="N28" s="80"/>
      <c r="O28" s="82"/>
      <c r="P28" s="75"/>
      <c r="Q28" s="75"/>
      <c r="R28" s="7">
        <v>0</v>
      </c>
      <c r="S28" s="80"/>
      <c r="T28" s="87"/>
      <c r="U28" s="88"/>
      <c r="V28" s="56"/>
      <c r="W28" s="7">
        <v>0</v>
      </c>
      <c r="X28" s="97"/>
    </row>
    <row r="29" spans="1:24" s="10" customFormat="1" ht="9.75" x14ac:dyDescent="0.2">
      <c r="A29" s="27" t="s">
        <v>52</v>
      </c>
      <c r="B29" s="997" t="s">
        <v>67</v>
      </c>
      <c r="C29" s="998"/>
      <c r="D29" s="48" t="s">
        <v>25</v>
      </c>
      <c r="E29" s="55">
        <f t="shared" ref="E29:G31" si="6">SUM(J29,O29)</f>
        <v>0</v>
      </c>
      <c r="F29" s="56">
        <f t="shared" si="6"/>
        <v>33000</v>
      </c>
      <c r="G29" s="56">
        <f t="shared" si="6"/>
        <v>31393</v>
      </c>
      <c r="H29" s="11">
        <f t="shared" si="0"/>
        <v>95.130303030303025</v>
      </c>
      <c r="I29" s="63">
        <f>SUM(N29,S29)</f>
        <v>0</v>
      </c>
      <c r="J29" s="55">
        <v>0</v>
      </c>
      <c r="K29" s="56">
        <v>33000</v>
      </c>
      <c r="L29" s="75">
        <v>31393</v>
      </c>
      <c r="M29" s="7">
        <f t="shared" si="2"/>
        <v>95.130303030303025</v>
      </c>
      <c r="N29" s="80"/>
      <c r="O29" s="82"/>
      <c r="P29" s="75"/>
      <c r="Q29" s="75"/>
      <c r="R29" s="7">
        <v>0</v>
      </c>
      <c r="S29" s="80"/>
      <c r="T29" s="87"/>
      <c r="U29" s="88"/>
      <c r="V29" s="56"/>
      <c r="W29" s="7">
        <v>0</v>
      </c>
      <c r="X29" s="97"/>
    </row>
    <row r="30" spans="1:24" s="3" customFormat="1" ht="9.75" x14ac:dyDescent="0.2">
      <c r="A30" s="27" t="s">
        <v>54</v>
      </c>
      <c r="B30" s="418" t="s">
        <v>53</v>
      </c>
      <c r="C30" s="419"/>
      <c r="D30" s="48" t="s">
        <v>25</v>
      </c>
      <c r="E30" s="55">
        <f t="shared" si="6"/>
        <v>0</v>
      </c>
      <c r="F30" s="56">
        <f t="shared" si="6"/>
        <v>0</v>
      </c>
      <c r="G30" s="56">
        <f t="shared" si="6"/>
        <v>0</v>
      </c>
      <c r="H30" s="11">
        <v>0</v>
      </c>
      <c r="I30" s="63">
        <f>SUM(N30,S30)</f>
        <v>0</v>
      </c>
      <c r="J30" s="55">
        <v>0</v>
      </c>
      <c r="K30" s="56">
        <v>0</v>
      </c>
      <c r="L30" s="75"/>
      <c r="M30" s="7">
        <v>0</v>
      </c>
      <c r="N30" s="80"/>
      <c r="O30" s="82"/>
      <c r="P30" s="75"/>
      <c r="Q30" s="75"/>
      <c r="R30" s="7">
        <v>0</v>
      </c>
      <c r="S30" s="80"/>
      <c r="T30" s="87"/>
      <c r="U30" s="88"/>
      <c r="V30" s="56"/>
      <c r="W30" s="7">
        <v>0</v>
      </c>
      <c r="X30" s="97"/>
    </row>
    <row r="31" spans="1:24" s="31" customFormat="1" ht="9.75" x14ac:dyDescent="0.2">
      <c r="A31" s="27" t="s">
        <v>55</v>
      </c>
      <c r="B31" s="102" t="s">
        <v>71</v>
      </c>
      <c r="C31" s="103"/>
      <c r="D31" s="48" t="s">
        <v>25</v>
      </c>
      <c r="E31" s="55">
        <f t="shared" si="6"/>
        <v>0</v>
      </c>
      <c r="F31" s="56">
        <f t="shared" si="6"/>
        <v>0</v>
      </c>
      <c r="G31" s="56">
        <f t="shared" si="6"/>
        <v>0</v>
      </c>
      <c r="H31" s="11">
        <v>0</v>
      </c>
      <c r="I31" s="63">
        <f>SUM(N31,S31)</f>
        <v>0</v>
      </c>
      <c r="J31" s="55">
        <v>0</v>
      </c>
      <c r="K31" s="56">
        <v>0</v>
      </c>
      <c r="L31" s="104"/>
      <c r="M31" s="7">
        <v>0</v>
      </c>
      <c r="N31" s="105"/>
      <c r="O31" s="106"/>
      <c r="P31" s="104"/>
      <c r="Q31" s="104"/>
      <c r="R31" s="7">
        <v>0</v>
      </c>
      <c r="S31" s="105"/>
      <c r="T31" s="107"/>
      <c r="U31" s="108"/>
      <c r="V31" s="56"/>
      <c r="W31" s="7">
        <v>0</v>
      </c>
      <c r="X31" s="109"/>
    </row>
    <row r="32" spans="1:24" s="31" customFormat="1" ht="9.75" x14ac:dyDescent="0.2">
      <c r="A32" s="110" t="s">
        <v>56</v>
      </c>
      <c r="B32" s="111" t="s">
        <v>72</v>
      </c>
      <c r="C32" s="112"/>
      <c r="D32" s="49" t="s">
        <v>25</v>
      </c>
      <c r="E32" s="57">
        <f>SUM(J32,O32)</f>
        <v>0</v>
      </c>
      <c r="F32" s="58">
        <f>SUM(K32,P32)</f>
        <v>0</v>
      </c>
      <c r="G32" s="58">
        <f>SUM(L32,Q32)</f>
        <v>0</v>
      </c>
      <c r="H32" s="13">
        <v>0</v>
      </c>
      <c r="I32" s="65">
        <f>SUM(N32,S32)</f>
        <v>0</v>
      </c>
      <c r="J32" s="57">
        <v>0</v>
      </c>
      <c r="K32" s="58">
        <v>0</v>
      </c>
      <c r="L32" s="90"/>
      <c r="M32" s="24">
        <v>0</v>
      </c>
      <c r="N32" s="114"/>
      <c r="O32" s="89"/>
      <c r="P32" s="90"/>
      <c r="Q32" s="90"/>
      <c r="R32" s="24">
        <v>0</v>
      </c>
      <c r="S32" s="114"/>
      <c r="T32" s="89"/>
      <c r="U32" s="90"/>
      <c r="V32" s="56"/>
      <c r="W32" s="7">
        <v>0</v>
      </c>
      <c r="X32" s="98"/>
    </row>
    <row r="33" spans="1:24" s="31" customFormat="1" ht="9.75" x14ac:dyDescent="0.2">
      <c r="A33" s="16" t="s">
        <v>57</v>
      </c>
      <c r="B33" s="34" t="s">
        <v>58</v>
      </c>
      <c r="C33" s="35"/>
      <c r="D33" s="17" t="s">
        <v>25</v>
      </c>
      <c r="E33" s="52">
        <f>E6-E11</f>
        <v>0</v>
      </c>
      <c r="F33" s="52">
        <f t="shared" ref="F33:G33" si="7">F6-F11</f>
        <v>0</v>
      </c>
      <c r="G33" s="52">
        <f t="shared" si="7"/>
        <v>156882.02999999933</v>
      </c>
      <c r="H33" s="32">
        <v>0</v>
      </c>
      <c r="I33" s="52">
        <f t="shared" ref="I33:L33" si="8">I6-I11</f>
        <v>0</v>
      </c>
      <c r="J33" s="52">
        <f t="shared" si="8"/>
        <v>0</v>
      </c>
      <c r="K33" s="52">
        <f t="shared" si="8"/>
        <v>0</v>
      </c>
      <c r="L33" s="52">
        <f t="shared" si="8"/>
        <v>156882.02999999933</v>
      </c>
      <c r="M33" s="33">
        <v>0</v>
      </c>
      <c r="N33" s="52">
        <f t="shared" ref="N33:Q33" si="9">N6-N11</f>
        <v>0</v>
      </c>
      <c r="O33" s="52">
        <f t="shared" si="9"/>
        <v>0</v>
      </c>
      <c r="P33" s="52">
        <f t="shared" si="9"/>
        <v>0</v>
      </c>
      <c r="Q33" s="52">
        <f t="shared" si="9"/>
        <v>0</v>
      </c>
      <c r="R33" s="33">
        <v>0</v>
      </c>
      <c r="S33" s="52">
        <f t="shared" ref="S33:V33" si="10">S6-S11</f>
        <v>0</v>
      </c>
      <c r="T33" s="52">
        <f t="shared" si="10"/>
        <v>0</v>
      </c>
      <c r="U33" s="52">
        <f t="shared" si="10"/>
        <v>85000</v>
      </c>
      <c r="V33" s="52">
        <f t="shared" si="10"/>
        <v>87152</v>
      </c>
      <c r="W33" s="52">
        <v>0</v>
      </c>
      <c r="X33" s="52">
        <f>X6-X11</f>
        <v>0</v>
      </c>
    </row>
    <row r="34" spans="1:24" s="37" customFormat="1" ht="9" x14ac:dyDescent="0.2">
      <c r="A34" s="36" t="s">
        <v>59</v>
      </c>
      <c r="B34" s="999" t="s">
        <v>24</v>
      </c>
      <c r="C34" s="1000"/>
      <c r="D34" s="99" t="s">
        <v>25</v>
      </c>
      <c r="E34" s="40">
        <v>23277</v>
      </c>
      <c r="F34" s="41">
        <f>E34</f>
        <v>23277</v>
      </c>
      <c r="G34" s="41">
        <v>23277</v>
      </c>
      <c r="H34" s="9"/>
      <c r="I34" s="44"/>
      <c r="J34" s="40">
        <v>23277</v>
      </c>
      <c r="K34" s="41">
        <f>J34</f>
        <v>23277</v>
      </c>
      <c r="L34" s="41">
        <v>23277</v>
      </c>
      <c r="M34" s="9"/>
      <c r="N34" s="44"/>
      <c r="O34" s="40"/>
      <c r="P34" s="41"/>
      <c r="Q34" s="41"/>
      <c r="R34" s="9"/>
      <c r="S34" s="44"/>
      <c r="T34" s="40"/>
      <c r="U34" s="41"/>
      <c r="V34" s="41"/>
      <c r="W34" s="9"/>
      <c r="X34" s="44"/>
    </row>
    <row r="35" spans="1:24" s="37" customFormat="1" ht="9" x14ac:dyDescent="0.2">
      <c r="A35" s="38" t="s">
        <v>60</v>
      </c>
      <c r="B35" s="1001" t="s">
        <v>33</v>
      </c>
      <c r="C35" s="1002"/>
      <c r="D35" s="100" t="s">
        <v>26</v>
      </c>
      <c r="E35" s="118">
        <v>4</v>
      </c>
      <c r="F35" s="119">
        <v>4</v>
      </c>
      <c r="G35" s="119">
        <v>4</v>
      </c>
      <c r="H35" s="11"/>
      <c r="I35" s="45"/>
      <c r="J35" s="118">
        <v>4</v>
      </c>
      <c r="K35" s="119">
        <v>4</v>
      </c>
      <c r="L35" s="119">
        <v>4</v>
      </c>
      <c r="M35" s="11"/>
      <c r="N35" s="45"/>
      <c r="O35" s="118"/>
      <c r="P35" s="119"/>
      <c r="Q35" s="119"/>
      <c r="R35" s="11"/>
      <c r="S35" s="45"/>
      <c r="T35" s="118"/>
      <c r="U35" s="119"/>
      <c r="V35" s="119"/>
      <c r="W35" s="11"/>
      <c r="X35" s="45"/>
    </row>
    <row r="36" spans="1:24" s="37" customFormat="1" ht="9" x14ac:dyDescent="0.2">
      <c r="A36" s="39" t="s">
        <v>61</v>
      </c>
      <c r="B36" s="1003" t="s">
        <v>27</v>
      </c>
      <c r="C36" s="1004"/>
      <c r="D36" s="101" t="s">
        <v>26</v>
      </c>
      <c r="E36" s="42">
        <v>4</v>
      </c>
      <c r="F36" s="43">
        <v>4</v>
      </c>
      <c r="G36" s="43">
        <v>4</v>
      </c>
      <c r="H36" s="13"/>
      <c r="I36" s="46"/>
      <c r="J36" s="42">
        <v>4</v>
      </c>
      <c r="K36" s="43">
        <v>4</v>
      </c>
      <c r="L36" s="43">
        <v>4</v>
      </c>
      <c r="M36" s="13"/>
      <c r="N36" s="46"/>
      <c r="O36" s="42"/>
      <c r="P36" s="43"/>
      <c r="Q36" s="43"/>
      <c r="R36" s="13"/>
      <c r="S36" s="46"/>
      <c r="T36" s="42"/>
      <c r="U36" s="43"/>
      <c r="V36" s="43"/>
      <c r="W36" s="13"/>
      <c r="X36" s="46"/>
    </row>
  </sheetData>
  <mergeCells count="39">
    <mergeCell ref="A1:X1"/>
    <mergeCell ref="A3:A5"/>
    <mergeCell ref="B3:C5"/>
    <mergeCell ref="D3:D5"/>
    <mergeCell ref="E3:I3"/>
    <mergeCell ref="J3:N3"/>
    <mergeCell ref="O3:S3"/>
    <mergeCell ref="T3:X3"/>
    <mergeCell ref="E4:E5"/>
    <mergeCell ref="F4:H4"/>
    <mergeCell ref="S4:S5"/>
    <mergeCell ref="T4:T5"/>
    <mergeCell ref="U4:W4"/>
    <mergeCell ref="X4:X5"/>
    <mergeCell ref="O4:O5"/>
    <mergeCell ref="P4:R4"/>
    <mergeCell ref="B7:C7"/>
    <mergeCell ref="I4:I5"/>
    <mergeCell ref="J4:J5"/>
    <mergeCell ref="K4:M4"/>
    <mergeCell ref="N4:N5"/>
    <mergeCell ref="B6:C6"/>
    <mergeCell ref="B22:C22"/>
    <mergeCell ref="B8:C8"/>
    <mergeCell ref="B10:C10"/>
    <mergeCell ref="B11:C11"/>
    <mergeCell ref="B12:C12"/>
    <mergeCell ref="B13:C13"/>
    <mergeCell ref="B15:C15"/>
    <mergeCell ref="B16:C16"/>
    <mergeCell ref="B18:C18"/>
    <mergeCell ref="B19:C19"/>
    <mergeCell ref="B20:C20"/>
    <mergeCell ref="B21:C21"/>
    <mergeCell ref="B26:C26"/>
    <mergeCell ref="B29:C29"/>
    <mergeCell ref="B34:C34"/>
    <mergeCell ref="B35:C35"/>
    <mergeCell ref="B36:C36"/>
  </mergeCells>
  <pageMargins left="0.70866141732283472" right="0.70866141732283472" top="0.78740157480314965" bottom="0.78740157480314965" header="0.31496062992125984" footer="0.31496062992125984"/>
  <pageSetup paperSize="9" scale="91" firstPageNumber="137" orientation="landscape" useFirstPageNumber="1" r:id="rId1"/>
  <headerFoot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0"/>
  <sheetViews>
    <sheetView topLeftCell="A73" workbookViewId="0">
      <selection activeCell="A107" sqref="A107:XFD107"/>
    </sheetView>
  </sheetViews>
  <sheetFormatPr defaultRowHeight="12.75" x14ac:dyDescent="0.2"/>
  <cols>
    <col min="1" max="1" width="58" style="240" customWidth="1"/>
    <col min="2" max="2" width="33.5" style="240" customWidth="1"/>
    <col min="3" max="5" width="25.75" style="240" customWidth="1"/>
    <col min="6" max="6" width="22.75" style="240" customWidth="1"/>
    <col min="7" max="16384" width="10" style="240"/>
  </cols>
  <sheetData>
    <row r="1" spans="1:9" s="425" customFormat="1" ht="18.75" x14ac:dyDescent="0.3">
      <c r="A1" s="947" t="s">
        <v>1197</v>
      </c>
    </row>
    <row r="3" spans="1:9" s="180" customFormat="1" ht="10.5" x14ac:dyDescent="0.15">
      <c r="A3" s="1039" t="s">
        <v>354</v>
      </c>
      <c r="B3" s="1039"/>
      <c r="C3" s="1039"/>
      <c r="D3" s="1039"/>
      <c r="E3" s="1039"/>
      <c r="F3" s="1039"/>
      <c r="G3" s="1039"/>
      <c r="H3" s="1039"/>
      <c r="I3" s="1039"/>
    </row>
    <row r="4" spans="1:9" s="181" customFormat="1" ht="11.25" x14ac:dyDescent="0.2"/>
    <row r="5" spans="1:9" s="182" customFormat="1" ht="9.75" x14ac:dyDescent="0.2">
      <c r="A5" s="1040" t="s">
        <v>93</v>
      </c>
      <c r="B5" s="1041"/>
      <c r="C5" s="420" t="s">
        <v>25</v>
      </c>
      <c r="D5" s="1042" t="s">
        <v>355</v>
      </c>
      <c r="E5" s="1042"/>
      <c r="F5" s="1042"/>
      <c r="G5" s="1042"/>
      <c r="H5" s="1042"/>
      <c r="I5" s="1042"/>
    </row>
    <row r="6" spans="1:9" s="181" customFormat="1" ht="15" customHeight="1" x14ac:dyDescent="0.2">
      <c r="A6" s="1043" t="s">
        <v>356</v>
      </c>
      <c r="B6" s="1043"/>
      <c r="C6" s="183">
        <f>SUM(C7:C9)</f>
        <v>244034.63</v>
      </c>
      <c r="D6" s="1044"/>
      <c r="E6" s="1045"/>
      <c r="F6" s="1045"/>
      <c r="G6" s="1045"/>
      <c r="H6" s="1045"/>
      <c r="I6" s="1045"/>
    </row>
    <row r="7" spans="1:9" s="181" customFormat="1" ht="33.75" customHeight="1" x14ac:dyDescent="0.2">
      <c r="A7" s="1046" t="s">
        <v>94</v>
      </c>
      <c r="B7" s="1047"/>
      <c r="C7" s="184">
        <v>156882.23000000001</v>
      </c>
      <c r="D7" s="1048" t="s">
        <v>1198</v>
      </c>
      <c r="E7" s="1048"/>
      <c r="F7" s="1048"/>
      <c r="G7" s="1048"/>
      <c r="H7" s="1048"/>
      <c r="I7" s="1048"/>
    </row>
    <row r="8" spans="1:9" s="180" customFormat="1" ht="27" customHeight="1" x14ac:dyDescent="0.15">
      <c r="A8" s="1049" t="s">
        <v>95</v>
      </c>
      <c r="B8" s="1050"/>
      <c r="C8" s="185">
        <v>87152.4</v>
      </c>
      <c r="D8" s="1048" t="s">
        <v>1199</v>
      </c>
      <c r="E8" s="1048"/>
      <c r="F8" s="1048"/>
      <c r="G8" s="1048"/>
      <c r="H8" s="1048"/>
      <c r="I8" s="1048"/>
    </row>
    <row r="9" spans="1:9" s="180" customFormat="1" ht="15" customHeight="1" x14ac:dyDescent="0.15">
      <c r="A9" s="1049" t="s">
        <v>96</v>
      </c>
      <c r="B9" s="1050"/>
      <c r="C9" s="185"/>
      <c r="D9" s="1051"/>
      <c r="E9" s="1052"/>
      <c r="F9" s="1052"/>
      <c r="G9" s="1052"/>
      <c r="H9" s="1052"/>
      <c r="I9" s="1053"/>
    </row>
    <row r="10" spans="1:9" s="181" customFormat="1" ht="11.25" x14ac:dyDescent="0.2">
      <c r="C10" s="186"/>
    </row>
    <row r="11" spans="1:9" s="181" customFormat="1" ht="11.25" x14ac:dyDescent="0.2">
      <c r="A11" s="1039" t="s">
        <v>359</v>
      </c>
      <c r="B11" s="1039"/>
      <c r="C11" s="1039"/>
      <c r="D11" s="1039"/>
      <c r="E11" s="1039"/>
      <c r="F11" s="1039"/>
      <c r="G11" s="1039"/>
      <c r="H11" s="1039"/>
      <c r="I11" s="1039"/>
    </row>
    <row r="12" spans="1:9" s="181" customFormat="1" ht="11.25" x14ac:dyDescent="0.2">
      <c r="C12" s="186"/>
      <c r="D12" s="187"/>
      <c r="E12" s="187"/>
      <c r="F12" s="187"/>
      <c r="G12" s="187"/>
      <c r="H12" s="187"/>
      <c r="I12" s="187"/>
    </row>
    <row r="13" spans="1:9" s="190" customFormat="1" ht="9.75" x14ac:dyDescent="0.2">
      <c r="A13" s="420" t="s">
        <v>93</v>
      </c>
      <c r="B13" s="420" t="s">
        <v>97</v>
      </c>
      <c r="C13" s="420" t="s">
        <v>25</v>
      </c>
      <c r="D13" s="188"/>
      <c r="E13" s="189"/>
      <c r="F13" s="189"/>
      <c r="G13" s="189"/>
      <c r="H13" s="189"/>
      <c r="I13" s="189"/>
    </row>
    <row r="14" spans="1:9" s="181" customFormat="1" ht="15" customHeight="1" x14ac:dyDescent="0.2">
      <c r="A14" s="191" t="s">
        <v>98</v>
      </c>
      <c r="B14" s="192"/>
      <c r="C14" s="193"/>
      <c r="D14" s="194"/>
      <c r="E14" s="195"/>
      <c r="F14" s="195"/>
      <c r="G14" s="195"/>
      <c r="H14" s="195"/>
      <c r="I14" s="195"/>
    </row>
    <row r="15" spans="1:9" s="181" customFormat="1" ht="15" customHeight="1" x14ac:dyDescent="0.2">
      <c r="A15" s="1037" t="s">
        <v>99</v>
      </c>
      <c r="B15" s="196" t="s">
        <v>100</v>
      </c>
      <c r="C15" s="197">
        <v>156882.23000000001</v>
      </c>
      <c r="D15" s="198"/>
      <c r="E15" s="199"/>
      <c r="F15" s="199"/>
      <c r="G15" s="199"/>
      <c r="H15" s="199"/>
      <c r="I15" s="199"/>
    </row>
    <row r="16" spans="1:9" s="181" customFormat="1" ht="15" customHeight="1" x14ac:dyDescent="0.2">
      <c r="A16" s="1038"/>
      <c r="B16" s="200" t="s">
        <v>100</v>
      </c>
      <c r="C16" s="201">
        <v>57152.4</v>
      </c>
      <c r="D16" s="198"/>
      <c r="E16" s="199"/>
      <c r="F16" s="199"/>
      <c r="G16" s="199"/>
      <c r="H16" s="199"/>
      <c r="I16" s="199"/>
    </row>
    <row r="17" spans="1:9" s="181" customFormat="1" ht="15" customHeight="1" x14ac:dyDescent="0.2">
      <c r="A17" s="1038"/>
      <c r="B17" s="200" t="s">
        <v>101</v>
      </c>
      <c r="C17" s="202">
        <v>30000</v>
      </c>
      <c r="D17" s="203"/>
      <c r="E17" s="204"/>
      <c r="F17" s="204"/>
      <c r="G17" s="204"/>
      <c r="H17" s="204"/>
      <c r="I17" s="204"/>
    </row>
    <row r="18" spans="1:9" s="181" customFormat="1" ht="15" customHeight="1" x14ac:dyDescent="0.2">
      <c r="A18" s="421" t="s">
        <v>356</v>
      </c>
      <c r="B18" s="205"/>
      <c r="C18" s="206">
        <f>SUM(C14:C17)</f>
        <v>244034.63</v>
      </c>
      <c r="D18" s="207"/>
      <c r="E18" s="207"/>
      <c r="F18" s="207"/>
      <c r="G18" s="207"/>
      <c r="H18" s="207"/>
      <c r="I18" s="207"/>
    </row>
    <row r="19" spans="1:9" s="209" customFormat="1" ht="11.25" x14ac:dyDescent="0.2">
      <c r="A19" s="208"/>
      <c r="C19" s="210"/>
      <c r="D19" s="211"/>
      <c r="E19" s="211"/>
      <c r="F19" s="211"/>
      <c r="G19" s="211"/>
      <c r="H19" s="211"/>
      <c r="I19" s="211"/>
    </row>
    <row r="20" spans="1:9" s="181" customFormat="1" ht="11.25" x14ac:dyDescent="0.2">
      <c r="A20" s="1039" t="s">
        <v>360</v>
      </c>
      <c r="B20" s="1039"/>
      <c r="C20" s="1039"/>
      <c r="D20" s="1039"/>
      <c r="E20" s="1039"/>
      <c r="F20" s="1039"/>
      <c r="G20" s="1039"/>
      <c r="H20" s="1039"/>
      <c r="I20" s="1039"/>
    </row>
    <row r="21" spans="1:9" s="181" customFormat="1" ht="11.25" x14ac:dyDescent="0.2">
      <c r="C21" s="186"/>
    </row>
    <row r="22" spans="1:9" s="212" customFormat="1" ht="9.75" x14ac:dyDescent="0.2">
      <c r="A22" s="420" t="s">
        <v>97</v>
      </c>
      <c r="B22" s="420" t="s">
        <v>361</v>
      </c>
      <c r="C22" s="423" t="s">
        <v>362</v>
      </c>
      <c r="D22" s="420" t="s">
        <v>363</v>
      </c>
      <c r="E22" s="420" t="s">
        <v>364</v>
      </c>
      <c r="F22" s="1042" t="s">
        <v>365</v>
      </c>
      <c r="G22" s="1042"/>
      <c r="H22" s="1042"/>
      <c r="I22" s="1042"/>
    </row>
    <row r="23" spans="1:9" s="181" customFormat="1" ht="21" customHeight="1" x14ac:dyDescent="0.2">
      <c r="A23" s="213" t="s">
        <v>102</v>
      </c>
      <c r="B23" s="214">
        <v>0</v>
      </c>
      <c r="C23" s="214">
        <v>0</v>
      </c>
      <c r="D23" s="214">
        <v>0</v>
      </c>
      <c r="E23" s="214">
        <f>B23+C23-D23</f>
        <v>0</v>
      </c>
      <c r="F23" s="1054">
        <v>0</v>
      </c>
      <c r="G23" s="1055"/>
      <c r="H23" s="1055"/>
      <c r="I23" s="1056"/>
    </row>
    <row r="24" spans="1:9" s="181" customFormat="1" ht="27.75" customHeight="1" x14ac:dyDescent="0.2">
      <c r="A24" s="196" t="s">
        <v>103</v>
      </c>
      <c r="B24" s="215">
        <v>0</v>
      </c>
      <c r="C24" s="215">
        <v>720905.2</v>
      </c>
      <c r="D24" s="215">
        <v>307538</v>
      </c>
      <c r="E24" s="215">
        <f t="shared" ref="E24:E26" si="0">B24+C24-D24</f>
        <v>413367.19999999995</v>
      </c>
      <c r="F24" s="1057" t="s">
        <v>1200</v>
      </c>
      <c r="G24" s="1058"/>
      <c r="H24" s="1058"/>
      <c r="I24" s="1059"/>
    </row>
    <row r="25" spans="1:9" s="181" customFormat="1" ht="15" customHeight="1" x14ac:dyDescent="0.2">
      <c r="A25" s="196" t="s">
        <v>101</v>
      </c>
      <c r="B25" s="215">
        <v>0</v>
      </c>
      <c r="C25" s="215">
        <v>0</v>
      </c>
      <c r="D25" s="215">
        <v>0</v>
      </c>
      <c r="E25" s="215">
        <f t="shared" si="0"/>
        <v>0</v>
      </c>
      <c r="F25" s="1057">
        <v>0</v>
      </c>
      <c r="G25" s="1058"/>
      <c r="H25" s="1058"/>
      <c r="I25" s="1059"/>
    </row>
    <row r="26" spans="1:9" s="181" customFormat="1" ht="15" customHeight="1" x14ac:dyDescent="0.2">
      <c r="A26" s="200" t="s">
        <v>104</v>
      </c>
      <c r="B26" s="216">
        <v>0</v>
      </c>
      <c r="C26" s="216">
        <v>29545</v>
      </c>
      <c r="D26" s="216">
        <v>20426</v>
      </c>
      <c r="E26" s="215">
        <f t="shared" si="0"/>
        <v>9119</v>
      </c>
      <c r="F26" s="1060" t="s">
        <v>1201</v>
      </c>
      <c r="G26" s="1061"/>
      <c r="H26" s="1061"/>
      <c r="I26" s="1062"/>
    </row>
    <row r="27" spans="1:9" s="180" customFormat="1" ht="10.5" x14ac:dyDescent="0.15">
      <c r="A27" s="217" t="s">
        <v>34</v>
      </c>
      <c r="B27" s="183">
        <f>SUM(B23:B26)</f>
        <v>0</v>
      </c>
      <c r="C27" s="183">
        <f t="shared" ref="C27:E27" si="1">SUM(C23:C26)</f>
        <v>750450.2</v>
      </c>
      <c r="D27" s="183">
        <f t="shared" si="1"/>
        <v>327964</v>
      </c>
      <c r="E27" s="183">
        <f t="shared" si="1"/>
        <v>422486.19999999995</v>
      </c>
      <c r="F27" s="1063"/>
      <c r="G27" s="1063"/>
      <c r="H27" s="1063"/>
      <c r="I27" s="1064"/>
    </row>
    <row r="28" spans="1:9" s="181" customFormat="1" ht="11.25" x14ac:dyDescent="0.2">
      <c r="C28" s="186"/>
    </row>
    <row r="29" spans="1:9" s="181" customFormat="1" ht="11.25" x14ac:dyDescent="0.2">
      <c r="A29" s="1039" t="s">
        <v>370</v>
      </c>
      <c r="B29" s="1039"/>
      <c r="C29" s="1039"/>
      <c r="D29" s="1039"/>
      <c r="E29" s="1039"/>
      <c r="F29" s="1039"/>
      <c r="G29" s="1039"/>
      <c r="H29" s="1039"/>
      <c r="I29" s="1039"/>
    </row>
    <row r="30" spans="1:9" s="181" customFormat="1" ht="11.25" x14ac:dyDescent="0.2">
      <c r="C30" s="186"/>
    </row>
    <row r="31" spans="1:9" s="181" customFormat="1" ht="11.25" x14ac:dyDescent="0.2">
      <c r="A31" s="420" t="s">
        <v>105</v>
      </c>
      <c r="B31" s="420" t="s">
        <v>25</v>
      </c>
      <c r="C31" s="423" t="s">
        <v>106</v>
      </c>
      <c r="D31" s="1042" t="s">
        <v>107</v>
      </c>
      <c r="E31" s="1042"/>
      <c r="F31" s="1042"/>
      <c r="G31" s="1042"/>
      <c r="H31" s="1042"/>
      <c r="I31" s="1042"/>
    </row>
    <row r="32" spans="1:9" s="181" customFormat="1" ht="15" customHeight="1" x14ac:dyDescent="0.2">
      <c r="A32" s="218" t="s">
        <v>1202</v>
      </c>
      <c r="B32" s="214"/>
      <c r="C32" s="219"/>
      <c r="D32" s="1065"/>
      <c r="E32" s="1066"/>
      <c r="F32" s="1066"/>
      <c r="G32" s="1066"/>
      <c r="H32" s="1066"/>
      <c r="I32" s="1067"/>
    </row>
    <row r="33" spans="1:9" s="180" customFormat="1" ht="11.25" x14ac:dyDescent="0.2">
      <c r="A33" s="217" t="s">
        <v>34</v>
      </c>
      <c r="B33" s="183">
        <f>SUM(B32:B32)</f>
        <v>0</v>
      </c>
      <c r="C33" s="1068"/>
      <c r="D33" s="1069"/>
      <c r="E33" s="1069"/>
      <c r="F33" s="1069"/>
      <c r="G33" s="1069"/>
      <c r="H33" s="1069"/>
      <c r="I33" s="1070"/>
    </row>
    <row r="34" spans="1:9" s="181" customFormat="1" ht="11.25" x14ac:dyDescent="0.2">
      <c r="C34" s="186"/>
    </row>
    <row r="35" spans="1:9" s="181" customFormat="1" ht="11.25" x14ac:dyDescent="0.2">
      <c r="A35" s="1039" t="s">
        <v>372</v>
      </c>
      <c r="B35" s="1039"/>
      <c r="C35" s="1039"/>
      <c r="D35" s="1039"/>
      <c r="E35" s="1039"/>
      <c r="F35" s="1039"/>
      <c r="G35" s="1039"/>
      <c r="H35" s="1039"/>
      <c r="I35" s="1039"/>
    </row>
    <row r="36" spans="1:9" s="181" customFormat="1" ht="11.25" x14ac:dyDescent="0.2">
      <c r="C36" s="186"/>
    </row>
    <row r="37" spans="1:9" s="181" customFormat="1" ht="11.25" x14ac:dyDescent="0.2">
      <c r="A37" s="420" t="s">
        <v>105</v>
      </c>
      <c r="B37" s="420" t="s">
        <v>25</v>
      </c>
      <c r="C37" s="423" t="s">
        <v>106</v>
      </c>
      <c r="D37" s="1071" t="s">
        <v>107</v>
      </c>
      <c r="E37" s="1071"/>
      <c r="F37" s="1071"/>
      <c r="G37" s="1071"/>
      <c r="H37" s="1071"/>
      <c r="I37" s="1072"/>
    </row>
    <row r="38" spans="1:9" s="181" customFormat="1" ht="15" customHeight="1" x14ac:dyDescent="0.2">
      <c r="A38" s="218" t="s">
        <v>1202</v>
      </c>
      <c r="B38" s="214"/>
      <c r="C38" s="219"/>
      <c r="D38" s="1057"/>
      <c r="E38" s="1073"/>
      <c r="F38" s="1073"/>
      <c r="G38" s="1073"/>
      <c r="H38" s="1073"/>
      <c r="I38" s="1074"/>
    </row>
    <row r="39" spans="1:9" s="180" customFormat="1" ht="10.5" x14ac:dyDescent="0.15">
      <c r="A39" s="217" t="s">
        <v>34</v>
      </c>
      <c r="B39" s="183">
        <f>SUM(B38:B38)</f>
        <v>0</v>
      </c>
      <c r="C39" s="1075"/>
      <c r="D39" s="1076"/>
      <c r="E39" s="1076"/>
      <c r="F39" s="1076"/>
      <c r="G39" s="1076"/>
      <c r="H39" s="1076"/>
      <c r="I39" s="1076"/>
    </row>
    <row r="40" spans="1:9" s="181" customFormat="1" ht="11.25" x14ac:dyDescent="0.2">
      <c r="C40" s="186"/>
    </row>
    <row r="41" spans="1:9" s="181" customFormat="1" ht="11.25" x14ac:dyDescent="0.2">
      <c r="A41" s="1039" t="s">
        <v>374</v>
      </c>
      <c r="B41" s="1039"/>
      <c r="C41" s="1039"/>
      <c r="D41" s="1039"/>
      <c r="E41" s="1039"/>
      <c r="F41" s="1039"/>
      <c r="G41" s="1039"/>
      <c r="H41" s="1039"/>
      <c r="I41" s="1039"/>
    </row>
    <row r="42" spans="1:9" s="181" customFormat="1" ht="11.25" x14ac:dyDescent="0.2">
      <c r="C42" s="186"/>
    </row>
    <row r="43" spans="1:9" s="181" customFormat="1" ht="11.25" x14ac:dyDescent="0.2">
      <c r="A43" s="420" t="s">
        <v>25</v>
      </c>
      <c r="B43" s="423" t="s">
        <v>375</v>
      </c>
      <c r="C43" s="1077" t="s">
        <v>108</v>
      </c>
      <c r="D43" s="1077"/>
      <c r="E43" s="1077"/>
      <c r="F43" s="1077"/>
      <c r="G43" s="1077"/>
      <c r="H43" s="1077"/>
      <c r="I43" s="1078"/>
    </row>
    <row r="44" spans="1:9" s="181" customFormat="1" ht="11.25" x14ac:dyDescent="0.2">
      <c r="A44" s="228" t="s">
        <v>1202</v>
      </c>
      <c r="B44" s="228"/>
      <c r="C44" s="1079"/>
      <c r="D44" s="1079"/>
      <c r="E44" s="1079"/>
      <c r="F44" s="1079"/>
      <c r="G44" s="1079"/>
      <c r="H44" s="1079"/>
      <c r="I44" s="1080"/>
    </row>
    <row r="45" spans="1:9" s="180" customFormat="1" ht="10.5" x14ac:dyDescent="0.15">
      <c r="A45" s="183"/>
      <c r="B45" s="183">
        <f>SUM(B44)</f>
        <v>0</v>
      </c>
      <c r="C45" s="1081" t="s">
        <v>34</v>
      </c>
      <c r="D45" s="1081"/>
      <c r="E45" s="1081"/>
      <c r="F45" s="1081"/>
      <c r="G45" s="1081"/>
      <c r="H45" s="1081"/>
      <c r="I45" s="1082"/>
    </row>
    <row r="46" spans="1:9" s="181" customFormat="1" ht="11.25" x14ac:dyDescent="0.2">
      <c r="C46" s="186"/>
    </row>
    <row r="47" spans="1:9" s="181" customFormat="1" ht="11.25" x14ac:dyDescent="0.2">
      <c r="A47" s="1039" t="s">
        <v>377</v>
      </c>
      <c r="B47" s="1039"/>
      <c r="C47" s="1039"/>
      <c r="D47" s="1039"/>
      <c r="E47" s="1039"/>
      <c r="F47" s="1039"/>
      <c r="G47" s="1039"/>
      <c r="H47" s="1039"/>
      <c r="I47" s="1039"/>
    </row>
    <row r="48" spans="1:9" s="181" customFormat="1" ht="11.25" x14ac:dyDescent="0.2">
      <c r="C48" s="186"/>
    </row>
    <row r="49" spans="1:7" s="232" customFormat="1" ht="11.25" x14ac:dyDescent="0.2">
      <c r="A49" s="1042" t="s">
        <v>109</v>
      </c>
      <c r="B49" s="1042"/>
      <c r="C49" s="948" t="s">
        <v>110</v>
      </c>
      <c r="D49" s="420" t="s">
        <v>111</v>
      </c>
      <c r="E49" s="420" t="s">
        <v>25</v>
      </c>
    </row>
    <row r="50" spans="1:7" s="181" customFormat="1" ht="15" x14ac:dyDescent="0.25">
      <c r="A50" s="1582" t="s">
        <v>628</v>
      </c>
      <c r="B50" s="1583"/>
      <c r="C50" s="949">
        <v>42759</v>
      </c>
      <c r="D50" s="950">
        <v>42782</v>
      </c>
      <c r="E50" s="951">
        <v>315720</v>
      </c>
      <c r="F50" s="952"/>
    </row>
    <row r="51" spans="1:7" s="181" customFormat="1" ht="15" x14ac:dyDescent="0.25">
      <c r="A51" s="1578" t="s">
        <v>1203</v>
      </c>
      <c r="B51" s="1579"/>
      <c r="C51" s="949">
        <v>42759</v>
      </c>
      <c r="D51" s="950">
        <v>42782</v>
      </c>
      <c r="E51" s="951">
        <v>113700</v>
      </c>
      <c r="F51" s="952"/>
    </row>
    <row r="52" spans="1:7" s="181" customFormat="1" ht="15" x14ac:dyDescent="0.25">
      <c r="A52" s="1578" t="s">
        <v>1204</v>
      </c>
      <c r="B52" s="1579"/>
      <c r="C52" s="949">
        <v>42759</v>
      </c>
      <c r="D52" s="950">
        <v>42782</v>
      </c>
      <c r="E52" s="951">
        <v>429420</v>
      </c>
      <c r="F52" s="952"/>
      <c r="G52" s="953"/>
    </row>
    <row r="53" spans="1:7" s="181" customFormat="1" ht="15" x14ac:dyDescent="0.25">
      <c r="A53" s="1578" t="s">
        <v>1205</v>
      </c>
      <c r="B53" s="1579"/>
      <c r="C53" s="949">
        <v>42786</v>
      </c>
      <c r="D53" s="950">
        <v>42786</v>
      </c>
      <c r="E53" s="951">
        <v>15000</v>
      </c>
      <c r="F53" s="952"/>
      <c r="G53" s="953"/>
    </row>
    <row r="54" spans="1:7" s="181" customFormat="1" ht="15" x14ac:dyDescent="0.25">
      <c r="A54" s="1578" t="s">
        <v>226</v>
      </c>
      <c r="B54" s="1579"/>
      <c r="C54" s="949">
        <v>42786</v>
      </c>
      <c r="D54" s="950">
        <v>42786</v>
      </c>
      <c r="E54" s="951">
        <v>-15000</v>
      </c>
      <c r="F54" s="952"/>
      <c r="G54" s="953"/>
    </row>
    <row r="55" spans="1:7" s="181" customFormat="1" ht="15" x14ac:dyDescent="0.25">
      <c r="A55" s="1578" t="s">
        <v>625</v>
      </c>
      <c r="B55" s="1579"/>
      <c r="C55" s="949">
        <v>42815</v>
      </c>
      <c r="D55" s="950">
        <v>42838</v>
      </c>
      <c r="E55" s="951">
        <v>200000</v>
      </c>
      <c r="F55" s="952"/>
      <c r="G55" s="953"/>
    </row>
    <row r="56" spans="1:7" s="181" customFormat="1" ht="15" x14ac:dyDescent="0.25">
      <c r="A56" s="1578" t="s">
        <v>1206</v>
      </c>
      <c r="B56" s="1579"/>
      <c r="C56" s="949">
        <v>42815</v>
      </c>
      <c r="D56" s="950">
        <v>42838</v>
      </c>
      <c r="E56" s="951">
        <v>200000</v>
      </c>
      <c r="F56" s="952"/>
      <c r="G56" s="953"/>
    </row>
    <row r="57" spans="1:7" s="181" customFormat="1" ht="15" x14ac:dyDescent="0.25">
      <c r="A57" s="1578" t="s">
        <v>164</v>
      </c>
      <c r="B57" s="1579"/>
      <c r="C57" s="949">
        <v>42887</v>
      </c>
      <c r="D57" s="950">
        <v>42887</v>
      </c>
      <c r="E57" s="951">
        <v>100000</v>
      </c>
      <c r="F57" s="952"/>
      <c r="G57" s="953"/>
    </row>
    <row r="58" spans="1:7" s="181" customFormat="1" ht="15" x14ac:dyDescent="0.25">
      <c r="A58" s="1578" t="s">
        <v>226</v>
      </c>
      <c r="B58" s="1579"/>
      <c r="C58" s="949">
        <v>42887</v>
      </c>
      <c r="D58" s="950">
        <v>42887</v>
      </c>
      <c r="E58" s="951">
        <v>-100000</v>
      </c>
      <c r="F58" s="952"/>
      <c r="G58" s="953"/>
    </row>
    <row r="59" spans="1:7" s="181" customFormat="1" ht="15" x14ac:dyDescent="0.25">
      <c r="A59" s="1578" t="s">
        <v>1207</v>
      </c>
      <c r="B59" s="1579"/>
      <c r="C59" s="949">
        <v>42887</v>
      </c>
      <c r="D59" s="950">
        <v>42887</v>
      </c>
      <c r="E59" s="951">
        <v>1600000</v>
      </c>
      <c r="F59" s="952"/>
      <c r="G59" s="953"/>
    </row>
    <row r="60" spans="1:7" s="181" customFormat="1" ht="15" x14ac:dyDescent="0.25">
      <c r="A60" s="1578" t="s">
        <v>153</v>
      </c>
      <c r="B60" s="1579"/>
      <c r="C60" s="949">
        <v>42887</v>
      </c>
      <c r="D60" s="950">
        <v>42887</v>
      </c>
      <c r="E60" s="951">
        <v>1600000</v>
      </c>
      <c r="F60" s="952"/>
      <c r="G60" s="953"/>
    </row>
    <row r="61" spans="1:7" s="181" customFormat="1" ht="15" x14ac:dyDescent="0.25">
      <c r="A61" s="1578" t="s">
        <v>153</v>
      </c>
      <c r="B61" s="1579"/>
      <c r="C61" s="949">
        <v>42887</v>
      </c>
      <c r="D61" s="950">
        <v>42887</v>
      </c>
      <c r="E61" s="951">
        <v>-151000</v>
      </c>
      <c r="F61" s="952"/>
      <c r="G61" s="953"/>
    </row>
    <row r="62" spans="1:7" s="181" customFormat="1" ht="15" x14ac:dyDescent="0.25">
      <c r="A62" s="1578" t="s">
        <v>1208</v>
      </c>
      <c r="B62" s="1579"/>
      <c r="C62" s="949">
        <v>42887</v>
      </c>
      <c r="D62" s="950">
        <v>42887</v>
      </c>
      <c r="E62" s="951">
        <v>151000</v>
      </c>
      <c r="F62" s="952"/>
      <c r="G62" s="953"/>
    </row>
    <row r="63" spans="1:7" s="181" customFormat="1" ht="15" x14ac:dyDescent="0.25">
      <c r="A63" s="1578" t="s">
        <v>164</v>
      </c>
      <c r="B63" s="1579"/>
      <c r="C63" s="949">
        <v>42887</v>
      </c>
      <c r="D63" s="950">
        <v>42887</v>
      </c>
      <c r="E63" s="951">
        <v>-1000</v>
      </c>
      <c r="F63" s="952"/>
      <c r="G63" s="953"/>
    </row>
    <row r="64" spans="1:7" s="181" customFormat="1" ht="15" x14ac:dyDescent="0.25">
      <c r="A64" s="1578" t="s">
        <v>1209</v>
      </c>
      <c r="B64" s="1579"/>
      <c r="C64" s="949">
        <v>42887</v>
      </c>
      <c r="D64" s="950">
        <v>42887</v>
      </c>
      <c r="E64" s="951">
        <v>1000</v>
      </c>
      <c r="F64" s="952"/>
      <c r="G64" s="953"/>
    </row>
    <row r="65" spans="1:7" s="181" customFormat="1" ht="15" x14ac:dyDescent="0.25">
      <c r="A65" s="1578" t="s">
        <v>1210</v>
      </c>
      <c r="B65" s="1579"/>
      <c r="C65" s="949">
        <v>42887</v>
      </c>
      <c r="D65" s="950">
        <v>42887</v>
      </c>
      <c r="E65" s="951">
        <v>2000</v>
      </c>
      <c r="F65" s="952"/>
      <c r="G65" s="953"/>
    </row>
    <row r="66" spans="1:7" s="181" customFormat="1" ht="15" x14ac:dyDescent="0.25">
      <c r="A66" s="1578" t="s">
        <v>164</v>
      </c>
      <c r="B66" s="1579"/>
      <c r="C66" s="949">
        <v>42887</v>
      </c>
      <c r="D66" s="950">
        <v>42887</v>
      </c>
      <c r="E66" s="951">
        <v>2000</v>
      </c>
      <c r="F66" s="952"/>
      <c r="G66" s="953"/>
    </row>
    <row r="67" spans="1:7" s="181" customFormat="1" ht="15" x14ac:dyDescent="0.25">
      <c r="A67" s="1578" t="s">
        <v>226</v>
      </c>
      <c r="B67" s="1579"/>
      <c r="C67" s="949">
        <v>42887</v>
      </c>
      <c r="D67" s="950">
        <v>42887</v>
      </c>
      <c r="E67" s="951">
        <v>-40000</v>
      </c>
      <c r="F67" s="952"/>
      <c r="G67" s="953"/>
    </row>
    <row r="68" spans="1:7" s="181" customFormat="1" ht="15" x14ac:dyDescent="0.25">
      <c r="A68" s="1578" t="s">
        <v>1211</v>
      </c>
      <c r="B68" s="1579"/>
      <c r="C68" s="949">
        <v>42887</v>
      </c>
      <c r="D68" s="950">
        <v>42887</v>
      </c>
      <c r="E68" s="951">
        <v>40000</v>
      </c>
      <c r="F68" s="952"/>
      <c r="G68" s="953"/>
    </row>
    <row r="69" spans="1:7" s="181" customFormat="1" ht="15" x14ac:dyDescent="0.25">
      <c r="A69" s="1578" t="s">
        <v>628</v>
      </c>
      <c r="B69" s="1579"/>
      <c r="C69" s="949">
        <v>42892</v>
      </c>
      <c r="D69" s="950">
        <v>42916</v>
      </c>
      <c r="E69" s="951">
        <v>300000</v>
      </c>
      <c r="F69" s="952"/>
      <c r="G69" s="953"/>
    </row>
    <row r="70" spans="1:7" s="181" customFormat="1" ht="15" x14ac:dyDescent="0.25">
      <c r="A70" s="1578" t="s">
        <v>1203</v>
      </c>
      <c r="B70" s="1579"/>
      <c r="C70" s="949">
        <v>42892</v>
      </c>
      <c r="D70" s="950">
        <v>42916</v>
      </c>
      <c r="E70" s="951">
        <v>108000</v>
      </c>
      <c r="F70" s="952"/>
      <c r="G70" s="953"/>
    </row>
    <row r="71" spans="1:7" s="181" customFormat="1" ht="15" x14ac:dyDescent="0.25">
      <c r="A71" s="1578" t="s">
        <v>1212</v>
      </c>
      <c r="B71" s="1579"/>
      <c r="C71" s="949">
        <v>42892</v>
      </c>
      <c r="D71" s="950">
        <v>42916</v>
      </c>
      <c r="E71" s="951">
        <v>408000</v>
      </c>
      <c r="F71" s="952"/>
      <c r="G71" s="953"/>
    </row>
    <row r="72" spans="1:7" s="181" customFormat="1" ht="15" x14ac:dyDescent="0.25">
      <c r="A72" s="1578" t="s">
        <v>1205</v>
      </c>
      <c r="B72" s="1579"/>
      <c r="C72" s="949">
        <v>42917</v>
      </c>
      <c r="D72" s="950">
        <v>42917</v>
      </c>
      <c r="E72" s="951">
        <v>-5000</v>
      </c>
      <c r="F72" s="952"/>
      <c r="G72" s="953"/>
    </row>
    <row r="73" spans="1:7" s="181" customFormat="1" ht="15" x14ac:dyDescent="0.25">
      <c r="A73" s="1578" t="s">
        <v>430</v>
      </c>
      <c r="B73" s="1579"/>
      <c r="C73" s="949">
        <v>42917</v>
      </c>
      <c r="D73" s="950">
        <v>42917</v>
      </c>
      <c r="E73" s="951">
        <v>5000</v>
      </c>
      <c r="F73" s="952"/>
      <c r="G73" s="953"/>
    </row>
    <row r="74" spans="1:7" s="181" customFormat="1" ht="15" x14ac:dyDescent="0.25">
      <c r="A74" s="1578" t="s">
        <v>628</v>
      </c>
      <c r="B74" s="1579"/>
      <c r="C74" s="949">
        <v>42941</v>
      </c>
      <c r="D74" s="950">
        <v>42977</v>
      </c>
      <c r="E74" s="951">
        <v>36120</v>
      </c>
      <c r="F74" s="952"/>
      <c r="G74" s="953"/>
    </row>
    <row r="75" spans="1:7" s="181" customFormat="1" ht="15" x14ac:dyDescent="0.25">
      <c r="A75" s="1578" t="s">
        <v>1203</v>
      </c>
      <c r="B75" s="1579"/>
      <c r="C75" s="949">
        <v>42941</v>
      </c>
      <c r="D75" s="950">
        <v>42977</v>
      </c>
      <c r="E75" s="951">
        <v>13003</v>
      </c>
      <c r="F75" s="952"/>
      <c r="G75" s="953"/>
    </row>
    <row r="76" spans="1:7" s="181" customFormat="1" ht="15" x14ac:dyDescent="0.25">
      <c r="A76" s="1578" t="s">
        <v>1212</v>
      </c>
      <c r="B76" s="1579"/>
      <c r="C76" s="949">
        <v>42941</v>
      </c>
      <c r="D76" s="950">
        <v>42977</v>
      </c>
      <c r="E76" s="951">
        <v>49123</v>
      </c>
      <c r="F76" s="952"/>
      <c r="G76" s="953"/>
    </row>
    <row r="77" spans="1:7" s="181" customFormat="1" ht="15" x14ac:dyDescent="0.25">
      <c r="A77" s="1578" t="s">
        <v>628</v>
      </c>
      <c r="B77" s="1579"/>
      <c r="C77" s="949">
        <v>43025</v>
      </c>
      <c r="D77" s="950">
        <v>43039</v>
      </c>
      <c r="E77" s="951">
        <v>18860</v>
      </c>
      <c r="F77" s="952"/>
      <c r="G77" s="953"/>
    </row>
    <row r="78" spans="1:7" s="181" customFormat="1" ht="15" x14ac:dyDescent="0.25">
      <c r="A78" s="1578" t="s">
        <v>1203</v>
      </c>
      <c r="B78" s="1579"/>
      <c r="C78" s="949">
        <v>43025</v>
      </c>
      <c r="D78" s="950">
        <v>43039</v>
      </c>
      <c r="E78" s="951">
        <v>6492</v>
      </c>
      <c r="F78" s="952"/>
      <c r="G78" s="953"/>
    </row>
    <row r="79" spans="1:7" s="181" customFormat="1" ht="15" x14ac:dyDescent="0.25">
      <c r="A79" s="1578" t="s">
        <v>1211</v>
      </c>
      <c r="B79" s="1579"/>
      <c r="C79" s="949">
        <v>43025</v>
      </c>
      <c r="D79" s="950">
        <v>43039</v>
      </c>
      <c r="E79" s="951">
        <v>377</v>
      </c>
      <c r="F79" s="952"/>
      <c r="G79" s="953"/>
    </row>
    <row r="80" spans="1:7" s="181" customFormat="1" ht="15" x14ac:dyDescent="0.25">
      <c r="A80" s="1578" t="s">
        <v>1212</v>
      </c>
      <c r="B80" s="1579"/>
      <c r="C80" s="949">
        <v>43025</v>
      </c>
      <c r="D80" s="950">
        <v>43039</v>
      </c>
      <c r="E80" s="951">
        <v>25729</v>
      </c>
      <c r="F80" s="952"/>
      <c r="G80" s="953"/>
    </row>
    <row r="81" spans="1:7" s="181" customFormat="1" ht="15" x14ac:dyDescent="0.25">
      <c r="A81" s="1578" t="s">
        <v>628</v>
      </c>
      <c r="B81" s="1579"/>
      <c r="C81" s="949">
        <v>43074</v>
      </c>
      <c r="D81" s="950">
        <v>43074</v>
      </c>
      <c r="E81" s="951">
        <v>58024</v>
      </c>
      <c r="F81" s="952"/>
      <c r="G81" s="953"/>
    </row>
    <row r="82" spans="1:7" s="181" customFormat="1" ht="15" x14ac:dyDescent="0.25">
      <c r="A82" s="1578" t="s">
        <v>1203</v>
      </c>
      <c r="B82" s="1579"/>
      <c r="C82" s="949">
        <v>43074</v>
      </c>
      <c r="D82" s="950">
        <v>43074</v>
      </c>
      <c r="E82" s="951">
        <v>-79038</v>
      </c>
      <c r="F82" s="952"/>
      <c r="G82" s="953"/>
    </row>
    <row r="83" spans="1:7" s="181" customFormat="1" ht="15" x14ac:dyDescent="0.25">
      <c r="A83" s="1578" t="s">
        <v>1211</v>
      </c>
      <c r="B83" s="1579"/>
      <c r="C83" s="949">
        <v>43074</v>
      </c>
      <c r="D83" s="950">
        <v>43074</v>
      </c>
      <c r="E83" s="951">
        <v>21014</v>
      </c>
      <c r="F83" s="952"/>
      <c r="G83" s="953"/>
    </row>
    <row r="84" spans="1:7" s="181" customFormat="1" ht="15" x14ac:dyDescent="0.25">
      <c r="A84" s="1578" t="s">
        <v>625</v>
      </c>
      <c r="B84" s="1579"/>
      <c r="C84" s="949">
        <v>43074</v>
      </c>
      <c r="D84" s="950">
        <v>43074</v>
      </c>
      <c r="E84" s="951">
        <v>-5500</v>
      </c>
      <c r="F84" s="952"/>
      <c r="G84" s="953"/>
    </row>
    <row r="85" spans="1:7" s="181" customFormat="1" ht="15" x14ac:dyDescent="0.25">
      <c r="A85" s="1578" t="s">
        <v>1205</v>
      </c>
      <c r="B85" s="1579"/>
      <c r="C85" s="949">
        <v>43074</v>
      </c>
      <c r="D85" s="950">
        <v>43074</v>
      </c>
      <c r="E85" s="951">
        <v>5500</v>
      </c>
      <c r="F85" s="952"/>
      <c r="G85" s="953"/>
    </row>
    <row r="86" spans="1:7" s="181" customFormat="1" ht="15" x14ac:dyDescent="0.25">
      <c r="A86" s="1578" t="s">
        <v>1213</v>
      </c>
      <c r="B86" s="1579"/>
      <c r="C86" s="949">
        <v>43074</v>
      </c>
      <c r="D86" s="950">
        <v>43089</v>
      </c>
      <c r="E86" s="951">
        <v>290000</v>
      </c>
      <c r="F86" s="952"/>
      <c r="G86" s="953"/>
    </row>
    <row r="87" spans="1:7" s="181" customFormat="1" ht="15" x14ac:dyDescent="0.25">
      <c r="A87" s="1578" t="s">
        <v>164</v>
      </c>
      <c r="B87" s="1579"/>
      <c r="C87" s="949">
        <v>43074</v>
      </c>
      <c r="D87" s="950">
        <v>43089</v>
      </c>
      <c r="E87" s="951">
        <v>93000</v>
      </c>
      <c r="F87" s="952"/>
      <c r="G87" s="953"/>
    </row>
    <row r="88" spans="1:7" s="181" customFormat="1" ht="15" x14ac:dyDescent="0.25">
      <c r="A88" s="1578" t="s">
        <v>226</v>
      </c>
      <c r="B88" s="1579"/>
      <c r="C88" s="949">
        <v>43074</v>
      </c>
      <c r="D88" s="950">
        <v>43089</v>
      </c>
      <c r="E88" s="951">
        <v>132500</v>
      </c>
      <c r="F88" s="952"/>
      <c r="G88" s="953"/>
    </row>
    <row r="89" spans="1:7" s="181" customFormat="1" ht="15" x14ac:dyDescent="0.25">
      <c r="A89" s="1578" t="s">
        <v>430</v>
      </c>
      <c r="B89" s="1579"/>
      <c r="C89" s="949">
        <v>43074</v>
      </c>
      <c r="D89" s="950">
        <v>43089</v>
      </c>
      <c r="E89" s="951">
        <v>8500</v>
      </c>
      <c r="F89" s="952"/>
      <c r="G89" s="953"/>
    </row>
    <row r="90" spans="1:7" s="181" customFormat="1" ht="15" x14ac:dyDescent="0.25">
      <c r="A90" s="1578" t="s">
        <v>1208</v>
      </c>
      <c r="B90" s="1579"/>
      <c r="C90" s="949">
        <v>43074</v>
      </c>
      <c r="D90" s="950">
        <v>43089</v>
      </c>
      <c r="E90" s="951">
        <v>24000</v>
      </c>
      <c r="F90" s="952"/>
      <c r="G90" s="953"/>
    </row>
    <row r="91" spans="1:7" s="181" customFormat="1" ht="15" x14ac:dyDescent="0.25">
      <c r="A91" s="1578" t="s">
        <v>432</v>
      </c>
      <c r="B91" s="1579"/>
      <c r="C91" s="949">
        <v>43074</v>
      </c>
      <c r="D91" s="950">
        <v>43089</v>
      </c>
      <c r="E91" s="951">
        <v>32000</v>
      </c>
      <c r="F91" s="952"/>
      <c r="G91" s="953"/>
    </row>
    <row r="92" spans="1:7" s="181" customFormat="1" ht="15" x14ac:dyDescent="0.25">
      <c r="A92" s="1578" t="s">
        <v>1203</v>
      </c>
      <c r="B92" s="1579"/>
      <c r="C92" s="949">
        <v>43074</v>
      </c>
      <c r="D92" s="950">
        <v>43089</v>
      </c>
      <c r="E92" s="951">
        <v>-722</v>
      </c>
      <c r="F92" s="952"/>
      <c r="G92" s="953"/>
    </row>
    <row r="93" spans="1:7" s="181" customFormat="1" ht="15" x14ac:dyDescent="0.25">
      <c r="A93" s="1578" t="s">
        <v>1211</v>
      </c>
      <c r="B93" s="1579"/>
      <c r="C93" s="949">
        <v>43074</v>
      </c>
      <c r="D93" s="950">
        <v>43089</v>
      </c>
      <c r="E93" s="951">
        <v>722</v>
      </c>
      <c r="F93" s="952"/>
      <c r="G93" s="953"/>
    </row>
    <row r="94" spans="1:7" s="181" customFormat="1" ht="15" x14ac:dyDescent="0.25">
      <c r="A94" s="1578" t="s">
        <v>164</v>
      </c>
      <c r="B94" s="1579"/>
      <c r="C94" s="949">
        <v>43074</v>
      </c>
      <c r="D94" s="950">
        <v>43089</v>
      </c>
      <c r="E94" s="951">
        <v>74000</v>
      </c>
      <c r="F94" s="952"/>
      <c r="G94" s="953"/>
    </row>
    <row r="95" spans="1:7" s="181" customFormat="1" ht="15" x14ac:dyDescent="0.25">
      <c r="A95" s="1578" t="s">
        <v>227</v>
      </c>
      <c r="B95" s="1579"/>
      <c r="C95" s="949">
        <v>43074</v>
      </c>
      <c r="D95" s="950">
        <v>43089</v>
      </c>
      <c r="E95" s="951">
        <v>-74000</v>
      </c>
      <c r="F95" s="952"/>
      <c r="G95" s="953"/>
    </row>
    <row r="96" spans="1:7" s="181" customFormat="1" ht="15" x14ac:dyDescent="0.25">
      <c r="A96" s="1578" t="s">
        <v>1205</v>
      </c>
      <c r="B96" s="1579"/>
      <c r="C96" s="949">
        <v>43074</v>
      </c>
      <c r="D96" s="950">
        <v>43089</v>
      </c>
      <c r="E96" s="951">
        <v>-2500</v>
      </c>
      <c r="F96" s="952"/>
      <c r="G96" s="953"/>
    </row>
    <row r="97" spans="1:9" s="181" customFormat="1" ht="15" x14ac:dyDescent="0.25">
      <c r="A97" s="1580" t="s">
        <v>430</v>
      </c>
      <c r="B97" s="1581"/>
      <c r="C97" s="954">
        <v>43074</v>
      </c>
      <c r="D97" s="955">
        <v>43089</v>
      </c>
      <c r="E97" s="956">
        <v>2500</v>
      </c>
      <c r="F97" s="957"/>
      <c r="G97" s="953"/>
    </row>
    <row r="98" spans="1:9" s="181" customFormat="1" ht="15" x14ac:dyDescent="0.25">
      <c r="A98" s="958"/>
      <c r="B98" s="959"/>
      <c r="C98" s="960"/>
      <c r="D98" s="960"/>
      <c r="E98" s="961"/>
    </row>
    <row r="99" spans="1:9" s="181" customFormat="1" ht="11.25" x14ac:dyDescent="0.2">
      <c r="A99" s="1083" t="s">
        <v>397</v>
      </c>
      <c r="B99" s="1083"/>
      <c r="C99" s="1083"/>
      <c r="D99" s="1083"/>
      <c r="E99" s="1083"/>
      <c r="F99" s="1083"/>
      <c r="G99" s="1083"/>
      <c r="H99" s="1083"/>
      <c r="I99" s="1083"/>
    </row>
    <row r="100" spans="1:9" s="181" customFormat="1" ht="11.25" x14ac:dyDescent="0.2">
      <c r="A100" s="181" t="s">
        <v>1214</v>
      </c>
    </row>
    <row r="101" spans="1:9" s="181" customFormat="1" ht="11.25" x14ac:dyDescent="0.2">
      <c r="A101" s="1034"/>
      <c r="B101" s="1035"/>
      <c r="C101" s="1035"/>
      <c r="D101" s="1035"/>
      <c r="E101" s="1035"/>
      <c r="F101" s="1035"/>
      <c r="G101" s="1035"/>
      <c r="H101" s="1035"/>
      <c r="I101" s="1036"/>
    </row>
    <row r="102" spans="1:9" s="181" customFormat="1" ht="0.75" customHeight="1" x14ac:dyDescent="0.2">
      <c r="A102" s="1034"/>
      <c r="B102" s="1035"/>
      <c r="C102" s="1035"/>
      <c r="D102" s="1035"/>
      <c r="E102" s="1035"/>
      <c r="F102" s="1035"/>
      <c r="G102" s="1035"/>
      <c r="H102" s="1035"/>
      <c r="I102" s="1036"/>
    </row>
    <row r="103" spans="1:9" s="181" customFormat="1" ht="11.25" hidden="1" x14ac:dyDescent="0.2"/>
    <row r="104" spans="1:9" s="180" customFormat="1" ht="10.5" x14ac:dyDescent="0.15">
      <c r="A104" s="1039" t="s">
        <v>399</v>
      </c>
      <c r="B104" s="1039"/>
      <c r="C104" s="1039"/>
      <c r="D104" s="1039"/>
      <c r="E104" s="1039"/>
      <c r="F104" s="1039"/>
      <c r="G104" s="1039"/>
      <c r="H104" s="1039"/>
      <c r="I104" s="1039"/>
    </row>
    <row r="105" spans="1:9" s="181" customFormat="1" ht="11.25" x14ac:dyDescent="0.2">
      <c r="A105" s="181" t="s">
        <v>112</v>
      </c>
    </row>
    <row r="106" spans="1:9" s="181" customFormat="1" ht="30.75" customHeight="1" x14ac:dyDescent="0.2">
      <c r="A106" s="1034" t="s">
        <v>1215</v>
      </c>
      <c r="B106" s="1035"/>
      <c r="C106" s="1035"/>
      <c r="D106" s="1035"/>
      <c r="E106" s="1035"/>
      <c r="F106" s="1035"/>
      <c r="G106" s="1035"/>
      <c r="H106" s="1035"/>
      <c r="I106" s="1036"/>
    </row>
    <row r="109" spans="1:9" x14ac:dyDescent="0.2">
      <c r="A109" s="239"/>
    </row>
    <row r="110" spans="1:9" x14ac:dyDescent="0.2">
      <c r="A110" s="239"/>
    </row>
  </sheetData>
  <mergeCells count="87">
    <mergeCell ref="A15:A17"/>
    <mergeCell ref="A3:I3"/>
    <mergeCell ref="A5:B5"/>
    <mergeCell ref="D5:I5"/>
    <mergeCell ref="A6:B6"/>
    <mergeCell ref="D6:I6"/>
    <mergeCell ref="A7:B7"/>
    <mergeCell ref="D7:I7"/>
    <mergeCell ref="A8:B8"/>
    <mergeCell ref="D8:I8"/>
    <mergeCell ref="A9:B9"/>
    <mergeCell ref="D9:I9"/>
    <mergeCell ref="A11:I11"/>
    <mergeCell ref="A35:I35"/>
    <mergeCell ref="A20:I20"/>
    <mergeCell ref="F22:I22"/>
    <mergeCell ref="F23:I23"/>
    <mergeCell ref="F24:I24"/>
    <mergeCell ref="F25:I25"/>
    <mergeCell ref="F26:I26"/>
    <mergeCell ref="F27:I27"/>
    <mergeCell ref="A29:I29"/>
    <mergeCell ref="D31:I31"/>
    <mergeCell ref="D32:I32"/>
    <mergeCell ref="C33:I33"/>
    <mergeCell ref="C39:I39"/>
    <mergeCell ref="A41:I41"/>
    <mergeCell ref="C43:I43"/>
    <mergeCell ref="C44:I44"/>
    <mergeCell ref="D37:I37"/>
    <mergeCell ref="D38:I38"/>
    <mergeCell ref="A58:B58"/>
    <mergeCell ref="C45:I45"/>
    <mergeCell ref="A47:I47"/>
    <mergeCell ref="A49:B49"/>
    <mergeCell ref="A50:B50"/>
    <mergeCell ref="A51:B51"/>
    <mergeCell ref="A52:B52"/>
    <mergeCell ref="A53:B53"/>
    <mergeCell ref="A54:B54"/>
    <mergeCell ref="A55:B55"/>
    <mergeCell ref="A56:B56"/>
    <mergeCell ref="A57:B57"/>
    <mergeCell ref="A70:B70"/>
    <mergeCell ref="A59:B59"/>
    <mergeCell ref="A60:B60"/>
    <mergeCell ref="A61:B61"/>
    <mergeCell ref="A62:B62"/>
    <mergeCell ref="A63:B63"/>
    <mergeCell ref="A64:B64"/>
    <mergeCell ref="A65:B65"/>
    <mergeCell ref="A66:B66"/>
    <mergeCell ref="A67:B67"/>
    <mergeCell ref="A68:B68"/>
    <mergeCell ref="A69:B69"/>
    <mergeCell ref="A82:B82"/>
    <mergeCell ref="A71:B71"/>
    <mergeCell ref="A72:B72"/>
    <mergeCell ref="A73:B73"/>
    <mergeCell ref="A74:B74"/>
    <mergeCell ref="A75:B75"/>
    <mergeCell ref="A76:B76"/>
    <mergeCell ref="A77:B77"/>
    <mergeCell ref="A78:B78"/>
    <mergeCell ref="A79:B79"/>
    <mergeCell ref="A80:B80"/>
    <mergeCell ref="A81:B81"/>
    <mergeCell ref="A94:B94"/>
    <mergeCell ref="A83:B83"/>
    <mergeCell ref="A84:B84"/>
    <mergeCell ref="A85:B85"/>
    <mergeCell ref="A86:B86"/>
    <mergeCell ref="A87:B87"/>
    <mergeCell ref="A88:B88"/>
    <mergeCell ref="A89:B89"/>
    <mergeCell ref="A90:B90"/>
    <mergeCell ref="A91:B91"/>
    <mergeCell ref="A92:B92"/>
    <mergeCell ref="A93:B93"/>
    <mergeCell ref="A102:I102"/>
    <mergeCell ref="A104:I104"/>
    <mergeCell ref="A106:I106"/>
    <mergeCell ref="A95:B95"/>
    <mergeCell ref="A96:B96"/>
    <mergeCell ref="A97:B97"/>
    <mergeCell ref="A99:I99"/>
    <mergeCell ref="A101:I101"/>
  </mergeCells>
  <pageMargins left="0.70866141732283472" right="0.70866141732283472" top="0.78740157480314965" bottom="0.78740157480314965" header="0.31496062992125984" footer="0.31496062992125984"/>
  <pageSetup paperSize="9" scale="73" firstPageNumber="138" fitToHeight="2" orientation="portrait" useFirstPageNumber="1" r:id="rId1"/>
  <headerFooter>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84"/>
  <sheetViews>
    <sheetView topLeftCell="A40" workbookViewId="0">
      <selection activeCell="A107" sqref="A107:XFD107"/>
    </sheetView>
  </sheetViews>
  <sheetFormatPr defaultRowHeight="12.75" x14ac:dyDescent="0.2"/>
  <cols>
    <col min="1" max="1" width="58" style="240" customWidth="1"/>
    <col min="2" max="2" width="33.5" style="240" customWidth="1"/>
    <col min="3" max="5" width="25.75" style="240" customWidth="1"/>
    <col min="6" max="6" width="22.75" style="240" customWidth="1"/>
    <col min="7" max="16384" width="10" style="240"/>
  </cols>
  <sheetData>
    <row r="1" spans="1:9" s="425" customFormat="1" ht="18.75" x14ac:dyDescent="0.3">
      <c r="A1" s="425" t="s">
        <v>92</v>
      </c>
      <c r="B1" s="425" t="s">
        <v>76</v>
      </c>
    </row>
    <row r="3" spans="1:9" s="180" customFormat="1" ht="10.5" x14ac:dyDescent="0.15">
      <c r="A3" s="1039" t="s">
        <v>354</v>
      </c>
      <c r="B3" s="1039"/>
      <c r="C3" s="1039"/>
      <c r="D3" s="1039"/>
      <c r="E3" s="1039"/>
      <c r="F3" s="1039"/>
      <c r="G3" s="1039"/>
      <c r="H3" s="1039"/>
      <c r="I3" s="1039"/>
    </row>
    <row r="4" spans="1:9" s="181" customFormat="1" ht="11.25" x14ac:dyDescent="0.2"/>
    <row r="5" spans="1:9" s="182" customFormat="1" ht="9.75" x14ac:dyDescent="0.2">
      <c r="A5" s="1040" t="s">
        <v>93</v>
      </c>
      <c r="B5" s="1041"/>
      <c r="C5" s="420" t="s">
        <v>25</v>
      </c>
      <c r="D5" s="1042" t="s">
        <v>355</v>
      </c>
      <c r="E5" s="1042"/>
      <c r="F5" s="1042"/>
      <c r="G5" s="1042"/>
      <c r="H5" s="1042"/>
      <c r="I5" s="1042"/>
    </row>
    <row r="6" spans="1:9" s="181" customFormat="1" ht="15" customHeight="1" x14ac:dyDescent="0.2">
      <c r="A6" s="1043" t="s">
        <v>356</v>
      </c>
      <c r="B6" s="1043"/>
      <c r="C6" s="183">
        <v>177633.48</v>
      </c>
      <c r="D6" s="1044"/>
      <c r="E6" s="1045"/>
      <c r="F6" s="1045"/>
      <c r="G6" s="1045"/>
      <c r="H6" s="1045"/>
      <c r="I6" s="1045"/>
    </row>
    <row r="7" spans="1:9" s="181" customFormat="1" ht="19.5" customHeight="1" x14ac:dyDescent="0.2">
      <c r="A7" s="1046" t="s">
        <v>94</v>
      </c>
      <c r="B7" s="1047"/>
      <c r="C7" s="184">
        <v>177633.48</v>
      </c>
      <c r="D7" s="1048" t="s">
        <v>357</v>
      </c>
      <c r="E7" s="1048"/>
      <c r="F7" s="1048"/>
      <c r="G7" s="1048"/>
      <c r="H7" s="1048"/>
      <c r="I7" s="1048"/>
    </row>
    <row r="8" spans="1:9" s="180" customFormat="1" ht="15" customHeight="1" x14ac:dyDescent="0.15">
      <c r="A8" s="1049" t="s">
        <v>95</v>
      </c>
      <c r="B8" s="1050"/>
      <c r="C8" s="185">
        <v>0</v>
      </c>
      <c r="D8" s="1104" t="s">
        <v>358</v>
      </c>
      <c r="E8" s="1104"/>
      <c r="F8" s="1104"/>
      <c r="G8" s="1104"/>
      <c r="H8" s="1104"/>
      <c r="I8" s="1104"/>
    </row>
    <row r="9" spans="1:9" s="180" customFormat="1" ht="15" customHeight="1" x14ac:dyDescent="0.15">
      <c r="A9" s="1049" t="s">
        <v>96</v>
      </c>
      <c r="B9" s="1050"/>
      <c r="C9" s="185">
        <v>0</v>
      </c>
      <c r="D9" s="1051"/>
      <c r="E9" s="1052"/>
      <c r="F9" s="1052"/>
      <c r="G9" s="1052"/>
      <c r="H9" s="1052"/>
      <c r="I9" s="1053"/>
    </row>
    <row r="10" spans="1:9" s="181" customFormat="1" ht="11.25" x14ac:dyDescent="0.2">
      <c r="C10" s="186"/>
    </row>
    <row r="11" spans="1:9" s="181" customFormat="1" ht="11.25" x14ac:dyDescent="0.2">
      <c r="A11" s="1039" t="s">
        <v>359</v>
      </c>
      <c r="B11" s="1039"/>
      <c r="C11" s="1039"/>
      <c r="D11" s="1039"/>
      <c r="E11" s="1039"/>
      <c r="F11" s="1039"/>
      <c r="G11" s="1039"/>
      <c r="H11" s="1039"/>
      <c r="I11" s="1039"/>
    </row>
    <row r="12" spans="1:9" s="181" customFormat="1" ht="11.25" x14ac:dyDescent="0.2">
      <c r="C12" s="186"/>
      <c r="D12" s="187"/>
      <c r="E12" s="187"/>
      <c r="F12" s="187"/>
      <c r="G12" s="187"/>
      <c r="H12" s="187"/>
      <c r="I12" s="187"/>
    </row>
    <row r="13" spans="1:9" s="190" customFormat="1" ht="9.75" x14ac:dyDescent="0.2">
      <c r="A13" s="420" t="s">
        <v>93</v>
      </c>
      <c r="B13" s="420" t="s">
        <v>97</v>
      </c>
      <c r="C13" s="420" t="s">
        <v>25</v>
      </c>
      <c r="D13" s="188"/>
      <c r="E13" s="189"/>
      <c r="F13" s="189"/>
      <c r="G13" s="189"/>
      <c r="H13" s="189"/>
      <c r="I13" s="189"/>
    </row>
    <row r="14" spans="1:9" s="181" customFormat="1" ht="15" customHeight="1" x14ac:dyDescent="0.2">
      <c r="A14" s="191" t="s">
        <v>98</v>
      </c>
      <c r="B14" s="192"/>
      <c r="C14" s="193">
        <v>2000</v>
      </c>
      <c r="D14" s="194"/>
      <c r="E14" s="195"/>
      <c r="F14" s="195"/>
      <c r="G14" s="195"/>
      <c r="H14" s="195"/>
      <c r="I14" s="195"/>
    </row>
    <row r="15" spans="1:9" s="181" customFormat="1" ht="15" customHeight="1" x14ac:dyDescent="0.2">
      <c r="A15" s="1037" t="s">
        <v>99</v>
      </c>
      <c r="B15" s="196" t="s">
        <v>100</v>
      </c>
      <c r="C15" s="197">
        <v>175633.48</v>
      </c>
      <c r="D15" s="198"/>
      <c r="E15" s="199"/>
      <c r="F15" s="199"/>
      <c r="G15" s="199"/>
      <c r="H15" s="199"/>
      <c r="I15" s="199"/>
    </row>
    <row r="16" spans="1:9" s="181" customFormat="1" ht="15" customHeight="1" x14ac:dyDescent="0.2">
      <c r="A16" s="1038"/>
      <c r="B16" s="200" t="s">
        <v>100</v>
      </c>
      <c r="C16" s="201">
        <v>0</v>
      </c>
      <c r="D16" s="198"/>
      <c r="E16" s="199"/>
      <c r="F16" s="199"/>
      <c r="G16" s="199"/>
      <c r="H16" s="199"/>
      <c r="I16" s="199"/>
    </row>
    <row r="17" spans="1:9" s="181" customFormat="1" ht="15" customHeight="1" x14ac:dyDescent="0.2">
      <c r="A17" s="1038"/>
      <c r="B17" s="200" t="s">
        <v>101</v>
      </c>
      <c r="C17" s="202">
        <v>0</v>
      </c>
      <c r="D17" s="203"/>
      <c r="E17" s="204"/>
      <c r="F17" s="204"/>
      <c r="G17" s="204"/>
      <c r="H17" s="204"/>
      <c r="I17" s="204"/>
    </row>
    <row r="18" spans="1:9" s="181" customFormat="1" ht="15" customHeight="1" x14ac:dyDescent="0.2">
      <c r="A18" s="421" t="s">
        <v>356</v>
      </c>
      <c r="B18" s="205"/>
      <c r="C18" s="206">
        <f>SUM(C14:C17)</f>
        <v>177633.48</v>
      </c>
      <c r="D18" s="207"/>
      <c r="E18" s="207"/>
      <c r="F18" s="207"/>
      <c r="G18" s="207"/>
      <c r="H18" s="207"/>
      <c r="I18" s="207"/>
    </row>
    <row r="19" spans="1:9" s="209" customFormat="1" ht="11.25" x14ac:dyDescent="0.2">
      <c r="A19" s="208"/>
      <c r="C19" s="210"/>
      <c r="D19" s="211"/>
      <c r="E19" s="211"/>
      <c r="F19" s="211"/>
      <c r="G19" s="211"/>
      <c r="H19" s="211"/>
      <c r="I19" s="211"/>
    </row>
    <row r="20" spans="1:9" s="181" customFormat="1" ht="11.25" x14ac:dyDescent="0.2">
      <c r="A20" s="1039" t="s">
        <v>360</v>
      </c>
      <c r="B20" s="1039"/>
      <c r="C20" s="1039"/>
      <c r="D20" s="1039"/>
      <c r="E20" s="1039"/>
      <c r="F20" s="1039"/>
      <c r="G20" s="1039"/>
      <c r="H20" s="1039"/>
      <c r="I20" s="1039"/>
    </row>
    <row r="21" spans="1:9" s="181" customFormat="1" ht="11.25" x14ac:dyDescent="0.2">
      <c r="C21" s="186"/>
    </row>
    <row r="22" spans="1:9" s="212" customFormat="1" ht="9.75" x14ac:dyDescent="0.2">
      <c r="A22" s="420" t="s">
        <v>97</v>
      </c>
      <c r="B22" s="420" t="s">
        <v>361</v>
      </c>
      <c r="C22" s="423" t="s">
        <v>362</v>
      </c>
      <c r="D22" s="420" t="s">
        <v>363</v>
      </c>
      <c r="E22" s="420" t="s">
        <v>364</v>
      </c>
      <c r="F22" s="1042" t="s">
        <v>365</v>
      </c>
      <c r="G22" s="1042"/>
      <c r="H22" s="1042"/>
      <c r="I22" s="1042"/>
    </row>
    <row r="23" spans="1:9" s="181" customFormat="1" ht="54.75" customHeight="1" x14ac:dyDescent="0.2">
      <c r="A23" s="213" t="s">
        <v>102</v>
      </c>
      <c r="B23" s="214">
        <v>55360.74</v>
      </c>
      <c r="C23" s="214">
        <v>432679.2</v>
      </c>
      <c r="D23" s="214">
        <v>53064</v>
      </c>
      <c r="E23" s="214">
        <f>B23+C23-D23</f>
        <v>434975.94</v>
      </c>
      <c r="F23" s="1054" t="s">
        <v>366</v>
      </c>
      <c r="G23" s="1055"/>
      <c r="H23" s="1055"/>
      <c r="I23" s="1056"/>
    </row>
    <row r="24" spans="1:9" s="181" customFormat="1" ht="74.25" customHeight="1" x14ac:dyDescent="0.2">
      <c r="A24" s="196" t="s">
        <v>103</v>
      </c>
      <c r="B24" s="215">
        <v>117555.36</v>
      </c>
      <c r="C24" s="215">
        <v>1153235.29</v>
      </c>
      <c r="D24" s="215">
        <v>1166764.1100000001</v>
      </c>
      <c r="E24" s="215">
        <f t="shared" ref="E24:E26" si="0">B24+C24-D24</f>
        <v>104026.54000000004</v>
      </c>
      <c r="F24" s="1057" t="s">
        <v>367</v>
      </c>
      <c r="G24" s="1058"/>
      <c r="H24" s="1058"/>
      <c r="I24" s="1059"/>
    </row>
    <row r="25" spans="1:9" s="181" customFormat="1" ht="31.5" customHeight="1" x14ac:dyDescent="0.2">
      <c r="A25" s="196" t="s">
        <v>101</v>
      </c>
      <c r="B25" s="215">
        <v>42245.49</v>
      </c>
      <c r="C25" s="215">
        <v>0</v>
      </c>
      <c r="D25" s="215">
        <v>0</v>
      </c>
      <c r="E25" s="215">
        <f t="shared" si="0"/>
        <v>42245.49</v>
      </c>
      <c r="F25" s="1057" t="s">
        <v>368</v>
      </c>
      <c r="G25" s="1058"/>
      <c r="H25" s="1058"/>
      <c r="I25" s="1059"/>
    </row>
    <row r="26" spans="1:9" s="181" customFormat="1" ht="86.25" customHeight="1" x14ac:dyDescent="0.2">
      <c r="A26" s="200" t="s">
        <v>104</v>
      </c>
      <c r="B26" s="216">
        <v>76375.210000000006</v>
      </c>
      <c r="C26" s="216">
        <v>141875.01999999999</v>
      </c>
      <c r="D26" s="216">
        <v>103785</v>
      </c>
      <c r="E26" s="215">
        <f t="shared" si="0"/>
        <v>114465.22999999998</v>
      </c>
      <c r="F26" s="1060" t="s">
        <v>369</v>
      </c>
      <c r="G26" s="1061"/>
      <c r="H26" s="1061"/>
      <c r="I26" s="1062"/>
    </row>
    <row r="27" spans="1:9" s="180" customFormat="1" ht="10.5" x14ac:dyDescent="0.15">
      <c r="A27" s="217" t="s">
        <v>34</v>
      </c>
      <c r="B27" s="183">
        <f>SUM(B23:B26)</f>
        <v>291536.8</v>
      </c>
      <c r="C27" s="183">
        <f t="shared" ref="C27:E27" si="1">SUM(C23:C26)</f>
        <v>1727789.51</v>
      </c>
      <c r="D27" s="183">
        <f t="shared" si="1"/>
        <v>1323613.1100000001</v>
      </c>
      <c r="E27" s="183">
        <f t="shared" si="1"/>
        <v>695713.2</v>
      </c>
      <c r="F27" s="1063"/>
      <c r="G27" s="1063"/>
      <c r="H27" s="1063"/>
      <c r="I27" s="1064"/>
    </row>
    <row r="28" spans="1:9" s="181" customFormat="1" ht="11.25" x14ac:dyDescent="0.2">
      <c r="C28" s="186"/>
    </row>
    <row r="29" spans="1:9" s="181" customFormat="1" ht="11.25" x14ac:dyDescent="0.2">
      <c r="A29" s="1039" t="s">
        <v>370</v>
      </c>
      <c r="B29" s="1039"/>
      <c r="C29" s="1039"/>
      <c r="D29" s="1039"/>
      <c r="E29" s="1039"/>
      <c r="F29" s="1039"/>
      <c r="G29" s="1039"/>
      <c r="H29" s="1039"/>
      <c r="I29" s="1039"/>
    </row>
    <row r="30" spans="1:9" s="181" customFormat="1" ht="11.25" x14ac:dyDescent="0.2">
      <c r="C30" s="186"/>
    </row>
    <row r="31" spans="1:9" s="181" customFormat="1" ht="11.25" x14ac:dyDescent="0.2">
      <c r="A31" s="420" t="s">
        <v>105</v>
      </c>
      <c r="B31" s="420" t="s">
        <v>25</v>
      </c>
      <c r="C31" s="423" t="s">
        <v>106</v>
      </c>
      <c r="D31" s="1042" t="s">
        <v>107</v>
      </c>
      <c r="E31" s="1042"/>
      <c r="F31" s="1042"/>
      <c r="G31" s="1042"/>
      <c r="H31" s="1042"/>
      <c r="I31" s="1042"/>
    </row>
    <row r="32" spans="1:9" s="181" customFormat="1" ht="15" customHeight="1" x14ac:dyDescent="0.2">
      <c r="A32" s="218" t="s">
        <v>371</v>
      </c>
      <c r="B32" s="214"/>
      <c r="C32" s="219"/>
      <c r="D32" s="1065"/>
      <c r="E32" s="1066"/>
      <c r="F32" s="1066"/>
      <c r="G32" s="1066"/>
      <c r="H32" s="1066"/>
      <c r="I32" s="1067"/>
    </row>
    <row r="33" spans="1:9" s="180" customFormat="1" ht="11.25" x14ac:dyDescent="0.2">
      <c r="A33" s="217" t="s">
        <v>34</v>
      </c>
      <c r="B33" s="183">
        <f>SUM(B32:B32)</f>
        <v>0</v>
      </c>
      <c r="C33" s="1068"/>
      <c r="D33" s="1069"/>
      <c r="E33" s="1069"/>
      <c r="F33" s="1069"/>
      <c r="G33" s="1069"/>
      <c r="H33" s="1069"/>
      <c r="I33" s="1070"/>
    </row>
    <row r="34" spans="1:9" s="181" customFormat="1" ht="11.25" x14ac:dyDescent="0.2">
      <c r="C34" s="186"/>
    </row>
    <row r="35" spans="1:9" s="181" customFormat="1" ht="11.25" x14ac:dyDescent="0.2">
      <c r="A35" s="1039" t="s">
        <v>372</v>
      </c>
      <c r="B35" s="1039"/>
      <c r="C35" s="1039"/>
      <c r="D35" s="1039"/>
      <c r="E35" s="1039"/>
      <c r="F35" s="1039"/>
      <c r="G35" s="1039"/>
      <c r="H35" s="1039"/>
      <c r="I35" s="1039"/>
    </row>
    <row r="36" spans="1:9" s="181" customFormat="1" ht="11.25" x14ac:dyDescent="0.2">
      <c r="C36" s="186"/>
    </row>
    <row r="37" spans="1:9" s="181" customFormat="1" ht="11.25" x14ac:dyDescent="0.2">
      <c r="A37" s="420" t="s">
        <v>105</v>
      </c>
      <c r="B37" s="420" t="s">
        <v>25</v>
      </c>
      <c r="C37" s="423" t="s">
        <v>106</v>
      </c>
      <c r="D37" s="1071" t="s">
        <v>107</v>
      </c>
      <c r="E37" s="1071"/>
      <c r="F37" s="1071"/>
      <c r="G37" s="1071"/>
      <c r="H37" s="1071"/>
      <c r="I37" s="1072"/>
    </row>
    <row r="38" spans="1:9" s="181" customFormat="1" ht="15" customHeight="1" x14ac:dyDescent="0.2">
      <c r="A38" s="218" t="s">
        <v>373</v>
      </c>
      <c r="B38" s="214"/>
      <c r="C38" s="219"/>
      <c r="D38" s="1057"/>
      <c r="E38" s="1073"/>
      <c r="F38" s="1073"/>
      <c r="G38" s="1073"/>
      <c r="H38" s="1073"/>
      <c r="I38" s="1074"/>
    </row>
    <row r="39" spans="1:9" s="180" customFormat="1" ht="10.5" x14ac:dyDescent="0.15">
      <c r="A39" s="217" t="s">
        <v>34</v>
      </c>
      <c r="B39" s="183">
        <f>SUM(B38:B38)</f>
        <v>0</v>
      </c>
      <c r="C39" s="1075"/>
      <c r="D39" s="1076"/>
      <c r="E39" s="1076"/>
      <c r="F39" s="1076"/>
      <c r="G39" s="1076"/>
      <c r="H39" s="1076"/>
      <c r="I39" s="1076"/>
    </row>
    <row r="40" spans="1:9" s="181" customFormat="1" ht="11.25" x14ac:dyDescent="0.2">
      <c r="C40" s="186"/>
    </row>
    <row r="41" spans="1:9" s="181" customFormat="1" ht="11.25" x14ac:dyDescent="0.2">
      <c r="A41" s="1039" t="s">
        <v>374</v>
      </c>
      <c r="B41" s="1039"/>
      <c r="C41" s="1039"/>
      <c r="D41" s="1039"/>
      <c r="E41" s="1039"/>
      <c r="F41" s="1039"/>
      <c r="G41" s="1039"/>
      <c r="H41" s="1039"/>
      <c r="I41" s="1039"/>
    </row>
    <row r="42" spans="1:9" s="181" customFormat="1" ht="11.25" x14ac:dyDescent="0.2">
      <c r="C42" s="186"/>
    </row>
    <row r="43" spans="1:9" s="181" customFormat="1" ht="11.25" x14ac:dyDescent="0.2">
      <c r="A43" s="420" t="s">
        <v>25</v>
      </c>
      <c r="B43" s="423" t="s">
        <v>375</v>
      </c>
      <c r="C43" s="1077" t="s">
        <v>108</v>
      </c>
      <c r="D43" s="1077"/>
      <c r="E43" s="1077"/>
      <c r="F43" s="1077"/>
      <c r="G43" s="1077"/>
      <c r="H43" s="1077"/>
      <c r="I43" s="1078"/>
    </row>
    <row r="44" spans="1:9" s="181" customFormat="1" ht="11.25" x14ac:dyDescent="0.2">
      <c r="A44" s="228">
        <v>29400</v>
      </c>
      <c r="B44" s="228">
        <v>29400</v>
      </c>
      <c r="C44" s="1079" t="s">
        <v>376</v>
      </c>
      <c r="D44" s="1079"/>
      <c r="E44" s="1079"/>
      <c r="F44" s="1079"/>
      <c r="G44" s="1079"/>
      <c r="H44" s="1079"/>
      <c r="I44" s="1080"/>
    </row>
    <row r="45" spans="1:9" s="180" customFormat="1" ht="10.5" x14ac:dyDescent="0.15">
      <c r="A45" s="183" t="e">
        <f>A44+#REF!+#REF!</f>
        <v>#REF!</v>
      </c>
      <c r="B45" s="183" t="e">
        <f>B44+#REF!+#REF!</f>
        <v>#REF!</v>
      </c>
      <c r="C45" s="1081" t="s">
        <v>34</v>
      </c>
      <c r="D45" s="1081"/>
      <c r="E45" s="1081"/>
      <c r="F45" s="1081"/>
      <c r="G45" s="1081"/>
      <c r="H45" s="1081"/>
      <c r="I45" s="1082"/>
    </row>
    <row r="46" spans="1:9" s="181" customFormat="1" ht="11.25" x14ac:dyDescent="0.2">
      <c r="C46" s="186"/>
    </row>
    <row r="47" spans="1:9" s="181" customFormat="1" ht="11.25" x14ac:dyDescent="0.2">
      <c r="A47" s="1039" t="s">
        <v>377</v>
      </c>
      <c r="B47" s="1039"/>
      <c r="C47" s="1039"/>
      <c r="D47" s="1039"/>
      <c r="E47" s="1039"/>
      <c r="F47" s="1039"/>
      <c r="G47" s="1039"/>
      <c r="H47" s="1039"/>
      <c r="I47" s="1039"/>
    </row>
    <row r="48" spans="1:9" s="181" customFormat="1" ht="11.25" x14ac:dyDescent="0.2">
      <c r="C48" s="186"/>
    </row>
    <row r="49" spans="1:5" s="232" customFormat="1" ht="11.25" x14ac:dyDescent="0.2">
      <c r="A49" s="1071" t="s">
        <v>109</v>
      </c>
      <c r="B49" s="1071"/>
      <c r="C49" s="292" t="s">
        <v>110</v>
      </c>
      <c r="D49" s="422" t="s">
        <v>111</v>
      </c>
      <c r="E49" s="422" t="s">
        <v>25</v>
      </c>
    </row>
    <row r="50" spans="1:5" s="181" customFormat="1" ht="12" customHeight="1" x14ac:dyDescent="0.2">
      <c r="A50" s="977" t="s">
        <v>378</v>
      </c>
      <c r="B50" s="424"/>
      <c r="C50" s="975">
        <v>42891</v>
      </c>
      <c r="D50" s="975"/>
      <c r="E50" s="976">
        <v>412000</v>
      </c>
    </row>
    <row r="51" spans="1:5" s="181" customFormat="1" ht="12" x14ac:dyDescent="0.2">
      <c r="A51" s="1105" t="s">
        <v>379</v>
      </c>
      <c r="B51" s="1105"/>
      <c r="C51" s="975"/>
      <c r="D51" s="975">
        <v>42901</v>
      </c>
      <c r="E51" s="976">
        <v>412000</v>
      </c>
    </row>
    <row r="52" spans="1:5" s="181" customFormat="1" ht="12" customHeight="1" x14ac:dyDescent="0.2">
      <c r="A52" s="1105" t="s">
        <v>380</v>
      </c>
      <c r="B52" s="1105"/>
      <c r="C52" s="975">
        <v>42867</v>
      </c>
      <c r="D52" s="975"/>
      <c r="E52" s="976">
        <v>291000</v>
      </c>
    </row>
    <row r="53" spans="1:5" s="181" customFormat="1" ht="12" x14ac:dyDescent="0.2">
      <c r="A53" s="1098" t="s">
        <v>379</v>
      </c>
      <c r="B53" s="1099"/>
      <c r="C53" s="975"/>
      <c r="D53" s="975">
        <v>42901</v>
      </c>
      <c r="E53" s="976">
        <v>291000</v>
      </c>
    </row>
    <row r="54" spans="1:5" s="181" customFormat="1" ht="12" x14ac:dyDescent="0.2">
      <c r="A54" s="1100" t="s">
        <v>381</v>
      </c>
      <c r="B54" s="1101"/>
      <c r="C54" s="975">
        <v>42941</v>
      </c>
      <c r="D54" s="975"/>
      <c r="E54" s="976">
        <v>80700</v>
      </c>
    </row>
    <row r="55" spans="1:5" s="181" customFormat="1" ht="12" x14ac:dyDescent="0.2">
      <c r="A55" s="1100" t="s">
        <v>382</v>
      </c>
      <c r="B55" s="1101"/>
      <c r="C55" s="975"/>
      <c r="D55" s="975">
        <v>42979</v>
      </c>
      <c r="E55" s="976">
        <v>80700</v>
      </c>
    </row>
    <row r="56" spans="1:5" s="181" customFormat="1" ht="12" customHeight="1" x14ac:dyDescent="0.2">
      <c r="A56" s="1105" t="s">
        <v>383</v>
      </c>
      <c r="B56" s="1105"/>
      <c r="C56" s="975">
        <v>42997</v>
      </c>
      <c r="D56" s="975"/>
      <c r="E56" s="976">
        <v>181882</v>
      </c>
    </row>
    <row r="57" spans="1:5" s="181" customFormat="1" ht="12" customHeight="1" x14ac:dyDescent="0.2">
      <c r="A57" s="1102" t="s">
        <v>384</v>
      </c>
      <c r="B57" s="1103"/>
      <c r="C57" s="975"/>
      <c r="D57" s="975">
        <v>43031</v>
      </c>
      <c r="E57" s="976">
        <v>169382</v>
      </c>
    </row>
    <row r="58" spans="1:5" s="181" customFormat="1" ht="12" customHeight="1" x14ac:dyDescent="0.2">
      <c r="A58" s="1102" t="s">
        <v>385</v>
      </c>
      <c r="B58" s="1103"/>
      <c r="C58" s="975"/>
      <c r="D58" s="975">
        <v>43031</v>
      </c>
      <c r="E58" s="976">
        <v>12500</v>
      </c>
    </row>
    <row r="59" spans="1:5" s="181" customFormat="1" ht="12" customHeight="1" x14ac:dyDescent="0.2">
      <c r="A59" s="1096" t="s">
        <v>386</v>
      </c>
      <c r="B59" s="1097"/>
      <c r="C59" s="846">
        <v>42916</v>
      </c>
      <c r="D59" s="846"/>
      <c r="E59" s="976">
        <v>184696</v>
      </c>
    </row>
    <row r="60" spans="1:5" s="181" customFormat="1" ht="12" customHeight="1" x14ac:dyDescent="0.2">
      <c r="A60" s="1096" t="s">
        <v>387</v>
      </c>
      <c r="B60" s="1097"/>
      <c r="C60" s="846"/>
      <c r="D60" s="846">
        <v>42977</v>
      </c>
      <c r="E60" s="976">
        <v>184696</v>
      </c>
    </row>
    <row r="61" spans="1:5" s="181" customFormat="1" ht="12" customHeight="1" x14ac:dyDescent="0.2">
      <c r="A61" s="1096" t="s">
        <v>388</v>
      </c>
      <c r="B61" s="1097"/>
      <c r="C61" s="846">
        <v>42898</v>
      </c>
      <c r="D61" s="846"/>
      <c r="E61" s="976">
        <v>85700</v>
      </c>
    </row>
    <row r="62" spans="1:5" s="181" customFormat="1" ht="12" customHeight="1" x14ac:dyDescent="0.2">
      <c r="A62" s="1096" t="s">
        <v>389</v>
      </c>
      <c r="B62" s="1097"/>
      <c r="C62" s="846"/>
      <c r="D62" s="846">
        <v>42978</v>
      </c>
      <c r="E62" s="976">
        <v>85700</v>
      </c>
    </row>
    <row r="63" spans="1:5" s="181" customFormat="1" ht="12" customHeight="1" x14ac:dyDescent="0.2">
      <c r="A63" s="1096" t="s">
        <v>390</v>
      </c>
      <c r="B63" s="1097"/>
      <c r="C63" s="846">
        <v>43096</v>
      </c>
      <c r="D63" s="846">
        <v>43100</v>
      </c>
      <c r="E63" s="976">
        <v>1</v>
      </c>
    </row>
    <row r="64" spans="1:5" s="181" customFormat="1" ht="12" x14ac:dyDescent="0.2">
      <c r="A64" s="1096" t="s">
        <v>391</v>
      </c>
      <c r="B64" s="1097"/>
      <c r="C64" s="846">
        <v>43096</v>
      </c>
      <c r="D64" s="846">
        <v>43100</v>
      </c>
      <c r="E64" s="976">
        <v>-1</v>
      </c>
    </row>
    <row r="65" spans="1:9" s="181" customFormat="1" ht="12" x14ac:dyDescent="0.2">
      <c r="A65" s="1096" t="s">
        <v>390</v>
      </c>
      <c r="B65" s="1097"/>
      <c r="C65" s="846">
        <v>43096</v>
      </c>
      <c r="D65" s="846">
        <v>43100</v>
      </c>
      <c r="E65" s="976">
        <v>13500</v>
      </c>
    </row>
    <row r="66" spans="1:9" s="181" customFormat="1" ht="12" x14ac:dyDescent="0.2">
      <c r="A66" s="1096" t="s">
        <v>392</v>
      </c>
      <c r="B66" s="1097"/>
      <c r="C66" s="846">
        <v>43096</v>
      </c>
      <c r="D66" s="846">
        <v>43100</v>
      </c>
      <c r="E66" s="976">
        <v>58000</v>
      </c>
    </row>
    <row r="67" spans="1:9" s="181" customFormat="1" ht="12" x14ac:dyDescent="0.2">
      <c r="A67" s="1096" t="s">
        <v>393</v>
      </c>
      <c r="B67" s="1097"/>
      <c r="C67" s="846">
        <v>43096</v>
      </c>
      <c r="D67" s="846">
        <v>43100</v>
      </c>
      <c r="E67" s="976">
        <v>-71500</v>
      </c>
    </row>
    <row r="68" spans="1:9" s="181" customFormat="1" ht="12" x14ac:dyDescent="0.2">
      <c r="A68" s="1096" t="s">
        <v>394</v>
      </c>
      <c r="B68" s="1097"/>
      <c r="C68" s="846">
        <v>43096</v>
      </c>
      <c r="D68" s="846">
        <v>43100</v>
      </c>
      <c r="E68" s="976">
        <v>45000</v>
      </c>
    </row>
    <row r="69" spans="1:9" s="181" customFormat="1" ht="12" x14ac:dyDescent="0.2">
      <c r="A69" s="1096" t="s">
        <v>395</v>
      </c>
      <c r="B69" s="1097"/>
      <c r="C69" s="846">
        <v>43096</v>
      </c>
      <c r="D69" s="846">
        <v>43100</v>
      </c>
      <c r="E69" s="976">
        <v>21943</v>
      </c>
    </row>
    <row r="70" spans="1:9" s="181" customFormat="1" ht="12" x14ac:dyDescent="0.2">
      <c r="A70" s="1096" t="s">
        <v>396</v>
      </c>
      <c r="B70" s="1097"/>
      <c r="C70" s="846">
        <v>43096</v>
      </c>
      <c r="D70" s="846">
        <v>43100</v>
      </c>
      <c r="E70" s="976">
        <v>-66943</v>
      </c>
    </row>
    <row r="71" spans="1:9" s="181" customFormat="1" ht="11.25" x14ac:dyDescent="0.2">
      <c r="A71" s="426"/>
      <c r="B71" s="426"/>
      <c r="C71" s="237"/>
      <c r="D71" s="237"/>
      <c r="E71" s="238"/>
    </row>
    <row r="72" spans="1:9" s="181" customFormat="1" ht="11.25" x14ac:dyDescent="0.2">
      <c r="A72" s="1083" t="s">
        <v>397</v>
      </c>
      <c r="B72" s="1083"/>
      <c r="C72" s="1083"/>
      <c r="D72" s="1083"/>
      <c r="E72" s="1083"/>
      <c r="F72" s="1083"/>
      <c r="G72" s="1083"/>
      <c r="H72" s="1083"/>
      <c r="I72" s="1083"/>
    </row>
    <row r="73" spans="1:9" s="181" customFormat="1" ht="11.25" x14ac:dyDescent="0.2">
      <c r="A73" s="181" t="s">
        <v>398</v>
      </c>
    </row>
    <row r="74" spans="1:9" s="181" customFormat="1" ht="11.25" x14ac:dyDescent="0.2">
      <c r="A74" s="1034"/>
      <c r="B74" s="1035"/>
      <c r="C74" s="1035"/>
      <c r="D74" s="1035"/>
      <c r="E74" s="1035"/>
      <c r="F74" s="1035"/>
      <c r="G74" s="1035"/>
      <c r="H74" s="1035"/>
      <c r="I74" s="1036"/>
    </row>
    <row r="75" spans="1:9" s="181" customFormat="1" ht="0.75" customHeight="1" x14ac:dyDescent="0.2">
      <c r="A75" s="1034"/>
      <c r="B75" s="1035"/>
      <c r="C75" s="1035"/>
      <c r="D75" s="1035"/>
      <c r="E75" s="1035"/>
      <c r="F75" s="1035"/>
      <c r="G75" s="1035"/>
      <c r="H75" s="1035"/>
      <c r="I75" s="1036"/>
    </row>
    <row r="76" spans="1:9" s="181" customFormat="1" ht="11.25" hidden="1" x14ac:dyDescent="0.2"/>
    <row r="77" spans="1:9" s="180" customFormat="1" ht="10.5" x14ac:dyDescent="0.15">
      <c r="A77" s="1039" t="s">
        <v>399</v>
      </c>
      <c r="B77" s="1039"/>
      <c r="C77" s="1039"/>
      <c r="D77" s="1039"/>
      <c r="E77" s="1039"/>
      <c r="F77" s="1039"/>
      <c r="G77" s="1039"/>
      <c r="H77" s="1039"/>
      <c r="I77" s="1039"/>
    </row>
    <row r="78" spans="1:9" s="181" customFormat="1" ht="11.25" x14ac:dyDescent="0.2">
      <c r="A78" s="181" t="s">
        <v>112</v>
      </c>
    </row>
    <row r="79" spans="1:9" s="181" customFormat="1" ht="44.25" customHeight="1" x14ac:dyDescent="0.2">
      <c r="A79" s="1034" t="s">
        <v>400</v>
      </c>
      <c r="B79" s="1035"/>
      <c r="C79" s="1035"/>
      <c r="D79" s="1035"/>
      <c r="E79" s="1035"/>
      <c r="F79" s="1035"/>
      <c r="G79" s="1035"/>
      <c r="H79" s="1035"/>
      <c r="I79" s="1036"/>
    </row>
    <row r="80" spans="1:9" s="181" customFormat="1" ht="14.25" customHeight="1" x14ac:dyDescent="0.2">
      <c r="A80" s="1034"/>
      <c r="B80" s="1035"/>
      <c r="C80" s="1035"/>
      <c r="D80" s="1035"/>
      <c r="E80" s="1035"/>
      <c r="F80" s="1035"/>
      <c r="G80" s="1035"/>
      <c r="H80" s="1035"/>
      <c r="I80" s="1036"/>
    </row>
    <row r="82" spans="1:3" x14ac:dyDescent="0.2">
      <c r="A82" s="240" t="s">
        <v>401</v>
      </c>
      <c r="C82" s="240" t="s">
        <v>402</v>
      </c>
    </row>
    <row r="83" spans="1:3" x14ac:dyDescent="0.2">
      <c r="A83" s="239"/>
    </row>
    <row r="84" spans="1:3" x14ac:dyDescent="0.2">
      <c r="A84" s="239"/>
    </row>
  </sheetData>
  <mergeCells count="60">
    <mergeCell ref="C44:I44"/>
    <mergeCell ref="A79:I79"/>
    <mergeCell ref="C45:I45"/>
    <mergeCell ref="A47:I47"/>
    <mergeCell ref="A49:B49"/>
    <mergeCell ref="A51:B51"/>
    <mergeCell ref="A74:I74"/>
    <mergeCell ref="A52:B52"/>
    <mergeCell ref="A56:B56"/>
    <mergeCell ref="A72:I72"/>
    <mergeCell ref="A75:I75"/>
    <mergeCell ref="A64:B64"/>
    <mergeCell ref="A65:B65"/>
    <mergeCell ref="A66:B66"/>
    <mergeCell ref="A67:B67"/>
    <mergeCell ref="A59:B59"/>
    <mergeCell ref="D37:I37"/>
    <mergeCell ref="D38:I38"/>
    <mergeCell ref="C39:I39"/>
    <mergeCell ref="A41:I41"/>
    <mergeCell ref="C43:I43"/>
    <mergeCell ref="A11:I11"/>
    <mergeCell ref="A35:I35"/>
    <mergeCell ref="A20:I20"/>
    <mergeCell ref="F22:I22"/>
    <mergeCell ref="F23:I23"/>
    <mergeCell ref="F24:I24"/>
    <mergeCell ref="F25:I25"/>
    <mergeCell ref="F26:I26"/>
    <mergeCell ref="F27:I27"/>
    <mergeCell ref="A29:I29"/>
    <mergeCell ref="D31:I31"/>
    <mergeCell ref="D32:I32"/>
    <mergeCell ref="C33:I33"/>
    <mergeCell ref="A15:A17"/>
    <mergeCell ref="A7:B7"/>
    <mergeCell ref="D7:I7"/>
    <mergeCell ref="A8:B8"/>
    <mergeCell ref="D8:I8"/>
    <mergeCell ref="A9:B9"/>
    <mergeCell ref="D9:I9"/>
    <mergeCell ref="A3:I3"/>
    <mergeCell ref="A5:B5"/>
    <mergeCell ref="D5:I5"/>
    <mergeCell ref="A6:B6"/>
    <mergeCell ref="D6:I6"/>
    <mergeCell ref="A60:B60"/>
    <mergeCell ref="A61:B61"/>
    <mergeCell ref="A62:B62"/>
    <mergeCell ref="A63:B63"/>
    <mergeCell ref="A53:B53"/>
    <mergeCell ref="A54:B54"/>
    <mergeCell ref="A55:B55"/>
    <mergeCell ref="A57:B57"/>
    <mergeCell ref="A58:B58"/>
    <mergeCell ref="A68:B68"/>
    <mergeCell ref="A69:B69"/>
    <mergeCell ref="A70:B70"/>
    <mergeCell ref="A77:I77"/>
    <mergeCell ref="A80:I80"/>
  </mergeCells>
  <pageMargins left="0.70866141732283472" right="0.70866141732283472" top="0.78740157480314965" bottom="0.78740157480314965" header="0.31496062992125984" footer="0.31496062992125984"/>
  <pageSetup paperSize="9" scale="73" firstPageNumber="85" fitToHeight="7" orientation="portrait" useFirstPageNumber="1" r:id="rId1"/>
  <headerFooter>
    <oddFooter>&amp;C&amp;P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zoomScale="150" zoomScaleNormal="150" workbookViewId="0">
      <selection activeCell="A107" sqref="A107:XFD107"/>
    </sheetView>
  </sheetViews>
  <sheetFormatPr defaultColWidth="6.5" defaultRowHeight="8.25" x14ac:dyDescent="0.15"/>
  <cols>
    <col min="1" max="1" width="5.5" style="1" customWidth="1"/>
    <col min="2" max="2" width="6.5" customWidth="1"/>
    <col min="3" max="3" width="36.75" customWidth="1"/>
    <col min="4" max="4" width="9.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2" customFormat="1" ht="15.75" x14ac:dyDescent="0.25">
      <c r="A1" s="1019" t="s">
        <v>341</v>
      </c>
      <c r="B1" s="1019"/>
      <c r="C1" s="1019"/>
      <c r="D1" s="1019"/>
      <c r="E1" s="1019"/>
      <c r="F1" s="1019"/>
      <c r="G1" s="1019"/>
      <c r="H1" s="1019"/>
      <c r="I1" s="1019"/>
      <c r="J1" s="1019"/>
      <c r="K1" s="1019"/>
      <c r="L1" s="1019"/>
      <c r="M1" s="1019"/>
      <c r="N1" s="1019"/>
      <c r="O1" s="1019"/>
      <c r="P1" s="1019"/>
      <c r="Q1" s="1019"/>
      <c r="R1" s="1019"/>
      <c r="S1" s="1019"/>
      <c r="T1" s="1019"/>
      <c r="U1" s="1019"/>
      <c r="V1" s="1019"/>
      <c r="W1" s="1019"/>
      <c r="X1" s="1019"/>
    </row>
    <row r="3" spans="1:24" s="3" customFormat="1" ht="9.75" customHeight="1" x14ac:dyDescent="0.2">
      <c r="A3" s="1012" t="s">
        <v>40</v>
      </c>
      <c r="B3" s="1022" t="s">
        <v>41</v>
      </c>
      <c r="C3" s="1023"/>
      <c r="D3" s="1028" t="s">
        <v>42</v>
      </c>
      <c r="E3" s="1031" t="s">
        <v>34</v>
      </c>
      <c r="F3" s="1032"/>
      <c r="G3" s="1032"/>
      <c r="H3" s="1032"/>
      <c r="I3" s="1033"/>
      <c r="J3" s="1031" t="s">
        <v>39</v>
      </c>
      <c r="K3" s="1032"/>
      <c r="L3" s="1032"/>
      <c r="M3" s="1032"/>
      <c r="N3" s="1033"/>
      <c r="O3" s="1031" t="s">
        <v>43</v>
      </c>
      <c r="P3" s="1032"/>
      <c r="Q3" s="1032"/>
      <c r="R3" s="1032"/>
      <c r="S3" s="1033"/>
      <c r="T3" s="1031" t="s">
        <v>38</v>
      </c>
      <c r="U3" s="1032"/>
      <c r="V3" s="1032"/>
      <c r="W3" s="1032"/>
      <c r="X3" s="1033"/>
    </row>
    <row r="4" spans="1:24" s="4" customFormat="1" ht="9.75" customHeight="1" x14ac:dyDescent="0.2">
      <c r="A4" s="1020"/>
      <c r="B4" s="1024"/>
      <c r="C4" s="1025"/>
      <c r="D4" s="1029"/>
      <c r="E4" s="1014" t="s">
        <v>44</v>
      </c>
      <c r="F4" s="1016" t="s">
        <v>336</v>
      </c>
      <c r="G4" s="1017"/>
      <c r="H4" s="1018"/>
      <c r="I4" s="1012" t="s">
        <v>337</v>
      </c>
      <c r="J4" s="1014" t="s">
        <v>44</v>
      </c>
      <c r="K4" s="1016" t="s">
        <v>336</v>
      </c>
      <c r="L4" s="1017"/>
      <c r="M4" s="1018"/>
      <c r="N4" s="1012" t="s">
        <v>337</v>
      </c>
      <c r="O4" s="1014" t="s">
        <v>44</v>
      </c>
      <c r="P4" s="1016" t="s">
        <v>336</v>
      </c>
      <c r="Q4" s="1017"/>
      <c r="R4" s="1018"/>
      <c r="S4" s="1012" t="s">
        <v>337</v>
      </c>
      <c r="T4" s="1014" t="s">
        <v>44</v>
      </c>
      <c r="U4" s="1016" t="s">
        <v>336</v>
      </c>
      <c r="V4" s="1017"/>
      <c r="W4" s="1018"/>
      <c r="X4" s="1012" t="s">
        <v>337</v>
      </c>
    </row>
    <row r="5" spans="1:24" s="5" customFormat="1" ht="9.75" customHeight="1" x14ac:dyDescent="0.2">
      <c r="A5" s="1021"/>
      <c r="B5" s="1026"/>
      <c r="C5" s="1027"/>
      <c r="D5" s="1030"/>
      <c r="E5" s="1015"/>
      <c r="F5" s="14" t="s">
        <v>35</v>
      </c>
      <c r="G5" s="15" t="s">
        <v>36</v>
      </c>
      <c r="H5" s="14" t="s">
        <v>37</v>
      </c>
      <c r="I5" s="1013"/>
      <c r="J5" s="1015"/>
      <c r="K5" s="14" t="s">
        <v>35</v>
      </c>
      <c r="L5" s="15" t="s">
        <v>36</v>
      </c>
      <c r="M5" s="14" t="s">
        <v>37</v>
      </c>
      <c r="N5" s="1013"/>
      <c r="O5" s="1015"/>
      <c r="P5" s="14" t="s">
        <v>35</v>
      </c>
      <c r="Q5" s="15" t="s">
        <v>36</v>
      </c>
      <c r="R5" s="14" t="s">
        <v>37</v>
      </c>
      <c r="S5" s="1013"/>
      <c r="T5" s="1015"/>
      <c r="U5" s="14" t="s">
        <v>35</v>
      </c>
      <c r="V5" s="15" t="s">
        <v>36</v>
      </c>
      <c r="W5" s="14" t="s">
        <v>37</v>
      </c>
      <c r="X5" s="1013"/>
    </row>
    <row r="6" spans="1:24" s="3" customFormat="1" ht="9.75" customHeight="1" x14ac:dyDescent="0.2">
      <c r="A6" s="16" t="s">
        <v>0</v>
      </c>
      <c r="B6" s="1007" t="s">
        <v>1</v>
      </c>
      <c r="C6" s="1007"/>
      <c r="D6" s="17" t="s">
        <v>25</v>
      </c>
      <c r="E6" s="52">
        <f>SUM(E7:E9)</f>
        <v>7820248</v>
      </c>
      <c r="F6" s="52">
        <f>SUM(F7:F9)</f>
        <v>8129150</v>
      </c>
      <c r="G6" s="52">
        <f>SUM(G7:G9)</f>
        <v>8132013</v>
      </c>
      <c r="H6" s="18">
        <f t="shared" ref="H6:H29" si="0">G6/F6*100</f>
        <v>100.03521893432892</v>
      </c>
      <c r="I6" s="52">
        <f>SUM(I7:I9)</f>
        <v>7946040.2999999998</v>
      </c>
      <c r="J6" s="52">
        <f>SUM(J7:J9)</f>
        <v>2198208</v>
      </c>
      <c r="K6" s="52">
        <f t="shared" ref="K6:X6" si="1">SUM(K7:K9)</f>
        <v>2261023</v>
      </c>
      <c r="L6" s="52">
        <f>SUM(L7:L9)</f>
        <v>2263886</v>
      </c>
      <c r="M6" s="18">
        <f t="shared" ref="M6:M29" si="2">L6/K6*100</f>
        <v>100.1266240989145</v>
      </c>
      <c r="N6" s="69">
        <f t="shared" si="1"/>
        <v>2489551.2999999998</v>
      </c>
      <c r="O6" s="52">
        <f t="shared" si="1"/>
        <v>5622040</v>
      </c>
      <c r="P6" s="52">
        <f t="shared" si="1"/>
        <v>5868127</v>
      </c>
      <c r="Q6" s="52">
        <f t="shared" si="1"/>
        <v>5868127</v>
      </c>
      <c r="R6" s="18">
        <f t="shared" ref="R6:R21" si="3">Q6/P6*100</f>
        <v>100</v>
      </c>
      <c r="S6" s="52">
        <f t="shared" si="1"/>
        <v>5456489</v>
      </c>
      <c r="T6" s="52">
        <f t="shared" si="1"/>
        <v>0</v>
      </c>
      <c r="U6" s="52">
        <f t="shared" si="1"/>
        <v>0</v>
      </c>
      <c r="V6" s="52">
        <f t="shared" si="1"/>
        <v>0</v>
      </c>
      <c r="W6" s="18">
        <v>0</v>
      </c>
      <c r="X6" s="52">
        <f t="shared" si="1"/>
        <v>0</v>
      </c>
    </row>
    <row r="7" spans="1:24" s="3" customFormat="1" ht="9.75" x14ac:dyDescent="0.2">
      <c r="A7" s="19" t="s">
        <v>2</v>
      </c>
      <c r="B7" s="1010" t="s">
        <v>46</v>
      </c>
      <c r="C7" s="1011"/>
      <c r="D7" s="47" t="s">
        <v>25</v>
      </c>
      <c r="E7" s="53">
        <f t="shared" ref="E7:G10" si="4">SUM(J7,O7)</f>
        <v>780000</v>
      </c>
      <c r="F7" s="54">
        <f t="shared" si="4"/>
        <v>887815</v>
      </c>
      <c r="G7" s="54">
        <f t="shared" si="4"/>
        <v>890678</v>
      </c>
      <c r="H7" s="6">
        <f t="shared" si="0"/>
        <v>100.32247709263756</v>
      </c>
      <c r="I7" s="60">
        <f>SUM(N7,S7)</f>
        <v>1123851.3</v>
      </c>
      <c r="J7" s="61">
        <v>780000</v>
      </c>
      <c r="K7" s="62">
        <v>887815</v>
      </c>
      <c r="L7" s="62">
        <v>890678</v>
      </c>
      <c r="M7" s="6">
        <f t="shared" si="2"/>
        <v>100.32247709263756</v>
      </c>
      <c r="N7" s="76">
        <v>1123851.3</v>
      </c>
      <c r="O7" s="77"/>
      <c r="P7" s="62"/>
      <c r="Q7" s="62"/>
      <c r="R7" s="6">
        <v>0</v>
      </c>
      <c r="S7" s="76">
        <v>0</v>
      </c>
      <c r="T7" s="77"/>
      <c r="U7" s="62"/>
      <c r="V7" s="62"/>
      <c r="W7" s="6">
        <v>0</v>
      </c>
      <c r="X7" s="91"/>
    </row>
    <row r="8" spans="1:24" s="3" customFormat="1" ht="9.75" x14ac:dyDescent="0.2">
      <c r="A8" s="20" t="s">
        <v>3</v>
      </c>
      <c r="B8" s="1005" t="s">
        <v>47</v>
      </c>
      <c r="C8" s="1006"/>
      <c r="D8" s="48" t="s">
        <v>25</v>
      </c>
      <c r="E8" s="55">
        <f t="shared" si="4"/>
        <v>0</v>
      </c>
      <c r="F8" s="56">
        <f t="shared" si="4"/>
        <v>0</v>
      </c>
      <c r="G8" s="56">
        <f t="shared" si="4"/>
        <v>0</v>
      </c>
      <c r="H8" s="7">
        <v>0</v>
      </c>
      <c r="I8" s="63">
        <f>SUM(N8,S8)</f>
        <v>0</v>
      </c>
      <c r="J8" s="64"/>
      <c r="K8" s="56"/>
      <c r="L8" s="56"/>
      <c r="M8" s="7">
        <v>0</v>
      </c>
      <c r="N8" s="63">
        <v>0</v>
      </c>
      <c r="O8" s="55"/>
      <c r="P8" s="56"/>
      <c r="Q8" s="56"/>
      <c r="R8" s="7">
        <v>0</v>
      </c>
      <c r="S8" s="63">
        <v>0</v>
      </c>
      <c r="T8" s="55"/>
      <c r="U8" s="56"/>
      <c r="V8" s="56"/>
      <c r="W8" s="7">
        <v>0</v>
      </c>
      <c r="X8" s="92"/>
    </row>
    <row r="9" spans="1:24" s="3" customFormat="1" ht="9.75" x14ac:dyDescent="0.2">
      <c r="A9" s="21" t="s">
        <v>4</v>
      </c>
      <c r="B9" s="22" t="s">
        <v>62</v>
      </c>
      <c r="C9" s="23"/>
      <c r="D9" s="50" t="s">
        <v>25</v>
      </c>
      <c r="E9" s="57">
        <f t="shared" si="4"/>
        <v>7040248</v>
      </c>
      <c r="F9" s="58">
        <f t="shared" si="4"/>
        <v>7241335</v>
      </c>
      <c r="G9" s="58">
        <f t="shared" si="4"/>
        <v>7241335</v>
      </c>
      <c r="H9" s="24">
        <f t="shared" si="0"/>
        <v>100</v>
      </c>
      <c r="I9" s="65">
        <f>SUM(N9,S9)</f>
        <v>6822189</v>
      </c>
      <c r="J9" s="66">
        <v>1418208</v>
      </c>
      <c r="K9" s="58">
        <v>1373208</v>
      </c>
      <c r="L9" s="58">
        <v>1373208</v>
      </c>
      <c r="M9" s="24">
        <f t="shared" si="2"/>
        <v>100</v>
      </c>
      <c r="N9" s="65">
        <v>1365700</v>
      </c>
      <c r="O9" s="57">
        <v>5622040</v>
      </c>
      <c r="P9" s="58">
        <v>5868127</v>
      </c>
      <c r="Q9" s="58">
        <v>5868127</v>
      </c>
      <c r="R9" s="24">
        <f t="shared" si="3"/>
        <v>100</v>
      </c>
      <c r="S9" s="65">
        <v>5456489</v>
      </c>
      <c r="T9" s="57"/>
      <c r="U9" s="58"/>
      <c r="V9" s="58"/>
      <c r="W9" s="24">
        <v>0</v>
      </c>
      <c r="X9" s="93"/>
    </row>
    <row r="10" spans="1:24" s="3" customFormat="1" ht="9.75" x14ac:dyDescent="0.2">
      <c r="A10" s="16" t="s">
        <v>5</v>
      </c>
      <c r="B10" s="1007" t="s">
        <v>7</v>
      </c>
      <c r="C10" s="1007"/>
      <c r="D10" s="25" t="s">
        <v>25</v>
      </c>
      <c r="E10" s="59">
        <f>SUM(J10,O10)</f>
        <v>0</v>
      </c>
      <c r="F10" s="59">
        <f t="shared" si="4"/>
        <v>45000</v>
      </c>
      <c r="G10" s="59">
        <f t="shared" si="4"/>
        <v>45000</v>
      </c>
      <c r="H10" s="18">
        <f t="shared" si="0"/>
        <v>100</v>
      </c>
      <c r="I10" s="67">
        <f>SUM(N10,S10)</f>
        <v>0</v>
      </c>
      <c r="J10" s="68">
        <v>0</v>
      </c>
      <c r="K10" s="59">
        <v>45000</v>
      </c>
      <c r="L10" s="59">
        <v>45000</v>
      </c>
      <c r="M10" s="18">
        <f t="shared" si="2"/>
        <v>100</v>
      </c>
      <c r="N10" s="67">
        <v>0</v>
      </c>
      <c r="O10" s="59"/>
      <c r="P10" s="59"/>
      <c r="Q10" s="59"/>
      <c r="R10" s="18">
        <v>0</v>
      </c>
      <c r="S10" s="67"/>
      <c r="T10" s="59"/>
      <c r="U10" s="59"/>
      <c r="V10" s="59"/>
      <c r="W10" s="18">
        <v>0</v>
      </c>
      <c r="X10" s="59"/>
    </row>
    <row r="11" spans="1:24" s="3" customFormat="1" ht="9.75" x14ac:dyDescent="0.2">
      <c r="A11" s="16" t="s">
        <v>6</v>
      </c>
      <c r="B11" s="1007" t="s">
        <v>9</v>
      </c>
      <c r="C11" s="1007"/>
      <c r="D11" s="25" t="s">
        <v>25</v>
      </c>
      <c r="E11" s="52">
        <f>SUM(E12:E31)</f>
        <v>7820248</v>
      </c>
      <c r="F11" s="52">
        <f>SUM(F12:F31)</f>
        <v>8129150</v>
      </c>
      <c r="G11" s="52">
        <f>SUM(G12:G31)</f>
        <v>8119076.3900000006</v>
      </c>
      <c r="H11" s="18">
        <f t="shared" si="0"/>
        <v>99.876080402010061</v>
      </c>
      <c r="I11" s="69">
        <f>SUM(I12:I31)</f>
        <v>7926628.2999999998</v>
      </c>
      <c r="J11" s="52">
        <f>SUM(J12:J31)</f>
        <v>2198208</v>
      </c>
      <c r="K11" s="52">
        <f>SUM(K12:K31)</f>
        <v>2261023</v>
      </c>
      <c r="L11" s="52">
        <f>SUM(L12:L31)</f>
        <v>2250949.39</v>
      </c>
      <c r="M11" s="18">
        <f t="shared" si="2"/>
        <v>99.55446671705684</v>
      </c>
      <c r="N11" s="69">
        <f>SUM(N12:N31)</f>
        <v>2470139.2999999998</v>
      </c>
      <c r="O11" s="52">
        <f>SUM(O12:O31)</f>
        <v>5622040</v>
      </c>
      <c r="P11" s="52">
        <f>SUM(P12:P31)</f>
        <v>5868127</v>
      </c>
      <c r="Q11" s="52">
        <f>SUM(Q12:Q31)</f>
        <v>5868127</v>
      </c>
      <c r="R11" s="18">
        <f t="shared" si="3"/>
        <v>100</v>
      </c>
      <c r="S11" s="69">
        <f>SUM(S12:S31)</f>
        <v>5456489</v>
      </c>
      <c r="T11" s="52">
        <f>SUM(T12:T31)</f>
        <v>0</v>
      </c>
      <c r="U11" s="52">
        <f>SUM(U12:U31)</f>
        <v>0</v>
      </c>
      <c r="V11" s="52">
        <f>SUM(V12:V31)</f>
        <v>0</v>
      </c>
      <c r="W11" s="18">
        <v>0</v>
      </c>
      <c r="X11" s="52">
        <f>SUM(X12:X31)</f>
        <v>0</v>
      </c>
    </row>
    <row r="12" spans="1:24" s="3" customFormat="1" ht="9.75" x14ac:dyDescent="0.2">
      <c r="A12" s="26" t="s">
        <v>8</v>
      </c>
      <c r="B12" s="1008" t="s">
        <v>28</v>
      </c>
      <c r="C12" s="1009"/>
      <c r="D12" s="51" t="s">
        <v>25</v>
      </c>
      <c r="E12" s="53">
        <f t="shared" ref="E12:I28" si="5">SUM(J12,O12)</f>
        <v>638000</v>
      </c>
      <c r="F12" s="54">
        <f t="shared" si="5"/>
        <v>737371</v>
      </c>
      <c r="G12" s="54">
        <f t="shared" si="5"/>
        <v>730499.02</v>
      </c>
      <c r="H12" s="6">
        <f t="shared" si="0"/>
        <v>99.06804308821475</v>
      </c>
      <c r="I12" s="60">
        <f t="shared" si="5"/>
        <v>797765.97</v>
      </c>
      <c r="J12" s="70">
        <v>638000</v>
      </c>
      <c r="K12" s="71">
        <v>730270</v>
      </c>
      <c r="L12" s="71">
        <v>723398.02</v>
      </c>
      <c r="M12" s="6">
        <f t="shared" si="2"/>
        <v>99.058980924863405</v>
      </c>
      <c r="N12" s="78">
        <v>783412.97</v>
      </c>
      <c r="O12" s="79">
        <v>0</v>
      </c>
      <c r="P12" s="71">
        <v>7101</v>
      </c>
      <c r="Q12" s="71">
        <v>7101</v>
      </c>
      <c r="R12" s="6">
        <f t="shared" si="3"/>
        <v>100</v>
      </c>
      <c r="S12" s="83">
        <v>14353</v>
      </c>
      <c r="T12" s="79"/>
      <c r="U12" s="71"/>
      <c r="V12" s="71"/>
      <c r="W12" s="6">
        <v>0</v>
      </c>
      <c r="X12" s="94"/>
    </row>
    <row r="13" spans="1:24" s="3" customFormat="1" ht="9.75" x14ac:dyDescent="0.2">
      <c r="A13" s="27" t="s">
        <v>10</v>
      </c>
      <c r="B13" s="997" t="s">
        <v>29</v>
      </c>
      <c r="C13" s="998"/>
      <c r="D13" s="48" t="s">
        <v>25</v>
      </c>
      <c r="E13" s="55">
        <f t="shared" si="5"/>
        <v>670000</v>
      </c>
      <c r="F13" s="56">
        <f t="shared" si="5"/>
        <v>583000</v>
      </c>
      <c r="G13" s="56">
        <f t="shared" si="5"/>
        <v>581891</v>
      </c>
      <c r="H13" s="7">
        <f t="shared" si="0"/>
        <v>99.80977701543739</v>
      </c>
      <c r="I13" s="63">
        <f t="shared" si="5"/>
        <v>580092.71</v>
      </c>
      <c r="J13" s="72">
        <v>670000</v>
      </c>
      <c r="K13" s="56">
        <v>583000</v>
      </c>
      <c r="L13" s="56">
        <v>581891</v>
      </c>
      <c r="M13" s="7">
        <f t="shared" si="2"/>
        <v>99.80977701543739</v>
      </c>
      <c r="N13" s="63">
        <v>580092.71</v>
      </c>
      <c r="O13" s="55"/>
      <c r="P13" s="56"/>
      <c r="Q13" s="56"/>
      <c r="R13" s="7">
        <v>0</v>
      </c>
      <c r="S13" s="63">
        <v>0</v>
      </c>
      <c r="T13" s="55"/>
      <c r="U13" s="56"/>
      <c r="V13" s="56"/>
      <c r="W13" s="7">
        <v>0</v>
      </c>
      <c r="X13" s="92"/>
    </row>
    <row r="14" spans="1:24" s="3" customFormat="1" ht="9.75" x14ac:dyDescent="0.2">
      <c r="A14" s="27" t="s">
        <v>11</v>
      </c>
      <c r="B14" s="418" t="s">
        <v>63</v>
      </c>
      <c r="C14" s="419"/>
      <c r="D14" s="48" t="s">
        <v>25</v>
      </c>
      <c r="E14" s="55">
        <f t="shared" si="5"/>
        <v>0</v>
      </c>
      <c r="F14" s="56">
        <f t="shared" si="5"/>
        <v>0</v>
      </c>
      <c r="G14" s="56">
        <f t="shared" si="5"/>
        <v>0</v>
      </c>
      <c r="H14" s="7">
        <v>0</v>
      </c>
      <c r="I14" s="63">
        <f t="shared" si="5"/>
        <v>0</v>
      </c>
      <c r="J14" s="72"/>
      <c r="K14" s="56"/>
      <c r="L14" s="56"/>
      <c r="M14" s="7">
        <v>0</v>
      </c>
      <c r="N14" s="63">
        <v>0</v>
      </c>
      <c r="O14" s="55"/>
      <c r="P14" s="56"/>
      <c r="Q14" s="56"/>
      <c r="R14" s="7">
        <v>0</v>
      </c>
      <c r="S14" s="63">
        <v>0</v>
      </c>
      <c r="T14" s="55"/>
      <c r="U14" s="56"/>
      <c r="V14" s="56"/>
      <c r="W14" s="7">
        <v>0</v>
      </c>
      <c r="X14" s="92"/>
    </row>
    <row r="15" spans="1:24" s="3" customFormat="1" ht="9.75" x14ac:dyDescent="0.2">
      <c r="A15" s="27" t="s">
        <v>12</v>
      </c>
      <c r="B15" s="997" t="s">
        <v>64</v>
      </c>
      <c r="C15" s="998"/>
      <c r="D15" s="48" t="s">
        <v>25</v>
      </c>
      <c r="E15" s="55">
        <f t="shared" si="5"/>
        <v>420000</v>
      </c>
      <c r="F15" s="56">
        <f t="shared" si="5"/>
        <v>472500</v>
      </c>
      <c r="G15" s="56">
        <f t="shared" si="5"/>
        <v>471654.08</v>
      </c>
      <c r="H15" s="7">
        <f t="shared" si="0"/>
        <v>99.820969312169311</v>
      </c>
      <c r="I15" s="63">
        <f t="shared" si="5"/>
        <v>360100.38</v>
      </c>
      <c r="J15" s="72">
        <v>420000</v>
      </c>
      <c r="K15" s="56">
        <v>472500</v>
      </c>
      <c r="L15" s="56">
        <v>471654.08</v>
      </c>
      <c r="M15" s="7">
        <f t="shared" si="2"/>
        <v>99.820969312169311</v>
      </c>
      <c r="N15" s="63">
        <v>360100.38</v>
      </c>
      <c r="O15" s="55"/>
      <c r="P15" s="56"/>
      <c r="Q15" s="56"/>
      <c r="R15" s="7">
        <v>0</v>
      </c>
      <c r="S15" s="63">
        <v>0</v>
      </c>
      <c r="T15" s="55"/>
      <c r="U15" s="56"/>
      <c r="V15" s="56"/>
      <c r="W15" s="7">
        <v>0</v>
      </c>
      <c r="X15" s="92"/>
    </row>
    <row r="16" spans="1:24" s="3" customFormat="1" ht="9.75" x14ac:dyDescent="0.2">
      <c r="A16" s="27" t="s">
        <v>13</v>
      </c>
      <c r="B16" s="997" t="s">
        <v>30</v>
      </c>
      <c r="C16" s="998"/>
      <c r="D16" s="48" t="s">
        <v>25</v>
      </c>
      <c r="E16" s="55">
        <f t="shared" si="5"/>
        <v>2000</v>
      </c>
      <c r="F16" s="56">
        <f t="shared" si="5"/>
        <v>1500</v>
      </c>
      <c r="G16" s="56">
        <f t="shared" si="5"/>
        <v>1465</v>
      </c>
      <c r="H16" s="7">
        <f t="shared" si="0"/>
        <v>97.666666666666671</v>
      </c>
      <c r="I16" s="63">
        <f t="shared" si="5"/>
        <v>922</v>
      </c>
      <c r="J16" s="72">
        <v>2000</v>
      </c>
      <c r="K16" s="56">
        <v>1500</v>
      </c>
      <c r="L16" s="56">
        <v>1465</v>
      </c>
      <c r="M16" s="7">
        <f t="shared" si="2"/>
        <v>97.666666666666671</v>
      </c>
      <c r="N16" s="63">
        <v>922</v>
      </c>
      <c r="O16" s="55"/>
      <c r="P16" s="56"/>
      <c r="Q16" s="56"/>
      <c r="R16" s="7">
        <v>0</v>
      </c>
      <c r="S16" s="63">
        <v>0</v>
      </c>
      <c r="T16" s="55"/>
      <c r="U16" s="56"/>
      <c r="V16" s="56"/>
      <c r="W16" s="7">
        <v>0</v>
      </c>
      <c r="X16" s="92"/>
    </row>
    <row r="17" spans="1:24" s="3" customFormat="1" ht="9.75" x14ac:dyDescent="0.2">
      <c r="A17" s="27" t="s">
        <v>14</v>
      </c>
      <c r="B17" s="418" t="s">
        <v>48</v>
      </c>
      <c r="C17" s="419"/>
      <c r="D17" s="48" t="s">
        <v>25</v>
      </c>
      <c r="E17" s="55">
        <f t="shared" si="5"/>
        <v>1000</v>
      </c>
      <c r="F17" s="56">
        <f t="shared" si="5"/>
        <v>0</v>
      </c>
      <c r="G17" s="56">
        <f t="shared" si="5"/>
        <v>0</v>
      </c>
      <c r="H17" s="7">
        <v>0</v>
      </c>
      <c r="I17" s="63">
        <f t="shared" si="5"/>
        <v>0</v>
      </c>
      <c r="J17" s="72">
        <v>1000</v>
      </c>
      <c r="K17" s="56">
        <v>0</v>
      </c>
      <c r="L17" s="56">
        <v>0</v>
      </c>
      <c r="M17" s="7">
        <v>0</v>
      </c>
      <c r="N17" s="63">
        <v>0</v>
      </c>
      <c r="O17" s="55"/>
      <c r="P17" s="56"/>
      <c r="Q17" s="56"/>
      <c r="R17" s="7">
        <v>0</v>
      </c>
      <c r="S17" s="63">
        <v>0</v>
      </c>
      <c r="T17" s="55"/>
      <c r="U17" s="56"/>
      <c r="V17" s="56"/>
      <c r="W17" s="7">
        <v>0</v>
      </c>
      <c r="X17" s="92"/>
    </row>
    <row r="18" spans="1:24" s="3" customFormat="1" ht="9.75" x14ac:dyDescent="0.2">
      <c r="A18" s="27" t="s">
        <v>15</v>
      </c>
      <c r="B18" s="997" t="s">
        <v>31</v>
      </c>
      <c r="C18" s="998"/>
      <c r="D18" s="48" t="s">
        <v>25</v>
      </c>
      <c r="E18" s="55">
        <f t="shared" si="5"/>
        <v>198000</v>
      </c>
      <c r="F18" s="56">
        <f t="shared" si="5"/>
        <v>198000</v>
      </c>
      <c r="G18" s="56">
        <f t="shared" si="5"/>
        <v>196790.79</v>
      </c>
      <c r="H18" s="7">
        <f t="shared" si="0"/>
        <v>99.389287878787883</v>
      </c>
      <c r="I18" s="63">
        <f t="shared" si="5"/>
        <v>184609.24</v>
      </c>
      <c r="J18" s="72">
        <v>198000</v>
      </c>
      <c r="K18" s="56">
        <v>198000</v>
      </c>
      <c r="L18" s="56">
        <v>196790.79</v>
      </c>
      <c r="M18" s="7">
        <f t="shared" si="2"/>
        <v>99.389287878787883</v>
      </c>
      <c r="N18" s="63">
        <v>184609.24</v>
      </c>
      <c r="O18" s="55"/>
      <c r="P18" s="56"/>
      <c r="Q18" s="56"/>
      <c r="R18" s="7">
        <v>0</v>
      </c>
      <c r="S18" s="63">
        <v>0</v>
      </c>
      <c r="T18" s="55"/>
      <c r="U18" s="56"/>
      <c r="V18" s="56"/>
      <c r="W18" s="7">
        <v>0</v>
      </c>
      <c r="X18" s="92"/>
    </row>
    <row r="19" spans="1:24" s="8" customFormat="1" ht="9.75" x14ac:dyDescent="0.2">
      <c r="A19" s="27" t="s">
        <v>16</v>
      </c>
      <c r="B19" s="997" t="s">
        <v>32</v>
      </c>
      <c r="C19" s="998"/>
      <c r="D19" s="48" t="s">
        <v>25</v>
      </c>
      <c r="E19" s="55">
        <f t="shared" si="5"/>
        <v>4094300</v>
      </c>
      <c r="F19" s="56">
        <f t="shared" si="5"/>
        <v>4299838</v>
      </c>
      <c r="G19" s="56">
        <f t="shared" si="5"/>
        <v>4299838</v>
      </c>
      <c r="H19" s="7">
        <f t="shared" si="0"/>
        <v>100</v>
      </c>
      <c r="I19" s="63">
        <f t="shared" si="5"/>
        <v>4032448</v>
      </c>
      <c r="J19" s="73"/>
      <c r="K19" s="56"/>
      <c r="L19" s="56"/>
      <c r="M19" s="7">
        <v>0</v>
      </c>
      <c r="N19" s="63">
        <v>36000</v>
      </c>
      <c r="O19" s="55">
        <v>4094300</v>
      </c>
      <c r="P19" s="56">
        <v>4299838</v>
      </c>
      <c r="Q19" s="56">
        <v>4299838</v>
      </c>
      <c r="R19" s="7">
        <f t="shared" si="3"/>
        <v>100</v>
      </c>
      <c r="S19" s="63">
        <v>3996448</v>
      </c>
      <c r="T19" s="84"/>
      <c r="U19" s="85"/>
      <c r="V19" s="85"/>
      <c r="W19" s="7">
        <v>0</v>
      </c>
      <c r="X19" s="95"/>
    </row>
    <row r="20" spans="1:24" s="3" customFormat="1" ht="9.75" x14ac:dyDescent="0.2">
      <c r="A20" s="27" t="s">
        <v>17</v>
      </c>
      <c r="B20" s="997" t="s">
        <v>49</v>
      </c>
      <c r="C20" s="998"/>
      <c r="D20" s="48" t="s">
        <v>25</v>
      </c>
      <c r="E20" s="55">
        <f t="shared" si="5"/>
        <v>1453528</v>
      </c>
      <c r="F20" s="56">
        <f t="shared" si="5"/>
        <v>1461039</v>
      </c>
      <c r="G20" s="56">
        <f t="shared" si="5"/>
        <v>1461039</v>
      </c>
      <c r="H20" s="7">
        <f t="shared" si="0"/>
        <v>100</v>
      </c>
      <c r="I20" s="63">
        <f t="shared" si="5"/>
        <v>1380309</v>
      </c>
      <c r="J20" s="72"/>
      <c r="K20" s="56"/>
      <c r="L20" s="56"/>
      <c r="M20" s="7">
        <v>0</v>
      </c>
      <c r="N20" s="63">
        <v>12391</v>
      </c>
      <c r="O20" s="55">
        <v>1453528</v>
      </c>
      <c r="P20" s="56">
        <v>1461039</v>
      </c>
      <c r="Q20" s="56">
        <v>1461039</v>
      </c>
      <c r="R20" s="7">
        <f t="shared" si="3"/>
        <v>100</v>
      </c>
      <c r="S20" s="63">
        <v>1367918</v>
      </c>
      <c r="T20" s="55"/>
      <c r="U20" s="56"/>
      <c r="V20" s="56"/>
      <c r="W20" s="7">
        <v>0</v>
      </c>
      <c r="X20" s="92"/>
    </row>
    <row r="21" spans="1:24" s="3" customFormat="1" ht="9.75" x14ac:dyDescent="0.2">
      <c r="A21" s="27" t="s">
        <v>18</v>
      </c>
      <c r="B21" s="997" t="s">
        <v>50</v>
      </c>
      <c r="C21" s="998"/>
      <c r="D21" s="48" t="s">
        <v>25</v>
      </c>
      <c r="E21" s="55">
        <f t="shared" si="5"/>
        <v>81212</v>
      </c>
      <c r="F21" s="56">
        <f t="shared" si="5"/>
        <v>100849</v>
      </c>
      <c r="G21" s="56">
        <f t="shared" si="5"/>
        <v>100849</v>
      </c>
      <c r="H21" s="7">
        <f t="shared" si="0"/>
        <v>100</v>
      </c>
      <c r="I21" s="63">
        <f t="shared" si="5"/>
        <v>74430</v>
      </c>
      <c r="J21" s="72">
        <v>7000</v>
      </c>
      <c r="K21" s="56">
        <v>700</v>
      </c>
      <c r="L21" s="56">
        <v>700</v>
      </c>
      <c r="M21" s="7">
        <f t="shared" si="2"/>
        <v>100</v>
      </c>
      <c r="N21" s="63">
        <v>540</v>
      </c>
      <c r="O21" s="55">
        <v>74212</v>
      </c>
      <c r="P21" s="56">
        <v>100149</v>
      </c>
      <c r="Q21" s="56">
        <v>100149</v>
      </c>
      <c r="R21" s="7">
        <f t="shared" si="3"/>
        <v>100</v>
      </c>
      <c r="S21" s="63">
        <v>73890</v>
      </c>
      <c r="T21" s="55"/>
      <c r="U21" s="56"/>
      <c r="V21" s="56"/>
      <c r="W21" s="7">
        <v>0</v>
      </c>
      <c r="X21" s="92"/>
    </row>
    <row r="22" spans="1:24" s="3" customFormat="1" ht="9.75" x14ac:dyDescent="0.2">
      <c r="A22" s="27" t="s">
        <v>19</v>
      </c>
      <c r="B22" s="997" t="s">
        <v>65</v>
      </c>
      <c r="C22" s="998"/>
      <c r="D22" s="48" t="s">
        <v>25</v>
      </c>
      <c r="E22" s="55">
        <f t="shared" si="5"/>
        <v>0</v>
      </c>
      <c r="F22" s="56">
        <f t="shared" si="5"/>
        <v>0</v>
      </c>
      <c r="G22" s="56">
        <f t="shared" si="5"/>
        <v>0</v>
      </c>
      <c r="H22" s="7">
        <v>0</v>
      </c>
      <c r="I22" s="63">
        <f t="shared" si="5"/>
        <v>0</v>
      </c>
      <c r="J22" s="72"/>
      <c r="K22" s="56"/>
      <c r="L22" s="56"/>
      <c r="M22" s="7">
        <v>0</v>
      </c>
      <c r="N22" s="63">
        <v>0</v>
      </c>
      <c r="O22" s="55"/>
      <c r="P22" s="56"/>
      <c r="Q22" s="56"/>
      <c r="R22" s="7">
        <v>0</v>
      </c>
      <c r="S22" s="63">
        <v>0</v>
      </c>
      <c r="T22" s="55"/>
      <c r="U22" s="56"/>
      <c r="V22" s="56"/>
      <c r="W22" s="7">
        <v>0</v>
      </c>
      <c r="X22" s="92"/>
    </row>
    <row r="23" spans="1:24" s="3" customFormat="1" ht="9.75" x14ac:dyDescent="0.2">
      <c r="A23" s="27" t="s">
        <v>20</v>
      </c>
      <c r="B23" s="418" t="s">
        <v>66</v>
      </c>
      <c r="C23" s="419"/>
      <c r="D23" s="48" t="s">
        <v>25</v>
      </c>
      <c r="E23" s="55">
        <f t="shared" si="5"/>
        <v>0</v>
      </c>
      <c r="F23" s="56">
        <f t="shared" si="5"/>
        <v>0</v>
      </c>
      <c r="G23" s="56">
        <f t="shared" si="5"/>
        <v>0</v>
      </c>
      <c r="H23" s="7">
        <v>0</v>
      </c>
      <c r="I23" s="63">
        <f t="shared" si="5"/>
        <v>0</v>
      </c>
      <c r="J23" s="72"/>
      <c r="K23" s="56"/>
      <c r="L23" s="56"/>
      <c r="M23" s="7">
        <v>0</v>
      </c>
      <c r="N23" s="63">
        <v>0</v>
      </c>
      <c r="O23" s="55"/>
      <c r="P23" s="56"/>
      <c r="Q23" s="56"/>
      <c r="R23" s="7">
        <v>0</v>
      </c>
      <c r="S23" s="63">
        <v>0</v>
      </c>
      <c r="T23" s="55"/>
      <c r="U23" s="56"/>
      <c r="V23" s="56"/>
      <c r="W23" s="7">
        <v>0</v>
      </c>
      <c r="X23" s="92"/>
    </row>
    <row r="24" spans="1:24" s="3" customFormat="1" ht="9.75" x14ac:dyDescent="0.2">
      <c r="A24" s="27" t="s">
        <v>21</v>
      </c>
      <c r="B24" s="418" t="s">
        <v>73</v>
      </c>
      <c r="C24" s="419"/>
      <c r="D24" s="48" t="s">
        <v>25</v>
      </c>
      <c r="E24" s="55">
        <f t="shared" si="5"/>
        <v>0</v>
      </c>
      <c r="F24" s="56">
        <f t="shared" si="5"/>
        <v>0</v>
      </c>
      <c r="G24" s="56">
        <f t="shared" si="5"/>
        <v>0</v>
      </c>
      <c r="H24" s="7">
        <v>0</v>
      </c>
      <c r="I24" s="63">
        <f t="shared" si="5"/>
        <v>0</v>
      </c>
      <c r="J24" s="72"/>
      <c r="K24" s="56"/>
      <c r="L24" s="56"/>
      <c r="M24" s="7">
        <v>0</v>
      </c>
      <c r="N24" s="63">
        <v>0</v>
      </c>
      <c r="O24" s="55"/>
      <c r="P24" s="56"/>
      <c r="Q24" s="56"/>
      <c r="R24" s="7">
        <v>0</v>
      </c>
      <c r="S24" s="63">
        <v>0</v>
      </c>
      <c r="T24" s="55"/>
      <c r="U24" s="56"/>
      <c r="V24" s="56"/>
      <c r="W24" s="7">
        <v>0</v>
      </c>
      <c r="X24" s="92"/>
    </row>
    <row r="25" spans="1:24" s="3" customFormat="1" ht="9.75" x14ac:dyDescent="0.2">
      <c r="A25" s="28" t="s">
        <v>22</v>
      </c>
      <c r="B25" s="29" t="s">
        <v>68</v>
      </c>
      <c r="C25" s="30"/>
      <c r="D25" s="48" t="s">
        <v>25</v>
      </c>
      <c r="E25" s="55">
        <f t="shared" si="5"/>
        <v>0</v>
      </c>
      <c r="F25" s="56">
        <f t="shared" si="5"/>
        <v>0</v>
      </c>
      <c r="G25" s="56">
        <f t="shared" si="5"/>
        <v>0</v>
      </c>
      <c r="H25" s="7">
        <v>0</v>
      </c>
      <c r="I25" s="63">
        <f t="shared" si="5"/>
        <v>0</v>
      </c>
      <c r="J25" s="72"/>
      <c r="K25" s="74"/>
      <c r="L25" s="74"/>
      <c r="M25" s="7">
        <v>0</v>
      </c>
      <c r="N25" s="80">
        <v>0</v>
      </c>
      <c r="O25" s="81"/>
      <c r="P25" s="74"/>
      <c r="Q25" s="74"/>
      <c r="R25" s="7">
        <v>0</v>
      </c>
      <c r="S25" s="86">
        <v>0</v>
      </c>
      <c r="T25" s="81"/>
      <c r="U25" s="74"/>
      <c r="V25" s="74"/>
      <c r="W25" s="7">
        <v>0</v>
      </c>
      <c r="X25" s="96"/>
    </row>
    <row r="26" spans="1:24" s="10" customFormat="1" ht="9.75" x14ac:dyDescent="0.2">
      <c r="A26" s="27" t="s">
        <v>23</v>
      </c>
      <c r="B26" s="997" t="s">
        <v>69</v>
      </c>
      <c r="C26" s="998"/>
      <c r="D26" s="48" t="s">
        <v>25</v>
      </c>
      <c r="E26" s="55">
        <f t="shared" si="5"/>
        <v>161208</v>
      </c>
      <c r="F26" s="56">
        <f t="shared" si="5"/>
        <v>169080</v>
      </c>
      <c r="G26" s="56">
        <f t="shared" si="5"/>
        <v>169080</v>
      </c>
      <c r="H26" s="7">
        <f t="shared" si="0"/>
        <v>100</v>
      </c>
      <c r="I26" s="63">
        <f t="shared" si="5"/>
        <v>161208</v>
      </c>
      <c r="J26" s="72">
        <v>161208</v>
      </c>
      <c r="K26" s="75">
        <v>169080</v>
      </c>
      <c r="L26" s="75">
        <v>169080</v>
      </c>
      <c r="M26" s="7">
        <f t="shared" si="2"/>
        <v>100</v>
      </c>
      <c r="N26" s="63">
        <v>161208</v>
      </c>
      <c r="O26" s="82"/>
      <c r="P26" s="75"/>
      <c r="Q26" s="75"/>
      <c r="R26" s="7">
        <v>0</v>
      </c>
      <c r="S26" s="80">
        <v>0</v>
      </c>
      <c r="T26" s="87"/>
      <c r="U26" s="88"/>
      <c r="V26" s="88"/>
      <c r="W26" s="7">
        <v>0</v>
      </c>
      <c r="X26" s="97"/>
    </row>
    <row r="27" spans="1:24" s="12" customFormat="1" ht="9.75" x14ac:dyDescent="0.2">
      <c r="A27" s="27" t="s">
        <v>45</v>
      </c>
      <c r="B27" s="418" t="s">
        <v>70</v>
      </c>
      <c r="C27" s="419"/>
      <c r="D27" s="48" t="s">
        <v>25</v>
      </c>
      <c r="E27" s="55">
        <f t="shared" si="5"/>
        <v>0</v>
      </c>
      <c r="F27" s="56">
        <f t="shared" si="5"/>
        <v>0</v>
      </c>
      <c r="G27" s="56">
        <f t="shared" si="5"/>
        <v>0</v>
      </c>
      <c r="H27" s="7">
        <v>0</v>
      </c>
      <c r="I27" s="63">
        <f t="shared" si="5"/>
        <v>0</v>
      </c>
      <c r="J27" s="72"/>
      <c r="K27" s="75"/>
      <c r="L27" s="75"/>
      <c r="M27" s="7">
        <v>0</v>
      </c>
      <c r="N27" s="80">
        <v>0</v>
      </c>
      <c r="O27" s="82"/>
      <c r="P27" s="75"/>
      <c r="Q27" s="75"/>
      <c r="R27" s="7">
        <v>0</v>
      </c>
      <c r="S27" s="80">
        <v>0</v>
      </c>
      <c r="T27" s="87"/>
      <c r="U27" s="88"/>
      <c r="V27" s="88"/>
      <c r="W27" s="7">
        <v>0</v>
      </c>
      <c r="X27" s="97"/>
    </row>
    <row r="28" spans="1:24" s="12" customFormat="1" ht="9.75" x14ac:dyDescent="0.2">
      <c r="A28" s="27" t="s">
        <v>51</v>
      </c>
      <c r="B28" s="418" t="s">
        <v>74</v>
      </c>
      <c r="C28" s="419"/>
      <c r="D28" s="48" t="s">
        <v>25</v>
      </c>
      <c r="E28" s="55">
        <f t="shared" si="5"/>
        <v>100000</v>
      </c>
      <c r="F28" s="56">
        <f t="shared" si="5"/>
        <v>105308</v>
      </c>
      <c r="G28" s="56">
        <f t="shared" si="5"/>
        <v>105305.5</v>
      </c>
      <c r="H28" s="7">
        <f t="shared" si="0"/>
        <v>99.99762601131917</v>
      </c>
      <c r="I28" s="63">
        <f>SUM(N28,S28)</f>
        <v>351900</v>
      </c>
      <c r="J28" s="72">
        <v>100000</v>
      </c>
      <c r="K28" s="75">
        <v>105308</v>
      </c>
      <c r="L28" s="75">
        <v>105305.5</v>
      </c>
      <c r="M28" s="7">
        <f t="shared" si="2"/>
        <v>99.99762601131917</v>
      </c>
      <c r="N28" s="80">
        <v>348020</v>
      </c>
      <c r="O28" s="82">
        <v>0</v>
      </c>
      <c r="P28" s="75">
        <v>0</v>
      </c>
      <c r="Q28" s="75">
        <v>0</v>
      </c>
      <c r="R28" s="7">
        <v>0</v>
      </c>
      <c r="S28" s="80">
        <v>3880</v>
      </c>
      <c r="T28" s="87"/>
      <c r="U28" s="88"/>
      <c r="V28" s="88"/>
      <c r="W28" s="7">
        <v>0</v>
      </c>
      <c r="X28" s="97"/>
    </row>
    <row r="29" spans="1:24" s="10" customFormat="1" ht="9.75" x14ac:dyDescent="0.2">
      <c r="A29" s="27" t="s">
        <v>52</v>
      </c>
      <c r="B29" s="997" t="s">
        <v>67</v>
      </c>
      <c r="C29" s="998"/>
      <c r="D29" s="48" t="s">
        <v>25</v>
      </c>
      <c r="E29" s="55">
        <f t="shared" ref="E29:G32" si="6">SUM(J29,O29)</f>
        <v>1000</v>
      </c>
      <c r="F29" s="56">
        <f t="shared" si="6"/>
        <v>665</v>
      </c>
      <c r="G29" s="56">
        <f t="shared" si="6"/>
        <v>665</v>
      </c>
      <c r="H29" s="7">
        <f t="shared" si="0"/>
        <v>100</v>
      </c>
      <c r="I29" s="63">
        <f>SUM(N29,S29)</f>
        <v>2843</v>
      </c>
      <c r="J29" s="72">
        <v>1000</v>
      </c>
      <c r="K29" s="75">
        <v>665</v>
      </c>
      <c r="L29" s="75">
        <v>665</v>
      </c>
      <c r="M29" s="7">
        <f t="shared" si="2"/>
        <v>100</v>
      </c>
      <c r="N29" s="80">
        <v>2843</v>
      </c>
      <c r="O29" s="82"/>
      <c r="P29" s="75"/>
      <c r="Q29" s="75"/>
      <c r="R29" s="7">
        <v>0</v>
      </c>
      <c r="S29" s="80">
        <v>0</v>
      </c>
      <c r="T29" s="87"/>
      <c r="U29" s="88"/>
      <c r="V29" s="88"/>
      <c r="W29" s="7">
        <v>0</v>
      </c>
      <c r="X29" s="97"/>
    </row>
    <row r="30" spans="1:24" s="3" customFormat="1" ht="9.75" x14ac:dyDescent="0.2">
      <c r="A30" s="27" t="s">
        <v>54</v>
      </c>
      <c r="B30" s="418" t="s">
        <v>53</v>
      </c>
      <c r="C30" s="419"/>
      <c r="D30" s="48" t="s">
        <v>25</v>
      </c>
      <c r="E30" s="55">
        <f t="shared" si="6"/>
        <v>0</v>
      </c>
      <c r="F30" s="56">
        <f t="shared" si="6"/>
        <v>0</v>
      </c>
      <c r="G30" s="56">
        <f t="shared" si="6"/>
        <v>0</v>
      </c>
      <c r="H30" s="7">
        <v>0</v>
      </c>
      <c r="I30" s="63">
        <f>SUM(N30,S30)</f>
        <v>0</v>
      </c>
      <c r="J30" s="72"/>
      <c r="K30" s="75"/>
      <c r="L30" s="75"/>
      <c r="M30" s="7">
        <v>0</v>
      </c>
      <c r="N30" s="80">
        <v>0</v>
      </c>
      <c r="O30" s="82"/>
      <c r="P30" s="75"/>
      <c r="Q30" s="75"/>
      <c r="R30" s="7">
        <v>0</v>
      </c>
      <c r="S30" s="80">
        <v>0</v>
      </c>
      <c r="T30" s="87"/>
      <c r="U30" s="88"/>
      <c r="V30" s="88"/>
      <c r="W30" s="7">
        <v>0</v>
      </c>
      <c r="X30" s="97"/>
    </row>
    <row r="31" spans="1:24" s="31" customFormat="1" ht="9.75" x14ac:dyDescent="0.2">
      <c r="A31" s="27" t="s">
        <v>55</v>
      </c>
      <c r="B31" s="102" t="s">
        <v>71</v>
      </c>
      <c r="C31" s="103"/>
      <c r="D31" s="48" t="s">
        <v>25</v>
      </c>
      <c r="E31" s="55">
        <f t="shared" si="6"/>
        <v>0</v>
      </c>
      <c r="F31" s="56">
        <f t="shared" si="6"/>
        <v>0</v>
      </c>
      <c r="G31" s="56">
        <f t="shared" si="6"/>
        <v>0</v>
      </c>
      <c r="H31" s="7">
        <v>0</v>
      </c>
      <c r="I31" s="63">
        <f>SUM(N31,S31)</f>
        <v>0</v>
      </c>
      <c r="J31" s="72"/>
      <c r="K31" s="104"/>
      <c r="L31" s="104"/>
      <c r="M31" s="7">
        <v>0</v>
      </c>
      <c r="N31" s="105">
        <v>0</v>
      </c>
      <c r="O31" s="106"/>
      <c r="P31" s="104"/>
      <c r="Q31" s="104"/>
      <c r="R31" s="7">
        <v>0</v>
      </c>
      <c r="S31" s="105">
        <v>0</v>
      </c>
      <c r="T31" s="107"/>
      <c r="U31" s="108"/>
      <c r="V31" s="108"/>
      <c r="W31" s="7">
        <v>0</v>
      </c>
      <c r="X31" s="109"/>
    </row>
    <row r="32" spans="1:24" s="31" customFormat="1" ht="9.75" x14ac:dyDescent="0.2">
      <c r="A32" s="110" t="s">
        <v>56</v>
      </c>
      <c r="B32" s="111" t="s">
        <v>72</v>
      </c>
      <c r="C32" s="112"/>
      <c r="D32" s="49" t="s">
        <v>25</v>
      </c>
      <c r="E32" s="57">
        <f>SUM(J32,O32)</f>
        <v>0</v>
      </c>
      <c r="F32" s="58">
        <f>SUM(K32,P32)</f>
        <v>0</v>
      </c>
      <c r="G32" s="56">
        <f t="shared" si="6"/>
        <v>0</v>
      </c>
      <c r="H32" s="24">
        <v>0</v>
      </c>
      <c r="I32" s="65">
        <f>SUM(N32,S32)</f>
        <v>0</v>
      </c>
      <c r="J32" s="113"/>
      <c r="K32" s="90"/>
      <c r="L32" s="90"/>
      <c r="M32" s="24">
        <v>0</v>
      </c>
      <c r="N32" s="114">
        <v>0</v>
      </c>
      <c r="O32" s="89"/>
      <c r="P32" s="90"/>
      <c r="Q32" s="90"/>
      <c r="R32" s="24">
        <v>0</v>
      </c>
      <c r="S32" s="114">
        <v>0</v>
      </c>
      <c r="T32" s="89"/>
      <c r="U32" s="90"/>
      <c r="V32" s="90"/>
      <c r="W32" s="24">
        <v>0</v>
      </c>
      <c r="X32" s="98"/>
    </row>
    <row r="33" spans="1:24" s="31" customFormat="1" ht="9.75" x14ac:dyDescent="0.2">
      <c r="A33" s="16" t="s">
        <v>57</v>
      </c>
      <c r="B33" s="34" t="s">
        <v>58</v>
      </c>
      <c r="C33" s="35"/>
      <c r="D33" s="17" t="s">
        <v>25</v>
      </c>
      <c r="E33" s="52">
        <f>E6-E11</f>
        <v>0</v>
      </c>
      <c r="F33" s="52">
        <f t="shared" ref="F33:G33" si="7">F6-F11</f>
        <v>0</v>
      </c>
      <c r="G33" s="52">
        <f t="shared" si="7"/>
        <v>12936.609999999404</v>
      </c>
      <c r="H33" s="32">
        <v>0</v>
      </c>
      <c r="I33" s="52">
        <f t="shared" ref="I33:L33" si="8">I6-I11</f>
        <v>19412</v>
      </c>
      <c r="J33" s="52">
        <f t="shared" si="8"/>
        <v>0</v>
      </c>
      <c r="K33" s="52">
        <f t="shared" si="8"/>
        <v>0</v>
      </c>
      <c r="L33" s="52">
        <f t="shared" si="8"/>
        <v>12936.60999999987</v>
      </c>
      <c r="M33" s="32">
        <v>0</v>
      </c>
      <c r="N33" s="52">
        <f t="shared" ref="N33:Q33" si="9">N6-N11</f>
        <v>19412</v>
      </c>
      <c r="O33" s="52">
        <f t="shared" si="9"/>
        <v>0</v>
      </c>
      <c r="P33" s="52">
        <f t="shared" si="9"/>
        <v>0</v>
      </c>
      <c r="Q33" s="52">
        <f t="shared" si="9"/>
        <v>0</v>
      </c>
      <c r="R33" s="33">
        <v>0</v>
      </c>
      <c r="S33" s="52">
        <f t="shared" ref="S33:V33" si="10">S6-S11</f>
        <v>0</v>
      </c>
      <c r="T33" s="52">
        <f t="shared" si="10"/>
        <v>0</v>
      </c>
      <c r="U33" s="52">
        <f t="shared" si="10"/>
        <v>0</v>
      </c>
      <c r="V33" s="52">
        <f t="shared" si="10"/>
        <v>0</v>
      </c>
      <c r="W33" s="33">
        <v>0</v>
      </c>
      <c r="X33" s="52">
        <f>X6-X11</f>
        <v>0</v>
      </c>
    </row>
    <row r="34" spans="1:24" s="37" customFormat="1" ht="9.75" x14ac:dyDescent="0.2">
      <c r="A34" s="36" t="s">
        <v>59</v>
      </c>
      <c r="B34" s="999" t="s">
        <v>24</v>
      </c>
      <c r="C34" s="1000"/>
      <c r="D34" s="99" t="s">
        <v>25</v>
      </c>
      <c r="E34" s="40">
        <v>20817</v>
      </c>
      <c r="F34" s="41">
        <v>23104</v>
      </c>
      <c r="G34" s="41">
        <v>23104</v>
      </c>
      <c r="H34" s="9">
        <v>0</v>
      </c>
      <c r="I34" s="44">
        <v>20833</v>
      </c>
      <c r="J34" s="444"/>
      <c r="K34" s="444"/>
      <c r="L34" s="444"/>
      <c r="M34" s="178">
        <v>0</v>
      </c>
      <c r="N34" s="40"/>
      <c r="O34" s="40">
        <v>20817</v>
      </c>
      <c r="P34" s="41">
        <v>23104</v>
      </c>
      <c r="Q34" s="41">
        <v>23104</v>
      </c>
      <c r="R34" s="9">
        <v>0</v>
      </c>
      <c r="S34" s="44">
        <v>20833</v>
      </c>
      <c r="T34" s="444"/>
      <c r="U34" s="444"/>
      <c r="V34" s="444"/>
      <c r="W34" s="178">
        <v>0</v>
      </c>
      <c r="X34" s="444"/>
    </row>
    <row r="35" spans="1:24" s="37" customFormat="1" ht="9.75" x14ac:dyDescent="0.2">
      <c r="A35" s="38" t="s">
        <v>60</v>
      </c>
      <c r="B35" s="1001" t="s">
        <v>33</v>
      </c>
      <c r="C35" s="1002"/>
      <c r="D35" s="100" t="s">
        <v>26</v>
      </c>
      <c r="E35" s="115">
        <v>16.28</v>
      </c>
      <c r="F35" s="116">
        <v>15.509</v>
      </c>
      <c r="G35" s="116">
        <v>15.509</v>
      </c>
      <c r="H35" s="11">
        <v>0</v>
      </c>
      <c r="I35" s="45">
        <v>16.13</v>
      </c>
      <c r="J35" s="444"/>
      <c r="K35" s="444"/>
      <c r="L35" s="444"/>
      <c r="M35" s="178">
        <v>0</v>
      </c>
      <c r="N35" s="444"/>
      <c r="O35" s="115">
        <v>16.28</v>
      </c>
      <c r="P35" s="116">
        <v>15.509</v>
      </c>
      <c r="Q35" s="116">
        <v>15.509</v>
      </c>
      <c r="R35" s="11">
        <v>0</v>
      </c>
      <c r="S35" s="45">
        <v>16.13</v>
      </c>
      <c r="T35" s="444"/>
      <c r="U35" s="444"/>
      <c r="V35" s="444"/>
      <c r="W35" s="178">
        <v>0</v>
      </c>
      <c r="X35" s="444"/>
    </row>
    <row r="36" spans="1:24" s="37" customFormat="1" ht="9.75" x14ac:dyDescent="0.2">
      <c r="A36" s="39" t="s">
        <v>61</v>
      </c>
      <c r="B36" s="1003" t="s">
        <v>27</v>
      </c>
      <c r="C36" s="1004"/>
      <c r="D36" s="101" t="s">
        <v>26</v>
      </c>
      <c r="E36" s="42">
        <v>22</v>
      </c>
      <c r="F36" s="43">
        <v>22</v>
      </c>
      <c r="G36" s="43">
        <v>22</v>
      </c>
      <c r="H36" s="13">
        <v>0</v>
      </c>
      <c r="I36" s="46">
        <v>21</v>
      </c>
      <c r="J36" s="444"/>
      <c r="K36" s="444"/>
      <c r="L36" s="444"/>
      <c r="M36" s="178">
        <v>0</v>
      </c>
      <c r="N36" s="444"/>
      <c r="O36" s="42">
        <v>22</v>
      </c>
      <c r="P36" s="43">
        <v>22</v>
      </c>
      <c r="Q36" s="43">
        <v>22</v>
      </c>
      <c r="R36" s="13">
        <v>0</v>
      </c>
      <c r="S36" s="46">
        <v>21</v>
      </c>
      <c r="T36" s="444"/>
      <c r="U36" s="444"/>
      <c r="V36" s="444"/>
      <c r="W36" s="178">
        <v>0</v>
      </c>
      <c r="X36" s="444"/>
    </row>
  </sheetData>
  <mergeCells count="39">
    <mergeCell ref="A1:X1"/>
    <mergeCell ref="A3:A5"/>
    <mergeCell ref="B3:C5"/>
    <mergeCell ref="D3:D5"/>
    <mergeCell ref="E3:I3"/>
    <mergeCell ref="J3:N3"/>
    <mergeCell ref="O3:S3"/>
    <mergeCell ref="T3:X3"/>
    <mergeCell ref="E4:E5"/>
    <mergeCell ref="F4:H4"/>
    <mergeCell ref="S4:S5"/>
    <mergeCell ref="T4:T5"/>
    <mergeCell ref="U4:W4"/>
    <mergeCell ref="X4:X5"/>
    <mergeCell ref="O4:O5"/>
    <mergeCell ref="P4:R4"/>
    <mergeCell ref="B7:C7"/>
    <mergeCell ref="I4:I5"/>
    <mergeCell ref="J4:J5"/>
    <mergeCell ref="K4:M4"/>
    <mergeCell ref="N4:N5"/>
    <mergeCell ref="B6:C6"/>
    <mergeCell ref="B22:C22"/>
    <mergeCell ref="B8:C8"/>
    <mergeCell ref="B10:C10"/>
    <mergeCell ref="B11:C11"/>
    <mergeCell ref="B12:C12"/>
    <mergeCell ref="B13:C13"/>
    <mergeCell ref="B15:C15"/>
    <mergeCell ref="B16:C16"/>
    <mergeCell ref="B18:C18"/>
    <mergeCell ref="B19:C19"/>
    <mergeCell ref="B20:C20"/>
    <mergeCell ref="B21:C21"/>
    <mergeCell ref="B26:C26"/>
    <mergeCell ref="B29:C29"/>
    <mergeCell ref="B34:C34"/>
    <mergeCell ref="B35:C35"/>
    <mergeCell ref="B36:C36"/>
  </mergeCells>
  <pageMargins left="0.70866141732283472" right="0.70866141732283472" top="0.78740157480314965" bottom="0.78740157480314965" header="0.31496062992125984" footer="0.31496062992125984"/>
  <pageSetup paperSize="9" scale="91" firstPageNumber="87" orientation="landscape" useFirstPageNumber="1"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4"/>
  <sheetViews>
    <sheetView topLeftCell="A46" workbookViewId="0">
      <selection activeCell="A107" sqref="A107:XFD107"/>
    </sheetView>
  </sheetViews>
  <sheetFormatPr defaultColWidth="16" defaultRowHeight="12.75" x14ac:dyDescent="0.2"/>
  <cols>
    <col min="1" max="1" width="58" style="240" customWidth="1"/>
    <col min="2" max="2" width="33.5" style="240" customWidth="1"/>
    <col min="3" max="5" width="25.75" style="240" customWidth="1"/>
    <col min="6" max="6" width="22.75" style="240" customWidth="1"/>
    <col min="7" max="16384" width="16" style="240"/>
  </cols>
  <sheetData>
    <row r="1" spans="1:9" s="425" customFormat="1" ht="18.75" x14ac:dyDescent="0.3">
      <c r="A1" s="425" t="s">
        <v>92</v>
      </c>
      <c r="B1" s="1119" t="s">
        <v>403</v>
      </c>
      <c r="C1" s="1119"/>
      <c r="D1" s="1119"/>
      <c r="E1" s="1119"/>
      <c r="F1" s="1119"/>
      <c r="G1" s="1119"/>
      <c r="H1" s="1119"/>
      <c r="I1" s="1119"/>
    </row>
    <row r="3" spans="1:9" s="180" customFormat="1" ht="10.5" x14ac:dyDescent="0.15">
      <c r="A3" s="1039" t="s">
        <v>354</v>
      </c>
      <c r="B3" s="1039"/>
      <c r="C3" s="1039"/>
      <c r="D3" s="1039"/>
      <c r="E3" s="1039"/>
      <c r="F3" s="1039"/>
      <c r="G3" s="1039"/>
      <c r="H3" s="1039"/>
      <c r="I3" s="1039"/>
    </row>
    <row r="4" spans="1:9" s="181" customFormat="1" ht="11.25" x14ac:dyDescent="0.2"/>
    <row r="5" spans="1:9" s="182" customFormat="1" ht="9.75" x14ac:dyDescent="0.2">
      <c r="A5" s="1040" t="s">
        <v>93</v>
      </c>
      <c r="B5" s="1041"/>
      <c r="C5" s="420" t="s">
        <v>25</v>
      </c>
      <c r="D5" s="1042" t="s">
        <v>355</v>
      </c>
      <c r="E5" s="1042"/>
      <c r="F5" s="1042"/>
      <c r="G5" s="1042"/>
      <c r="H5" s="1042"/>
      <c r="I5" s="1042"/>
    </row>
    <row r="6" spans="1:9" s="181" customFormat="1" ht="15" customHeight="1" x14ac:dyDescent="0.2">
      <c r="A6" s="1043" t="s">
        <v>356</v>
      </c>
      <c r="B6" s="1043"/>
      <c r="C6" s="183">
        <f>SUM(C7:C9)</f>
        <v>12936.61</v>
      </c>
      <c r="D6" s="1044"/>
      <c r="E6" s="1045"/>
      <c r="F6" s="1045"/>
      <c r="G6" s="1045"/>
      <c r="H6" s="1045"/>
      <c r="I6" s="1045"/>
    </row>
    <row r="7" spans="1:9" s="181" customFormat="1" ht="27" customHeight="1" x14ac:dyDescent="0.2">
      <c r="A7" s="1046" t="s">
        <v>94</v>
      </c>
      <c r="B7" s="1047"/>
      <c r="C7" s="184">
        <v>12936.61</v>
      </c>
      <c r="D7" s="1122" t="s">
        <v>404</v>
      </c>
      <c r="E7" s="1123"/>
      <c r="F7" s="1123"/>
      <c r="G7" s="1123"/>
      <c r="H7" s="1123"/>
      <c r="I7" s="1124"/>
    </row>
    <row r="8" spans="1:9" s="180" customFormat="1" ht="19.5" customHeight="1" x14ac:dyDescent="0.15">
      <c r="A8" s="1049" t="s">
        <v>95</v>
      </c>
      <c r="B8" s="1050"/>
      <c r="C8" s="185">
        <v>0</v>
      </c>
      <c r="D8" s="1122" t="s">
        <v>405</v>
      </c>
      <c r="E8" s="1125"/>
      <c r="F8" s="1125"/>
      <c r="G8" s="1125"/>
      <c r="H8" s="1125"/>
      <c r="I8" s="1126"/>
    </row>
    <row r="9" spans="1:9" s="180" customFormat="1" ht="15" customHeight="1" x14ac:dyDescent="0.15">
      <c r="A9" s="1049" t="s">
        <v>96</v>
      </c>
      <c r="B9" s="1050"/>
      <c r="C9" s="185"/>
      <c r="D9" s="1051"/>
      <c r="E9" s="1052"/>
      <c r="F9" s="1052"/>
      <c r="G9" s="1052"/>
      <c r="H9" s="1052"/>
      <c r="I9" s="1053"/>
    </row>
    <row r="10" spans="1:9" s="181" customFormat="1" ht="11.25" x14ac:dyDescent="0.2">
      <c r="C10" s="186"/>
    </row>
    <row r="11" spans="1:9" s="181" customFormat="1" ht="11.25" x14ac:dyDescent="0.2">
      <c r="A11" s="1039" t="s">
        <v>359</v>
      </c>
      <c r="B11" s="1039"/>
      <c r="C11" s="1039"/>
      <c r="D11" s="1039"/>
      <c r="E11" s="1039"/>
      <c r="F11" s="1039"/>
      <c r="G11" s="1039"/>
      <c r="H11" s="1039"/>
      <c r="I11" s="1039"/>
    </row>
    <row r="12" spans="1:9" s="181" customFormat="1" ht="11.25" x14ac:dyDescent="0.2">
      <c r="C12" s="186"/>
      <c r="D12" s="187"/>
      <c r="E12" s="187"/>
      <c r="F12" s="187"/>
      <c r="G12" s="187"/>
      <c r="H12" s="187"/>
      <c r="I12" s="187"/>
    </row>
    <row r="13" spans="1:9" s="190" customFormat="1" ht="9.75" x14ac:dyDescent="0.2">
      <c r="A13" s="420" t="s">
        <v>93</v>
      </c>
      <c r="B13" s="420" t="s">
        <v>97</v>
      </c>
      <c r="C13" s="420" t="s">
        <v>25</v>
      </c>
      <c r="D13" s="188"/>
      <c r="E13" s="189"/>
      <c r="F13" s="189"/>
      <c r="G13" s="189"/>
      <c r="H13" s="189"/>
      <c r="I13" s="189"/>
    </row>
    <row r="14" spans="1:9" s="181" customFormat="1" ht="15" customHeight="1" x14ac:dyDescent="0.2">
      <c r="A14" s="191" t="s">
        <v>98</v>
      </c>
      <c r="B14" s="192"/>
      <c r="C14" s="193">
        <v>0</v>
      </c>
      <c r="D14" s="194"/>
      <c r="E14" s="195"/>
      <c r="F14" s="195"/>
      <c r="G14" s="195"/>
      <c r="H14" s="195"/>
      <c r="I14" s="195"/>
    </row>
    <row r="15" spans="1:9" s="181" customFormat="1" ht="15" customHeight="1" x14ac:dyDescent="0.2">
      <c r="A15" s="1037" t="s">
        <v>99</v>
      </c>
      <c r="B15" s="196" t="s">
        <v>100</v>
      </c>
      <c r="C15" s="197">
        <v>12936.61</v>
      </c>
      <c r="D15" s="198"/>
      <c r="E15" s="199"/>
      <c r="F15" s="199"/>
      <c r="G15" s="199"/>
      <c r="H15" s="199"/>
      <c r="I15" s="199"/>
    </row>
    <row r="16" spans="1:9" s="181" customFormat="1" ht="15" customHeight="1" x14ac:dyDescent="0.2">
      <c r="A16" s="1038"/>
      <c r="B16" s="200" t="s">
        <v>100</v>
      </c>
      <c r="C16" s="201">
        <v>0</v>
      </c>
      <c r="D16" s="198"/>
      <c r="E16" s="199"/>
      <c r="F16" s="199"/>
      <c r="G16" s="199"/>
      <c r="H16" s="199"/>
      <c r="I16" s="199"/>
    </row>
    <row r="17" spans="1:9" s="181" customFormat="1" ht="15" customHeight="1" x14ac:dyDescent="0.2">
      <c r="A17" s="1038"/>
      <c r="B17" s="200" t="s">
        <v>101</v>
      </c>
      <c r="C17" s="202">
        <v>0</v>
      </c>
      <c r="D17" s="203"/>
      <c r="E17" s="204"/>
      <c r="F17" s="204"/>
      <c r="G17" s="204"/>
      <c r="H17" s="204"/>
      <c r="I17" s="204"/>
    </row>
    <row r="18" spans="1:9" s="181" customFormat="1" ht="15" customHeight="1" x14ac:dyDescent="0.2">
      <c r="A18" s="421" t="s">
        <v>356</v>
      </c>
      <c r="B18" s="205"/>
      <c r="C18" s="206">
        <f>SUM(C14:C17)</f>
        <v>12936.61</v>
      </c>
      <c r="D18" s="207"/>
      <c r="E18" s="207"/>
      <c r="F18" s="207"/>
      <c r="G18" s="207"/>
      <c r="H18" s="207"/>
      <c r="I18" s="207"/>
    </row>
    <row r="19" spans="1:9" s="209" customFormat="1" ht="11.25" x14ac:dyDescent="0.2">
      <c r="A19" s="208"/>
      <c r="C19" s="210"/>
      <c r="D19" s="211"/>
      <c r="E19" s="211"/>
      <c r="F19" s="211"/>
      <c r="G19" s="211"/>
      <c r="H19" s="211"/>
      <c r="I19" s="211"/>
    </row>
    <row r="20" spans="1:9" s="181" customFormat="1" ht="11.25" x14ac:dyDescent="0.2">
      <c r="A20" s="1039" t="s">
        <v>360</v>
      </c>
      <c r="B20" s="1039"/>
      <c r="C20" s="1039"/>
      <c r="D20" s="1039"/>
      <c r="E20" s="1039"/>
      <c r="F20" s="1039"/>
      <c r="G20" s="1039"/>
      <c r="H20" s="1039"/>
      <c r="I20" s="1039"/>
    </row>
    <row r="21" spans="1:9" s="181" customFormat="1" ht="11.25" x14ac:dyDescent="0.2">
      <c r="C21" s="186"/>
    </row>
    <row r="22" spans="1:9" s="212" customFormat="1" ht="9.75" x14ac:dyDescent="0.2">
      <c r="A22" s="420" t="s">
        <v>97</v>
      </c>
      <c r="B22" s="420" t="s">
        <v>361</v>
      </c>
      <c r="C22" s="423" t="s">
        <v>362</v>
      </c>
      <c r="D22" s="420" t="s">
        <v>363</v>
      </c>
      <c r="E22" s="420" t="s">
        <v>364</v>
      </c>
      <c r="F22" s="1042" t="s">
        <v>365</v>
      </c>
      <c r="G22" s="1042"/>
      <c r="H22" s="1042"/>
      <c r="I22" s="1042"/>
    </row>
    <row r="23" spans="1:9" s="181" customFormat="1" ht="23.25" customHeight="1" x14ac:dyDescent="0.2">
      <c r="A23" s="213" t="s">
        <v>102</v>
      </c>
      <c r="B23" s="297">
        <v>12940.4</v>
      </c>
      <c r="C23" s="214">
        <v>6412</v>
      </c>
      <c r="D23" s="214">
        <v>0</v>
      </c>
      <c r="E23" s="214">
        <f>B23+C23-D23</f>
        <v>19352.400000000001</v>
      </c>
      <c r="F23" s="1054" t="s">
        <v>406</v>
      </c>
      <c r="G23" s="1055"/>
      <c r="H23" s="1055"/>
      <c r="I23" s="1056"/>
    </row>
    <row r="24" spans="1:9" s="181" customFormat="1" ht="21.75" customHeight="1" x14ac:dyDescent="0.2">
      <c r="A24" s="196" t="s">
        <v>103</v>
      </c>
      <c r="B24" s="297">
        <v>61855</v>
      </c>
      <c r="C24" s="297">
        <v>214080</v>
      </c>
      <c r="D24" s="297">
        <v>173076</v>
      </c>
      <c r="E24" s="215">
        <f t="shared" ref="E24:E26" si="0">B24+C24-D24</f>
        <v>102859</v>
      </c>
      <c r="F24" s="1057" t="s">
        <v>407</v>
      </c>
      <c r="G24" s="1058"/>
      <c r="H24" s="1058"/>
      <c r="I24" s="1059"/>
    </row>
    <row r="25" spans="1:9" s="181" customFormat="1" ht="20.25" customHeight="1" x14ac:dyDescent="0.2">
      <c r="A25" s="196" t="s">
        <v>101</v>
      </c>
      <c r="B25" s="298">
        <v>38683.379999999997</v>
      </c>
      <c r="C25" s="298">
        <v>15000</v>
      </c>
      <c r="D25" s="298">
        <v>0</v>
      </c>
      <c r="E25" s="215">
        <f t="shared" si="0"/>
        <v>53683.38</v>
      </c>
      <c r="F25" s="1057" t="s">
        <v>408</v>
      </c>
      <c r="G25" s="1058"/>
      <c r="H25" s="1058"/>
      <c r="I25" s="1059"/>
    </row>
    <row r="26" spans="1:9" s="181" customFormat="1" ht="21" customHeight="1" x14ac:dyDescent="0.2">
      <c r="A26" s="200" t="s">
        <v>104</v>
      </c>
      <c r="B26" s="297">
        <v>64212.52</v>
      </c>
      <c r="C26" s="297">
        <v>85996</v>
      </c>
      <c r="D26" s="297">
        <v>71815</v>
      </c>
      <c r="E26" s="215">
        <f t="shared" si="0"/>
        <v>78393.51999999999</v>
      </c>
      <c r="F26" s="1060" t="s">
        <v>137</v>
      </c>
      <c r="G26" s="1061"/>
      <c r="H26" s="1061"/>
      <c r="I26" s="1062"/>
    </row>
    <row r="27" spans="1:9" s="180" customFormat="1" ht="10.5" x14ac:dyDescent="0.15">
      <c r="A27" s="217" t="s">
        <v>34</v>
      </c>
      <c r="B27" s="183">
        <f>SUM(B23:B26)</f>
        <v>177691.3</v>
      </c>
      <c r="C27" s="183">
        <f t="shared" ref="C27:E27" si="1">SUM(C23:C26)</f>
        <v>321488</v>
      </c>
      <c r="D27" s="183">
        <f t="shared" si="1"/>
        <v>244891</v>
      </c>
      <c r="E27" s="183">
        <f t="shared" si="1"/>
        <v>254288.3</v>
      </c>
      <c r="F27" s="1063"/>
      <c r="G27" s="1063"/>
      <c r="H27" s="1063"/>
      <c r="I27" s="1064"/>
    </row>
    <row r="28" spans="1:9" s="181" customFormat="1" ht="11.25" x14ac:dyDescent="0.2">
      <c r="C28" s="186"/>
    </row>
    <row r="29" spans="1:9" s="181" customFormat="1" ht="11.25" x14ac:dyDescent="0.2">
      <c r="A29" s="1039" t="s">
        <v>370</v>
      </c>
      <c r="B29" s="1039"/>
      <c r="C29" s="1039"/>
      <c r="D29" s="1039"/>
      <c r="E29" s="1039"/>
      <c r="F29" s="1039"/>
      <c r="G29" s="1039"/>
      <c r="H29" s="1039"/>
      <c r="I29" s="1039"/>
    </row>
    <row r="30" spans="1:9" s="181" customFormat="1" ht="11.25" x14ac:dyDescent="0.2">
      <c r="C30" s="186"/>
    </row>
    <row r="31" spans="1:9" s="181" customFormat="1" ht="11.25" x14ac:dyDescent="0.2">
      <c r="A31" s="420" t="s">
        <v>105</v>
      </c>
      <c r="B31" s="420" t="s">
        <v>25</v>
      </c>
      <c r="C31" s="423" t="s">
        <v>106</v>
      </c>
      <c r="D31" s="1042" t="s">
        <v>107</v>
      </c>
      <c r="E31" s="1042"/>
      <c r="F31" s="1042"/>
      <c r="G31" s="1042"/>
      <c r="H31" s="1042"/>
      <c r="I31" s="1042"/>
    </row>
    <row r="32" spans="1:9" s="181" customFormat="1" ht="15" customHeight="1" x14ac:dyDescent="0.2">
      <c r="A32" s="218" t="s">
        <v>409</v>
      </c>
      <c r="B32" s="214"/>
      <c r="C32" s="219"/>
      <c r="D32" s="1065"/>
      <c r="E32" s="1066"/>
      <c r="F32" s="1066"/>
      <c r="G32" s="1066"/>
      <c r="H32" s="1066"/>
      <c r="I32" s="1067"/>
    </row>
    <row r="33" spans="1:9" s="180" customFormat="1" ht="11.25" x14ac:dyDescent="0.2">
      <c r="A33" s="217" t="s">
        <v>34</v>
      </c>
      <c r="B33" s="183">
        <f>SUM(B32:B32)</f>
        <v>0</v>
      </c>
      <c r="C33" s="1068"/>
      <c r="D33" s="1069"/>
      <c r="E33" s="1069"/>
      <c r="F33" s="1069"/>
      <c r="G33" s="1069"/>
      <c r="H33" s="1069"/>
      <c r="I33" s="1070"/>
    </row>
    <row r="34" spans="1:9" s="181" customFormat="1" ht="11.25" x14ac:dyDescent="0.2">
      <c r="C34" s="186"/>
    </row>
    <row r="35" spans="1:9" s="181" customFormat="1" ht="11.25" x14ac:dyDescent="0.2">
      <c r="A35" s="1039" t="s">
        <v>372</v>
      </c>
      <c r="B35" s="1039"/>
      <c r="C35" s="1039"/>
      <c r="D35" s="1039"/>
      <c r="E35" s="1039"/>
      <c r="F35" s="1039"/>
      <c r="G35" s="1039"/>
      <c r="H35" s="1039"/>
      <c r="I35" s="1039"/>
    </row>
    <row r="36" spans="1:9" s="181" customFormat="1" ht="11.25" x14ac:dyDescent="0.2">
      <c r="C36" s="186"/>
    </row>
    <row r="37" spans="1:9" s="181" customFormat="1" ht="11.25" x14ac:dyDescent="0.2">
      <c r="A37" s="420" t="s">
        <v>105</v>
      </c>
      <c r="B37" s="420" t="s">
        <v>25</v>
      </c>
      <c r="C37" s="423" t="s">
        <v>106</v>
      </c>
      <c r="D37" s="1071" t="s">
        <v>107</v>
      </c>
      <c r="E37" s="1071"/>
      <c r="F37" s="1071"/>
      <c r="G37" s="1071"/>
      <c r="H37" s="1071"/>
      <c r="I37" s="1072"/>
    </row>
    <row r="38" spans="1:9" s="181" customFormat="1" ht="15" customHeight="1" x14ac:dyDescent="0.2">
      <c r="A38" s="218" t="s">
        <v>410</v>
      </c>
      <c r="B38" s="214"/>
      <c r="C38" s="219"/>
      <c r="D38" s="1057"/>
      <c r="E38" s="1073"/>
      <c r="F38" s="1073"/>
      <c r="G38" s="1073"/>
      <c r="H38" s="1073"/>
      <c r="I38" s="1074"/>
    </row>
    <row r="39" spans="1:9" s="180" customFormat="1" ht="10.5" x14ac:dyDescent="0.15">
      <c r="A39" s="217" t="s">
        <v>34</v>
      </c>
      <c r="B39" s="183">
        <f>SUM(B38:B38)</f>
        <v>0</v>
      </c>
      <c r="C39" s="1075"/>
      <c r="D39" s="1076"/>
      <c r="E39" s="1076"/>
      <c r="F39" s="1076"/>
      <c r="G39" s="1076"/>
      <c r="H39" s="1076"/>
      <c r="I39" s="1076"/>
    </row>
    <row r="40" spans="1:9" s="181" customFormat="1" ht="11.25" x14ac:dyDescent="0.2">
      <c r="C40" s="186"/>
    </row>
    <row r="41" spans="1:9" s="181" customFormat="1" ht="11.25" x14ac:dyDescent="0.2">
      <c r="A41" s="1039" t="s">
        <v>374</v>
      </c>
      <c r="B41" s="1039"/>
      <c r="C41" s="1039"/>
      <c r="D41" s="1039"/>
      <c r="E41" s="1039"/>
      <c r="F41" s="1039"/>
      <c r="G41" s="1039"/>
      <c r="H41" s="1039"/>
      <c r="I41" s="1039"/>
    </row>
    <row r="42" spans="1:9" s="181" customFormat="1" ht="11.25" x14ac:dyDescent="0.2">
      <c r="C42" s="186"/>
    </row>
    <row r="43" spans="1:9" s="181" customFormat="1" ht="11.25" x14ac:dyDescent="0.2">
      <c r="A43" s="420" t="s">
        <v>25</v>
      </c>
      <c r="B43" s="423" t="s">
        <v>375</v>
      </c>
      <c r="C43" s="1077" t="s">
        <v>108</v>
      </c>
      <c r="D43" s="1077"/>
      <c r="E43" s="1077"/>
      <c r="F43" s="1077"/>
      <c r="G43" s="1077"/>
      <c r="H43" s="1077"/>
      <c r="I43" s="1078"/>
    </row>
    <row r="44" spans="1:9" s="181" customFormat="1" ht="11.25" x14ac:dyDescent="0.2">
      <c r="A44" s="228">
        <v>2000</v>
      </c>
      <c r="B44" s="228">
        <v>0</v>
      </c>
      <c r="C44" s="1079" t="s">
        <v>411</v>
      </c>
      <c r="D44" s="1079"/>
      <c r="E44" s="1079"/>
      <c r="F44" s="1079"/>
      <c r="G44" s="1079"/>
      <c r="H44" s="1079"/>
      <c r="I44" s="1080"/>
    </row>
    <row r="45" spans="1:9" s="181" customFormat="1" ht="11.25" x14ac:dyDescent="0.2">
      <c r="A45" s="231">
        <v>0</v>
      </c>
      <c r="B45" s="231">
        <v>0</v>
      </c>
      <c r="C45" s="1127"/>
      <c r="D45" s="1127"/>
      <c r="E45" s="1127"/>
      <c r="F45" s="1127"/>
      <c r="G45" s="1127"/>
      <c r="H45" s="1127"/>
      <c r="I45" s="1128"/>
    </row>
    <row r="46" spans="1:9" s="180" customFormat="1" ht="10.5" x14ac:dyDescent="0.15">
      <c r="A46" s="183">
        <f>A44+A45</f>
        <v>2000</v>
      </c>
      <c r="B46" s="183">
        <f>B44+B45</f>
        <v>0</v>
      </c>
      <c r="C46" s="1081" t="s">
        <v>34</v>
      </c>
      <c r="D46" s="1081"/>
      <c r="E46" s="1081"/>
      <c r="F46" s="1081"/>
      <c r="G46" s="1081"/>
      <c r="H46" s="1081"/>
      <c r="I46" s="1082"/>
    </row>
    <row r="47" spans="1:9" s="181" customFormat="1" ht="11.25" x14ac:dyDescent="0.2">
      <c r="C47" s="186"/>
    </row>
    <row r="48" spans="1:9" s="181" customFormat="1" ht="11.25" x14ac:dyDescent="0.2">
      <c r="A48" s="1039" t="s">
        <v>377</v>
      </c>
      <c r="B48" s="1039"/>
      <c r="C48" s="1039"/>
      <c r="D48" s="1039"/>
      <c r="E48" s="1039"/>
      <c r="F48" s="1039"/>
      <c r="G48" s="1039"/>
      <c r="H48" s="1039"/>
      <c r="I48" s="1039"/>
    </row>
    <row r="49" spans="1:7" s="181" customFormat="1" ht="11.25" x14ac:dyDescent="0.2">
      <c r="C49" s="186"/>
    </row>
    <row r="50" spans="1:7" s="181" customFormat="1" ht="11.25" x14ac:dyDescent="0.2">
      <c r="A50" s="1120" t="s">
        <v>412</v>
      </c>
      <c r="B50" s="1120"/>
      <c r="C50" s="1120"/>
      <c r="D50" s="1120"/>
      <c r="E50" s="1120"/>
      <c r="F50" s="1120"/>
      <c r="G50" s="1120"/>
    </row>
    <row r="51" spans="1:7" s="181" customFormat="1" ht="11.25" x14ac:dyDescent="0.2">
      <c r="C51" s="186"/>
    </row>
    <row r="52" spans="1:7" s="232" customFormat="1" ht="34.5" customHeight="1" x14ac:dyDescent="0.15">
      <c r="A52" s="1121" t="s">
        <v>109</v>
      </c>
      <c r="B52" s="1121"/>
      <c r="C52" s="296" t="s">
        <v>115</v>
      </c>
      <c r="D52" s="296" t="s">
        <v>116</v>
      </c>
      <c r="E52" s="296" t="s">
        <v>117</v>
      </c>
      <c r="F52" s="296" t="s">
        <v>118</v>
      </c>
      <c r="G52" s="296" t="s">
        <v>119</v>
      </c>
    </row>
    <row r="53" spans="1:7" s="181" customFormat="1" ht="12" customHeight="1" x14ac:dyDescent="0.2">
      <c r="A53" s="1106" t="s">
        <v>413</v>
      </c>
      <c r="B53" s="1107"/>
      <c r="C53" s="599" t="s">
        <v>414</v>
      </c>
      <c r="D53" s="297">
        <v>0</v>
      </c>
      <c r="E53" s="297">
        <v>7872</v>
      </c>
      <c r="F53" s="600" t="s">
        <v>415</v>
      </c>
      <c r="G53" s="299" t="s">
        <v>415</v>
      </c>
    </row>
    <row r="54" spans="1:7" s="181" customFormat="1" ht="12" customHeight="1" x14ac:dyDescent="0.2">
      <c r="A54" s="1106" t="s">
        <v>416</v>
      </c>
      <c r="B54" s="1107"/>
      <c r="C54" s="599" t="s">
        <v>150</v>
      </c>
      <c r="D54" s="297">
        <v>0</v>
      </c>
      <c r="E54" s="297">
        <v>-7872</v>
      </c>
      <c r="F54" s="600" t="s">
        <v>415</v>
      </c>
      <c r="G54" s="299" t="s">
        <v>415</v>
      </c>
    </row>
    <row r="55" spans="1:7" s="181" customFormat="1" ht="12" x14ac:dyDescent="0.2">
      <c r="A55" s="1106" t="s">
        <v>417</v>
      </c>
      <c r="B55" s="1107"/>
      <c r="C55" s="599" t="s">
        <v>418</v>
      </c>
      <c r="D55" s="297">
        <v>-45000</v>
      </c>
      <c r="E55" s="297">
        <v>0</v>
      </c>
      <c r="F55" s="299" t="s">
        <v>419</v>
      </c>
      <c r="G55" s="299" t="s">
        <v>419</v>
      </c>
    </row>
    <row r="56" spans="1:7" s="181" customFormat="1" ht="12" customHeight="1" x14ac:dyDescent="0.2">
      <c r="A56" s="1106" t="s">
        <v>420</v>
      </c>
      <c r="B56" s="1107"/>
      <c r="C56" s="599" t="s">
        <v>421</v>
      </c>
      <c r="D56" s="297">
        <v>0</v>
      </c>
      <c r="E56" s="297">
        <v>-45000</v>
      </c>
      <c r="F56" s="299" t="s">
        <v>419</v>
      </c>
      <c r="G56" s="299" t="s">
        <v>419</v>
      </c>
    </row>
    <row r="57" spans="1:7" s="181" customFormat="1" ht="12" customHeight="1" x14ac:dyDescent="0.2">
      <c r="A57" s="1106" t="s">
        <v>422</v>
      </c>
      <c r="B57" s="1107"/>
      <c r="C57" s="599" t="s">
        <v>160</v>
      </c>
      <c r="D57" s="297">
        <v>0</v>
      </c>
      <c r="E57" s="297">
        <v>45000</v>
      </c>
      <c r="F57" s="600" t="s">
        <v>423</v>
      </c>
      <c r="G57" s="299" t="s">
        <v>423</v>
      </c>
    </row>
    <row r="58" spans="1:7" s="181" customFormat="1" ht="12" x14ac:dyDescent="0.2">
      <c r="A58" s="1106" t="s">
        <v>424</v>
      </c>
      <c r="B58" s="1107"/>
      <c r="C58" s="599" t="s">
        <v>425</v>
      </c>
      <c r="D58" s="297">
        <v>0</v>
      </c>
      <c r="E58" s="297">
        <v>-45000</v>
      </c>
      <c r="F58" s="600" t="s">
        <v>423</v>
      </c>
      <c r="G58" s="299" t="s">
        <v>423</v>
      </c>
    </row>
    <row r="59" spans="1:7" s="181" customFormat="1" ht="12" x14ac:dyDescent="0.2">
      <c r="A59" s="1106" t="s">
        <v>426</v>
      </c>
      <c r="B59" s="1107"/>
      <c r="C59" s="599" t="s">
        <v>150</v>
      </c>
      <c r="D59" s="297">
        <v>0</v>
      </c>
      <c r="E59" s="297">
        <v>100142</v>
      </c>
      <c r="F59" s="600" t="s">
        <v>427</v>
      </c>
      <c r="G59" s="299" t="s">
        <v>427</v>
      </c>
    </row>
    <row r="60" spans="1:7" s="181" customFormat="1" ht="12" customHeight="1" x14ac:dyDescent="0.2">
      <c r="A60" s="1106" t="s">
        <v>428</v>
      </c>
      <c r="B60" s="1107"/>
      <c r="C60" s="599" t="s">
        <v>429</v>
      </c>
      <c r="D60" s="297">
        <v>0</v>
      </c>
      <c r="E60" s="297">
        <v>3000</v>
      </c>
      <c r="F60" s="600" t="s">
        <v>427</v>
      </c>
      <c r="G60" s="299" t="s">
        <v>427</v>
      </c>
    </row>
    <row r="61" spans="1:7" s="181" customFormat="1" ht="12" customHeight="1" x14ac:dyDescent="0.2">
      <c r="A61" s="1106" t="s">
        <v>226</v>
      </c>
      <c r="B61" s="1107"/>
      <c r="C61" s="599" t="s">
        <v>160</v>
      </c>
      <c r="D61" s="297">
        <v>0</v>
      </c>
      <c r="E61" s="297">
        <v>7500</v>
      </c>
      <c r="F61" s="600" t="s">
        <v>427</v>
      </c>
      <c r="G61" s="299" t="s">
        <v>427</v>
      </c>
    </row>
    <row r="62" spans="1:7" s="181" customFormat="1" ht="12" customHeight="1" x14ac:dyDescent="0.2">
      <c r="A62" s="1106" t="s">
        <v>151</v>
      </c>
      <c r="B62" s="1107"/>
      <c r="C62" s="599" t="s">
        <v>152</v>
      </c>
      <c r="D62" s="297">
        <v>0</v>
      </c>
      <c r="E62" s="297">
        <v>-500</v>
      </c>
      <c r="F62" s="600" t="s">
        <v>427</v>
      </c>
      <c r="G62" s="299" t="s">
        <v>427</v>
      </c>
    </row>
    <row r="63" spans="1:7" s="181" customFormat="1" ht="12" customHeight="1" x14ac:dyDescent="0.2">
      <c r="A63" s="1106" t="s">
        <v>430</v>
      </c>
      <c r="B63" s="1107"/>
      <c r="C63" s="599" t="s">
        <v>431</v>
      </c>
      <c r="D63" s="297">
        <v>0</v>
      </c>
      <c r="E63" s="297">
        <v>-1000</v>
      </c>
      <c r="F63" s="600" t="s">
        <v>427</v>
      </c>
      <c r="G63" s="299" t="s">
        <v>427</v>
      </c>
    </row>
    <row r="64" spans="1:7" s="181" customFormat="1" ht="12" customHeight="1" x14ac:dyDescent="0.2">
      <c r="A64" s="1106" t="s">
        <v>156</v>
      </c>
      <c r="B64" s="1107"/>
      <c r="C64" s="599" t="s">
        <v>157</v>
      </c>
      <c r="D64" s="297">
        <v>0</v>
      </c>
      <c r="E64" s="297">
        <v>-6300</v>
      </c>
      <c r="F64" s="600" t="s">
        <v>427</v>
      </c>
      <c r="G64" s="299" t="s">
        <v>427</v>
      </c>
    </row>
    <row r="65" spans="1:9" s="181" customFormat="1" ht="12" customHeight="1" x14ac:dyDescent="0.2">
      <c r="A65" s="1108" t="s">
        <v>432</v>
      </c>
      <c r="B65" s="1109"/>
      <c r="C65" s="599" t="s">
        <v>433</v>
      </c>
      <c r="D65" s="297">
        <v>0</v>
      </c>
      <c r="E65" s="297">
        <v>-335</v>
      </c>
      <c r="F65" s="600" t="s">
        <v>427</v>
      </c>
      <c r="G65" s="299" t="s">
        <v>427</v>
      </c>
    </row>
    <row r="66" spans="1:9" s="181" customFormat="1" ht="12" customHeight="1" x14ac:dyDescent="0.2">
      <c r="A66" s="1108" t="s">
        <v>434</v>
      </c>
      <c r="B66" s="1109"/>
      <c r="C66" s="601" t="s">
        <v>141</v>
      </c>
      <c r="D66" s="298">
        <v>0</v>
      </c>
      <c r="E66" s="298">
        <v>5308</v>
      </c>
      <c r="F66" s="600" t="s">
        <v>427</v>
      </c>
      <c r="G66" s="299" t="s">
        <v>427</v>
      </c>
    </row>
    <row r="67" spans="1:9" s="181" customFormat="1" ht="12" customHeight="1" x14ac:dyDescent="0.2">
      <c r="A67" s="1108" t="s">
        <v>435</v>
      </c>
      <c r="B67" s="1109"/>
      <c r="C67" s="601" t="s">
        <v>149</v>
      </c>
      <c r="D67" s="298">
        <v>44715</v>
      </c>
      <c r="E67" s="298">
        <v>0</v>
      </c>
      <c r="F67" s="600" t="s">
        <v>427</v>
      </c>
      <c r="G67" s="299" t="s">
        <v>427</v>
      </c>
    </row>
    <row r="68" spans="1:9" s="181" customFormat="1" ht="12" customHeight="1" x14ac:dyDescent="0.2">
      <c r="A68" s="1106" t="s">
        <v>436</v>
      </c>
      <c r="B68" s="1107"/>
      <c r="C68" s="600" t="s">
        <v>437</v>
      </c>
      <c r="D68" s="297">
        <v>58000</v>
      </c>
      <c r="E68" s="297">
        <v>0</v>
      </c>
      <c r="F68" s="600" t="s">
        <v>427</v>
      </c>
      <c r="G68" s="299" t="s">
        <v>427</v>
      </c>
    </row>
    <row r="69" spans="1:9" s="181" customFormat="1" ht="12" x14ac:dyDescent="0.2">
      <c r="A69" s="1106" t="s">
        <v>438</v>
      </c>
      <c r="B69" s="1107"/>
      <c r="C69" s="602" t="s">
        <v>439</v>
      </c>
      <c r="D69" s="298">
        <v>5000</v>
      </c>
      <c r="E69" s="298">
        <v>0</v>
      </c>
      <c r="F69" s="600" t="s">
        <v>427</v>
      </c>
      <c r="G69" s="299" t="s">
        <v>427</v>
      </c>
    </row>
    <row r="70" spans="1:9" s="181" customFormat="1" ht="12" customHeight="1" x14ac:dyDescent="0.2">
      <c r="A70" s="1108" t="s">
        <v>143</v>
      </c>
      <c r="B70" s="1109"/>
      <c r="C70" s="602" t="s">
        <v>440</v>
      </c>
      <c r="D70" s="298">
        <v>100</v>
      </c>
      <c r="E70" s="298">
        <v>0</v>
      </c>
      <c r="F70" s="600" t="s">
        <v>427</v>
      </c>
      <c r="G70" s="603" t="s">
        <v>427</v>
      </c>
    </row>
    <row r="71" spans="1:9" s="181" customFormat="1" ht="17.25" customHeight="1" x14ac:dyDescent="0.2">
      <c r="A71" s="1110" t="s">
        <v>132</v>
      </c>
      <c r="B71" s="1111"/>
      <c r="C71" s="604"/>
      <c r="D71" s="605">
        <f>SUM(D53:D70)</f>
        <v>62815</v>
      </c>
      <c r="E71" s="606">
        <f>SUM(E53:E70)</f>
        <v>62815</v>
      </c>
      <c r="F71" s="1113"/>
      <c r="G71" s="1114"/>
    </row>
    <row r="72" spans="1:9" s="181" customFormat="1" ht="11.25" x14ac:dyDescent="0.2">
      <c r="A72" s="426"/>
      <c r="B72" s="426"/>
      <c r="C72" s="237"/>
      <c r="D72" s="237"/>
      <c r="E72" s="238"/>
    </row>
    <row r="73" spans="1:9" s="181" customFormat="1" ht="11.25" x14ac:dyDescent="0.2">
      <c r="A73" s="1083" t="s">
        <v>397</v>
      </c>
      <c r="B73" s="1083"/>
      <c r="C73" s="1083"/>
      <c r="D73" s="1083"/>
      <c r="E73" s="1083"/>
      <c r="F73" s="1083"/>
      <c r="G73" s="1083"/>
      <c r="H73" s="1083"/>
      <c r="I73" s="1083"/>
    </row>
    <row r="74" spans="1:9" s="181" customFormat="1" ht="11.25" x14ac:dyDescent="0.2">
      <c r="A74" s="1034" t="s">
        <v>441</v>
      </c>
      <c r="B74" s="1035"/>
      <c r="C74" s="1035"/>
      <c r="D74" s="1035"/>
      <c r="E74" s="1035"/>
      <c r="F74" s="1035"/>
      <c r="G74" s="1035"/>
      <c r="H74" s="1035"/>
      <c r="I74" s="1036"/>
    </row>
    <row r="75" spans="1:9" s="181" customFormat="1" ht="11.25" x14ac:dyDescent="0.2">
      <c r="A75" s="1115"/>
      <c r="B75" s="1115"/>
      <c r="C75" s="1115"/>
      <c r="D75" s="1115"/>
      <c r="E75" s="1115"/>
      <c r="F75" s="1115"/>
      <c r="G75" s="1115"/>
      <c r="H75" s="1115"/>
      <c r="I75" s="1115"/>
    </row>
    <row r="76" spans="1:9" s="181" customFormat="1" ht="0.75" customHeight="1" x14ac:dyDescent="0.2">
      <c r="A76" s="1116"/>
      <c r="B76" s="1117"/>
      <c r="C76" s="1117"/>
      <c r="D76" s="1117"/>
      <c r="E76" s="1117"/>
      <c r="F76" s="1117"/>
      <c r="G76" s="1117"/>
      <c r="H76" s="1117"/>
      <c r="I76" s="1118"/>
    </row>
    <row r="77" spans="1:9" s="181" customFormat="1" ht="11.25" hidden="1" x14ac:dyDescent="0.2"/>
    <row r="78" spans="1:9" s="180" customFormat="1" ht="10.5" x14ac:dyDescent="0.15">
      <c r="A78" s="1112" t="s">
        <v>399</v>
      </c>
      <c r="B78" s="1112"/>
      <c r="C78" s="1112"/>
      <c r="D78" s="1112"/>
      <c r="E78" s="1112"/>
      <c r="F78" s="1112"/>
      <c r="G78" s="1112"/>
      <c r="H78" s="1112"/>
      <c r="I78" s="1112"/>
    </row>
    <row r="79" spans="1:9" s="180" customFormat="1" ht="10.5" x14ac:dyDescent="0.15">
      <c r="A79" s="412"/>
      <c r="B79" s="412"/>
      <c r="C79" s="412"/>
      <c r="D79" s="412"/>
      <c r="E79" s="412"/>
      <c r="F79" s="412"/>
      <c r="G79" s="412"/>
      <c r="H79" s="412"/>
      <c r="I79" s="412"/>
    </row>
    <row r="80" spans="1:9" s="181" customFormat="1" ht="11.25" x14ac:dyDescent="0.2">
      <c r="A80" s="181" t="s">
        <v>112</v>
      </c>
    </row>
    <row r="81" spans="1:9" s="181" customFormat="1" ht="37.9" customHeight="1" x14ac:dyDescent="0.2">
      <c r="A81" s="1034" t="s">
        <v>442</v>
      </c>
      <c r="B81" s="1035"/>
      <c r="C81" s="1035"/>
      <c r="D81" s="1035"/>
      <c r="E81" s="1035"/>
      <c r="F81" s="1035"/>
      <c r="G81" s="1035"/>
      <c r="H81" s="1035"/>
      <c r="I81" s="1036"/>
    </row>
    <row r="82" spans="1:9" s="181" customFormat="1" ht="9" customHeight="1" x14ac:dyDescent="0.2">
      <c r="A82" s="1129"/>
      <c r="B82" s="1129"/>
      <c r="C82" s="1129"/>
      <c r="D82" s="1129"/>
      <c r="E82" s="1129"/>
      <c r="F82" s="1129"/>
      <c r="G82" s="1129"/>
      <c r="H82" s="1129"/>
      <c r="I82" s="1129"/>
    </row>
    <row r="83" spans="1:9" x14ac:dyDescent="0.2">
      <c r="A83" s="181" t="s">
        <v>443</v>
      </c>
    </row>
    <row r="84" spans="1:9" x14ac:dyDescent="0.2">
      <c r="A84" s="377" t="s">
        <v>444</v>
      </c>
    </row>
  </sheetData>
  <mergeCells count="64">
    <mergeCell ref="C45:I45"/>
    <mergeCell ref="C46:I46"/>
    <mergeCell ref="A48:I48"/>
    <mergeCell ref="A81:I81"/>
    <mergeCell ref="A82:I82"/>
    <mergeCell ref="A53:B53"/>
    <mergeCell ref="A54:B54"/>
    <mergeCell ref="A55:B55"/>
    <mergeCell ref="A56:B56"/>
    <mergeCell ref="A57:B57"/>
    <mergeCell ref="A58:B58"/>
    <mergeCell ref="A59:B59"/>
    <mergeCell ref="A60:B60"/>
    <mergeCell ref="A61:B61"/>
    <mergeCell ref="A62:B62"/>
    <mergeCell ref="A63:B63"/>
    <mergeCell ref="F24:I24"/>
    <mergeCell ref="F25:I25"/>
    <mergeCell ref="C44:I44"/>
    <mergeCell ref="F27:I27"/>
    <mergeCell ref="A29:I29"/>
    <mergeCell ref="D31:I31"/>
    <mergeCell ref="D32:I32"/>
    <mergeCell ref="C33:I33"/>
    <mergeCell ref="A35:I35"/>
    <mergeCell ref="D37:I37"/>
    <mergeCell ref="C39:I39"/>
    <mergeCell ref="A41:I41"/>
    <mergeCell ref="C43:I43"/>
    <mergeCell ref="A11:I11"/>
    <mergeCell ref="A15:A17"/>
    <mergeCell ref="A20:I20"/>
    <mergeCell ref="F22:I22"/>
    <mergeCell ref="F23:I23"/>
    <mergeCell ref="B1:I1"/>
    <mergeCell ref="D38:I38"/>
    <mergeCell ref="A50:G50"/>
    <mergeCell ref="A52:B52"/>
    <mergeCell ref="A7:B7"/>
    <mergeCell ref="D7:I7"/>
    <mergeCell ref="A3:I3"/>
    <mergeCell ref="A5:B5"/>
    <mergeCell ref="D5:I5"/>
    <mergeCell ref="A6:B6"/>
    <mergeCell ref="D6:I6"/>
    <mergeCell ref="F26:I26"/>
    <mergeCell ref="A8:B8"/>
    <mergeCell ref="D8:I8"/>
    <mergeCell ref="A9:B9"/>
    <mergeCell ref="D9:I9"/>
    <mergeCell ref="A64:B64"/>
    <mergeCell ref="A65:B65"/>
    <mergeCell ref="A66:B66"/>
    <mergeCell ref="A67:B67"/>
    <mergeCell ref="A68:B68"/>
    <mergeCell ref="A69:B69"/>
    <mergeCell ref="A70:B70"/>
    <mergeCell ref="A71:B71"/>
    <mergeCell ref="A78:I78"/>
    <mergeCell ref="F71:G71"/>
    <mergeCell ref="A73:I73"/>
    <mergeCell ref="A74:I74"/>
    <mergeCell ref="A75:I75"/>
    <mergeCell ref="A76:I76"/>
  </mergeCells>
  <pageMargins left="0.70866141732283472" right="0.70866141732283472" top="0.78740157480314965" bottom="0.78740157480314965" header="0.31496062992125984" footer="0.31496062992125984"/>
  <pageSetup paperSize="9" scale="68" firstPageNumber="88" fitToHeight="7" orientation="portrait" useFirstPageNumber="1"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zoomScale="150" zoomScaleNormal="150" workbookViewId="0">
      <selection activeCell="A107" sqref="A107:XFD107"/>
    </sheetView>
  </sheetViews>
  <sheetFormatPr defaultColWidth="6.5" defaultRowHeight="8.25" x14ac:dyDescent="0.15"/>
  <cols>
    <col min="1" max="1" width="5.5" style="1" customWidth="1"/>
    <col min="2" max="2" width="6.5" customWidth="1"/>
    <col min="3" max="3" width="36.75" customWidth="1"/>
    <col min="4" max="4" width="9.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2" customFormat="1" ht="15.75" x14ac:dyDescent="0.25">
      <c r="A1" s="1019" t="s">
        <v>81</v>
      </c>
      <c r="B1" s="1019"/>
      <c r="C1" s="1019"/>
      <c r="D1" s="1019"/>
      <c r="E1" s="1019"/>
      <c r="F1" s="1019"/>
      <c r="G1" s="1019"/>
      <c r="H1" s="1019"/>
      <c r="I1" s="1019"/>
      <c r="J1" s="1019"/>
      <c r="K1" s="1019"/>
      <c r="L1" s="1019"/>
      <c r="M1" s="1019"/>
      <c r="N1" s="1019"/>
      <c r="O1" s="1019"/>
      <c r="P1" s="1019"/>
      <c r="Q1" s="1019"/>
      <c r="R1" s="1019"/>
      <c r="S1" s="1019"/>
      <c r="T1" s="1019"/>
      <c r="U1" s="1019"/>
      <c r="V1" s="1019"/>
      <c r="W1" s="1019"/>
      <c r="X1" s="1019"/>
    </row>
    <row r="3" spans="1:24" s="3" customFormat="1" ht="9.75" customHeight="1" x14ac:dyDescent="0.2">
      <c r="A3" s="1012" t="s">
        <v>40</v>
      </c>
      <c r="B3" s="1022" t="s">
        <v>41</v>
      </c>
      <c r="C3" s="1023"/>
      <c r="D3" s="1028" t="s">
        <v>42</v>
      </c>
      <c r="E3" s="1031" t="s">
        <v>34</v>
      </c>
      <c r="F3" s="1032"/>
      <c r="G3" s="1032"/>
      <c r="H3" s="1032"/>
      <c r="I3" s="1033"/>
      <c r="J3" s="1031" t="s">
        <v>39</v>
      </c>
      <c r="K3" s="1032"/>
      <c r="L3" s="1032"/>
      <c r="M3" s="1032"/>
      <c r="N3" s="1033"/>
      <c r="O3" s="1031" t="s">
        <v>43</v>
      </c>
      <c r="P3" s="1032"/>
      <c r="Q3" s="1032"/>
      <c r="R3" s="1032"/>
      <c r="S3" s="1033"/>
      <c r="T3" s="1031" t="s">
        <v>38</v>
      </c>
      <c r="U3" s="1032"/>
      <c r="V3" s="1032"/>
      <c r="W3" s="1032"/>
      <c r="X3" s="1033"/>
    </row>
    <row r="4" spans="1:24" s="4" customFormat="1" ht="9.75" customHeight="1" x14ac:dyDescent="0.2">
      <c r="A4" s="1020"/>
      <c r="B4" s="1024"/>
      <c r="C4" s="1025"/>
      <c r="D4" s="1029"/>
      <c r="E4" s="1014" t="s">
        <v>44</v>
      </c>
      <c r="F4" s="1016" t="s">
        <v>336</v>
      </c>
      <c r="G4" s="1017"/>
      <c r="H4" s="1018"/>
      <c r="I4" s="1012" t="s">
        <v>337</v>
      </c>
      <c r="J4" s="1014" t="s">
        <v>44</v>
      </c>
      <c r="K4" s="1016" t="s">
        <v>336</v>
      </c>
      <c r="L4" s="1017"/>
      <c r="M4" s="1018"/>
      <c r="N4" s="1012" t="s">
        <v>337</v>
      </c>
      <c r="O4" s="1014" t="s">
        <v>44</v>
      </c>
      <c r="P4" s="1016" t="s">
        <v>336</v>
      </c>
      <c r="Q4" s="1017"/>
      <c r="R4" s="1018"/>
      <c r="S4" s="1012" t="s">
        <v>337</v>
      </c>
      <c r="T4" s="1014" t="s">
        <v>44</v>
      </c>
      <c r="U4" s="1016" t="s">
        <v>336</v>
      </c>
      <c r="V4" s="1017"/>
      <c r="W4" s="1018"/>
      <c r="X4" s="1012" t="s">
        <v>337</v>
      </c>
    </row>
    <row r="5" spans="1:24" s="5" customFormat="1" ht="9.75" customHeight="1" x14ac:dyDescent="0.2">
      <c r="A5" s="1021"/>
      <c r="B5" s="1026"/>
      <c r="C5" s="1027"/>
      <c r="D5" s="1030"/>
      <c r="E5" s="1015"/>
      <c r="F5" s="14" t="s">
        <v>35</v>
      </c>
      <c r="G5" s="15" t="s">
        <v>36</v>
      </c>
      <c r="H5" s="14" t="s">
        <v>37</v>
      </c>
      <c r="I5" s="1013"/>
      <c r="J5" s="1015"/>
      <c r="K5" s="14" t="s">
        <v>35</v>
      </c>
      <c r="L5" s="15" t="s">
        <v>36</v>
      </c>
      <c r="M5" s="14" t="s">
        <v>37</v>
      </c>
      <c r="N5" s="1013"/>
      <c r="O5" s="1015"/>
      <c r="P5" s="14" t="s">
        <v>35</v>
      </c>
      <c r="Q5" s="15" t="s">
        <v>36</v>
      </c>
      <c r="R5" s="14" t="s">
        <v>37</v>
      </c>
      <c r="S5" s="1013"/>
      <c r="T5" s="1015"/>
      <c r="U5" s="14" t="s">
        <v>35</v>
      </c>
      <c r="V5" s="15" t="s">
        <v>36</v>
      </c>
      <c r="W5" s="14" t="s">
        <v>37</v>
      </c>
      <c r="X5" s="1013"/>
    </row>
    <row r="6" spans="1:24" s="3" customFormat="1" ht="9.75" customHeight="1" x14ac:dyDescent="0.2">
      <c r="A6" s="16" t="s">
        <v>0</v>
      </c>
      <c r="B6" s="1007" t="s">
        <v>1</v>
      </c>
      <c r="C6" s="1007"/>
      <c r="D6" s="17" t="s">
        <v>25</v>
      </c>
      <c r="E6" s="52">
        <f>SUM(E7:E9)</f>
        <v>6969660</v>
      </c>
      <c r="F6" s="52">
        <f>SUM(F7:F9)</f>
        <v>7811684</v>
      </c>
      <c r="G6" s="52">
        <f>SUM(G7:G9)</f>
        <v>7825702.8600000003</v>
      </c>
      <c r="H6" s="18">
        <f t="shared" ref="H6:H36" si="0">G6/F6*100</f>
        <v>100.17946015225398</v>
      </c>
      <c r="I6" s="52">
        <f>SUM(I7:I9)</f>
        <v>7128303</v>
      </c>
      <c r="J6" s="52">
        <f>SUM(J7:J9)</f>
        <v>1709590</v>
      </c>
      <c r="K6" s="52">
        <f t="shared" ref="K6:S6" si="1">SUM(K7:K9)</f>
        <v>2315059</v>
      </c>
      <c r="L6" s="52">
        <f t="shared" si="1"/>
        <v>2329077.86</v>
      </c>
      <c r="M6" s="18">
        <f t="shared" ref="M6:M29" si="2">L6/K6*100</f>
        <v>100.60555087364943</v>
      </c>
      <c r="N6" s="69">
        <f t="shared" si="1"/>
        <v>2123891</v>
      </c>
      <c r="O6" s="52">
        <f t="shared" si="1"/>
        <v>5260070</v>
      </c>
      <c r="P6" s="52">
        <f t="shared" si="1"/>
        <v>5496625</v>
      </c>
      <c r="Q6" s="52">
        <f t="shared" si="1"/>
        <v>5496625</v>
      </c>
      <c r="R6" s="18">
        <f t="shared" ref="R6:R36" si="3">Q6/P6*100</f>
        <v>100</v>
      </c>
      <c r="S6" s="52">
        <f t="shared" si="1"/>
        <v>5004412</v>
      </c>
      <c r="T6" s="52">
        <v>15000</v>
      </c>
      <c r="U6" s="52">
        <v>15000</v>
      </c>
      <c r="V6" s="487">
        <v>0</v>
      </c>
      <c r="W6" s="18">
        <v>0</v>
      </c>
      <c r="X6" s="487">
        <v>0</v>
      </c>
    </row>
    <row r="7" spans="1:24" s="3" customFormat="1" ht="9.75" x14ac:dyDescent="0.2">
      <c r="A7" s="19" t="s">
        <v>2</v>
      </c>
      <c r="B7" s="1010" t="s">
        <v>46</v>
      </c>
      <c r="C7" s="1011"/>
      <c r="D7" s="47" t="s">
        <v>25</v>
      </c>
      <c r="E7" s="53">
        <f t="shared" ref="E7:G9" si="4">SUM(J7,O7)</f>
        <v>430000</v>
      </c>
      <c r="F7" s="54">
        <f t="shared" si="4"/>
        <v>555469</v>
      </c>
      <c r="G7" s="54">
        <f t="shared" si="4"/>
        <v>569478</v>
      </c>
      <c r="H7" s="6">
        <f t="shared" si="0"/>
        <v>102.52201292961442</v>
      </c>
      <c r="I7" s="60">
        <f>SUM(N7,S7)</f>
        <v>505771</v>
      </c>
      <c r="J7" s="61">
        <v>430000</v>
      </c>
      <c r="K7" s="62">
        <v>555469</v>
      </c>
      <c r="L7" s="62">
        <v>569478</v>
      </c>
      <c r="M7" s="6">
        <f t="shared" si="2"/>
        <v>102.52201292961442</v>
      </c>
      <c r="N7" s="76">
        <v>505771</v>
      </c>
      <c r="O7" s="77"/>
      <c r="P7" s="62"/>
      <c r="Q7" s="62"/>
      <c r="R7" s="6"/>
      <c r="S7" s="76"/>
      <c r="T7" s="77">
        <v>15000</v>
      </c>
      <c r="U7" s="62">
        <v>15000</v>
      </c>
      <c r="V7" s="488">
        <v>0</v>
      </c>
      <c r="W7" s="6">
        <v>0</v>
      </c>
      <c r="X7" s="489">
        <v>0</v>
      </c>
    </row>
    <row r="8" spans="1:24" s="3" customFormat="1" ht="9.75" x14ac:dyDescent="0.2">
      <c r="A8" s="20" t="s">
        <v>3</v>
      </c>
      <c r="B8" s="1005" t="s">
        <v>47</v>
      </c>
      <c r="C8" s="1006"/>
      <c r="D8" s="48" t="s">
        <v>25</v>
      </c>
      <c r="E8" s="55">
        <f t="shared" si="4"/>
        <v>300</v>
      </c>
      <c r="F8" s="56">
        <f t="shared" si="4"/>
        <v>300</v>
      </c>
      <c r="G8" s="56">
        <f t="shared" si="4"/>
        <v>309.86</v>
      </c>
      <c r="H8" s="7">
        <f t="shared" si="0"/>
        <v>103.28666666666668</v>
      </c>
      <c r="I8" s="63">
        <f>SUM(N8,S8)</f>
        <v>357</v>
      </c>
      <c r="J8" s="64">
        <v>300</v>
      </c>
      <c r="K8" s="56">
        <v>300</v>
      </c>
      <c r="L8" s="56">
        <v>309.86</v>
      </c>
      <c r="M8" s="7">
        <f t="shared" si="2"/>
        <v>103.28666666666668</v>
      </c>
      <c r="N8" s="63">
        <v>357</v>
      </c>
      <c r="O8" s="55"/>
      <c r="P8" s="56"/>
      <c r="Q8" s="56"/>
      <c r="R8" s="7"/>
      <c r="S8" s="63"/>
      <c r="T8" s="55"/>
      <c r="U8" s="56"/>
      <c r="V8" s="56"/>
      <c r="W8" s="7"/>
      <c r="X8" s="92"/>
    </row>
    <row r="9" spans="1:24" s="3" customFormat="1" ht="9.75" x14ac:dyDescent="0.2">
      <c r="A9" s="21" t="s">
        <v>4</v>
      </c>
      <c r="B9" s="22" t="s">
        <v>62</v>
      </c>
      <c r="C9" s="23"/>
      <c r="D9" s="50" t="s">
        <v>25</v>
      </c>
      <c r="E9" s="57">
        <f t="shared" si="4"/>
        <v>6539360</v>
      </c>
      <c r="F9" s="58">
        <f t="shared" si="4"/>
        <v>7255915</v>
      </c>
      <c r="G9" s="58">
        <f t="shared" si="4"/>
        <v>7255915</v>
      </c>
      <c r="H9" s="24">
        <f t="shared" si="0"/>
        <v>100</v>
      </c>
      <c r="I9" s="65">
        <f>SUM(N9,S9)</f>
        <v>6622175</v>
      </c>
      <c r="J9" s="66">
        <v>1279290</v>
      </c>
      <c r="K9" s="58">
        <v>1759290</v>
      </c>
      <c r="L9" s="58">
        <v>1759290</v>
      </c>
      <c r="M9" s="24">
        <f t="shared" si="2"/>
        <v>100</v>
      </c>
      <c r="N9" s="65">
        <v>1617763</v>
      </c>
      <c r="O9" s="57">
        <v>5260070</v>
      </c>
      <c r="P9" s="58">
        <v>5496625</v>
      </c>
      <c r="Q9" s="58">
        <v>5496625</v>
      </c>
      <c r="R9" s="24">
        <f t="shared" si="3"/>
        <v>100</v>
      </c>
      <c r="S9" s="65">
        <v>5004412</v>
      </c>
      <c r="T9" s="57"/>
      <c r="U9" s="58"/>
      <c r="V9" s="58"/>
      <c r="W9" s="24"/>
      <c r="X9" s="93"/>
    </row>
    <row r="10" spans="1:24" s="3" customFormat="1" ht="9.75" x14ac:dyDescent="0.2">
      <c r="A10" s="16" t="s">
        <v>5</v>
      </c>
      <c r="B10" s="1007" t="s">
        <v>7</v>
      </c>
      <c r="C10" s="1007"/>
      <c r="D10" s="25" t="s">
        <v>25</v>
      </c>
      <c r="E10" s="59"/>
      <c r="F10" s="59"/>
      <c r="G10" s="59"/>
      <c r="H10" s="18"/>
      <c r="I10" s="67">
        <f>SUM(N10,S10)</f>
        <v>0</v>
      </c>
      <c r="J10" s="68"/>
      <c r="K10" s="59"/>
      <c r="L10" s="59"/>
      <c r="M10" s="18"/>
      <c r="N10" s="67"/>
      <c r="O10" s="59"/>
      <c r="P10" s="59"/>
      <c r="Q10" s="59"/>
      <c r="R10" s="18"/>
      <c r="S10" s="67"/>
      <c r="T10" s="59"/>
      <c r="U10" s="59"/>
      <c r="V10" s="59"/>
      <c r="W10" s="18"/>
      <c r="X10" s="59"/>
    </row>
    <row r="11" spans="1:24" s="3" customFormat="1" ht="9.75" x14ac:dyDescent="0.2">
      <c r="A11" s="16" t="s">
        <v>6</v>
      </c>
      <c r="B11" s="1007" t="s">
        <v>9</v>
      </c>
      <c r="C11" s="1007"/>
      <c r="D11" s="25" t="s">
        <v>25</v>
      </c>
      <c r="E11" s="52">
        <f>SUM(E12:E31)</f>
        <v>6969660</v>
      </c>
      <c r="F11" s="52">
        <f>SUM(F12:F31)</f>
        <v>7811684</v>
      </c>
      <c r="G11" s="52">
        <f>SUM(G12:G31)</f>
        <v>7800174.4299999997</v>
      </c>
      <c r="H11" s="18">
        <f t="shared" si="0"/>
        <v>99.852662114852563</v>
      </c>
      <c r="I11" s="69">
        <f>SUM(I12:I31)</f>
        <v>7107684</v>
      </c>
      <c r="J11" s="52">
        <f>SUM(J12:J31)</f>
        <v>1709590</v>
      </c>
      <c r="K11" s="52">
        <f>SUM(K12:K31)</f>
        <v>2315059</v>
      </c>
      <c r="L11" s="52">
        <f>SUM(L12:L31)</f>
        <v>2303549.4300000002</v>
      </c>
      <c r="M11" s="18">
        <f t="shared" si="2"/>
        <v>99.502839020517413</v>
      </c>
      <c r="N11" s="69">
        <f>SUM(N12:N31)</f>
        <v>2103272</v>
      </c>
      <c r="O11" s="52">
        <f>SUM(O12:O31)</f>
        <v>5260070</v>
      </c>
      <c r="P11" s="52">
        <f>SUM(P12:P31)</f>
        <v>5496625</v>
      </c>
      <c r="Q11" s="52">
        <f>SUM(Q12:Q31)</f>
        <v>5496625</v>
      </c>
      <c r="R11" s="18">
        <f t="shared" si="3"/>
        <v>100</v>
      </c>
      <c r="S11" s="69">
        <f>SUM(S12:S31)</f>
        <v>5004412</v>
      </c>
      <c r="T11" s="52">
        <v>10000</v>
      </c>
      <c r="U11" s="52">
        <v>10000</v>
      </c>
      <c r="V11" s="487">
        <v>0</v>
      </c>
      <c r="W11" s="18">
        <v>0</v>
      </c>
      <c r="X11" s="487">
        <v>0</v>
      </c>
    </row>
    <row r="12" spans="1:24" s="3" customFormat="1" ht="9.75" x14ac:dyDescent="0.2">
      <c r="A12" s="26" t="s">
        <v>8</v>
      </c>
      <c r="B12" s="1008" t="s">
        <v>28</v>
      </c>
      <c r="C12" s="1009"/>
      <c r="D12" s="51" t="s">
        <v>25</v>
      </c>
      <c r="E12" s="53">
        <f t="shared" ref="E12:I26" si="5">SUM(J12,O12)</f>
        <v>261000</v>
      </c>
      <c r="F12" s="54">
        <f t="shared" si="5"/>
        <v>299343.34999999998</v>
      </c>
      <c r="G12" s="54">
        <f t="shared" si="5"/>
        <v>299275.68</v>
      </c>
      <c r="H12" s="6">
        <f t="shared" si="0"/>
        <v>99.977393852243594</v>
      </c>
      <c r="I12" s="60">
        <f t="shared" si="5"/>
        <v>291768</v>
      </c>
      <c r="J12" s="70">
        <v>261000</v>
      </c>
      <c r="K12" s="71">
        <v>292269.34999999998</v>
      </c>
      <c r="L12" s="71">
        <v>292201.68</v>
      </c>
      <c r="M12" s="6">
        <f t="shared" si="2"/>
        <v>99.976846699799353</v>
      </c>
      <c r="N12" s="78">
        <v>291768</v>
      </c>
      <c r="O12" s="79"/>
      <c r="P12" s="71">
        <v>7074</v>
      </c>
      <c r="Q12" s="71">
        <v>7074</v>
      </c>
      <c r="R12" s="6">
        <f t="shared" si="3"/>
        <v>100</v>
      </c>
      <c r="S12" s="83"/>
      <c r="T12" s="79"/>
      <c r="U12" s="71"/>
      <c r="V12" s="71"/>
      <c r="W12" s="6"/>
      <c r="X12" s="94"/>
    </row>
    <row r="13" spans="1:24" s="3" customFormat="1" ht="9.75" x14ac:dyDescent="0.2">
      <c r="A13" s="27" t="s">
        <v>10</v>
      </c>
      <c r="B13" s="997" t="s">
        <v>29</v>
      </c>
      <c r="C13" s="998"/>
      <c r="D13" s="48" t="s">
        <v>25</v>
      </c>
      <c r="E13" s="55">
        <f t="shared" si="5"/>
        <v>535000</v>
      </c>
      <c r="F13" s="56">
        <f t="shared" si="5"/>
        <v>397000</v>
      </c>
      <c r="G13" s="56">
        <f t="shared" si="5"/>
        <v>389821.83</v>
      </c>
      <c r="H13" s="7">
        <f t="shared" si="0"/>
        <v>98.191896725440813</v>
      </c>
      <c r="I13" s="63">
        <f t="shared" si="5"/>
        <v>462612</v>
      </c>
      <c r="J13" s="72">
        <v>535000</v>
      </c>
      <c r="K13" s="56">
        <v>397000</v>
      </c>
      <c r="L13" s="56">
        <v>389821.83</v>
      </c>
      <c r="M13" s="7">
        <f t="shared" si="2"/>
        <v>98.191896725440813</v>
      </c>
      <c r="N13" s="63">
        <v>462612</v>
      </c>
      <c r="O13" s="55"/>
      <c r="P13" s="56"/>
      <c r="Q13" s="56"/>
      <c r="R13" s="7"/>
      <c r="S13" s="63"/>
      <c r="T13" s="55"/>
      <c r="U13" s="56"/>
      <c r="V13" s="56"/>
      <c r="W13" s="7"/>
      <c r="X13" s="92"/>
    </row>
    <row r="14" spans="1:24" s="3" customFormat="1" ht="9.75" x14ac:dyDescent="0.2">
      <c r="A14" s="27" t="s">
        <v>11</v>
      </c>
      <c r="B14" s="418" t="s">
        <v>63</v>
      </c>
      <c r="C14" s="419"/>
      <c r="D14" s="48" t="s">
        <v>25</v>
      </c>
      <c r="E14" s="55"/>
      <c r="F14" s="56"/>
      <c r="G14" s="56"/>
      <c r="H14" s="7"/>
      <c r="I14" s="63">
        <f t="shared" si="5"/>
        <v>0</v>
      </c>
      <c r="J14" s="72"/>
      <c r="K14" s="56"/>
      <c r="L14" s="56"/>
      <c r="M14" s="7"/>
      <c r="N14" s="63"/>
      <c r="O14" s="55"/>
      <c r="P14" s="56"/>
      <c r="Q14" s="56"/>
      <c r="R14" s="7"/>
      <c r="S14" s="63"/>
      <c r="T14" s="55"/>
      <c r="U14" s="56"/>
      <c r="V14" s="56"/>
      <c r="W14" s="7"/>
      <c r="X14" s="92"/>
    </row>
    <row r="15" spans="1:24" s="3" customFormat="1" ht="9.75" x14ac:dyDescent="0.2">
      <c r="A15" s="27" t="s">
        <v>12</v>
      </c>
      <c r="B15" s="997" t="s">
        <v>64</v>
      </c>
      <c r="C15" s="998"/>
      <c r="D15" s="48" t="s">
        <v>25</v>
      </c>
      <c r="E15" s="55">
        <f t="shared" si="5"/>
        <v>300000</v>
      </c>
      <c r="F15" s="56">
        <f t="shared" si="5"/>
        <v>882430.65</v>
      </c>
      <c r="G15" s="56">
        <f t="shared" si="5"/>
        <v>882268.65</v>
      </c>
      <c r="H15" s="7">
        <f t="shared" si="0"/>
        <v>99.981641616822799</v>
      </c>
      <c r="I15" s="63">
        <f t="shared" si="5"/>
        <v>586241</v>
      </c>
      <c r="J15" s="72">
        <v>300000</v>
      </c>
      <c r="K15" s="56">
        <v>882430.65</v>
      </c>
      <c r="L15" s="56">
        <v>882268.65</v>
      </c>
      <c r="M15" s="7">
        <f t="shared" si="2"/>
        <v>99.981641616822799</v>
      </c>
      <c r="N15" s="63">
        <v>586241</v>
      </c>
      <c r="O15" s="55"/>
      <c r="P15" s="56"/>
      <c r="Q15" s="56"/>
      <c r="R15" s="7"/>
      <c r="S15" s="63"/>
      <c r="T15" s="55"/>
      <c r="U15" s="56"/>
      <c r="V15" s="56"/>
      <c r="W15" s="7"/>
      <c r="X15" s="92"/>
    </row>
    <row r="16" spans="1:24" s="3" customFormat="1" ht="9.75" x14ac:dyDescent="0.2">
      <c r="A16" s="27" t="s">
        <v>13</v>
      </c>
      <c r="B16" s="997" t="s">
        <v>30</v>
      </c>
      <c r="C16" s="998"/>
      <c r="D16" s="48" t="s">
        <v>25</v>
      </c>
      <c r="E16" s="55">
        <f t="shared" si="5"/>
        <v>2000</v>
      </c>
      <c r="F16" s="56">
        <f t="shared" si="5"/>
        <v>1306</v>
      </c>
      <c r="G16" s="56">
        <f t="shared" si="5"/>
        <v>1306</v>
      </c>
      <c r="H16" s="7">
        <f t="shared" si="0"/>
        <v>100</v>
      </c>
      <c r="I16" s="63">
        <f t="shared" si="5"/>
        <v>2127</v>
      </c>
      <c r="J16" s="72">
        <v>2000</v>
      </c>
      <c r="K16" s="56">
        <v>1306</v>
      </c>
      <c r="L16" s="56">
        <v>1306</v>
      </c>
      <c r="M16" s="7">
        <f t="shared" si="2"/>
        <v>100</v>
      </c>
      <c r="N16" s="63">
        <v>2127</v>
      </c>
      <c r="O16" s="55"/>
      <c r="P16" s="56"/>
      <c r="Q16" s="56"/>
      <c r="R16" s="7"/>
      <c r="S16" s="63"/>
      <c r="T16" s="55"/>
      <c r="U16" s="56"/>
      <c r="V16" s="56"/>
      <c r="W16" s="7"/>
      <c r="X16" s="92"/>
    </row>
    <row r="17" spans="1:24" s="3" customFormat="1" ht="9.75" x14ac:dyDescent="0.2">
      <c r="A17" s="27" t="s">
        <v>14</v>
      </c>
      <c r="B17" s="418" t="s">
        <v>48</v>
      </c>
      <c r="C17" s="419"/>
      <c r="D17" s="48" t="s">
        <v>25</v>
      </c>
      <c r="E17" s="55">
        <f t="shared" si="5"/>
        <v>1084</v>
      </c>
      <c r="F17" s="56">
        <f t="shared" si="5"/>
        <v>1084</v>
      </c>
      <c r="G17" s="56">
        <f t="shared" si="5"/>
        <v>1084</v>
      </c>
      <c r="H17" s="7">
        <f t="shared" si="0"/>
        <v>100</v>
      </c>
      <c r="I17" s="63">
        <f t="shared" si="5"/>
        <v>1000</v>
      </c>
      <c r="J17" s="72">
        <v>1084</v>
      </c>
      <c r="K17" s="56">
        <v>1084</v>
      </c>
      <c r="L17" s="56">
        <v>1084</v>
      </c>
      <c r="M17" s="7">
        <f t="shared" si="2"/>
        <v>100</v>
      </c>
      <c r="N17" s="63">
        <v>1000</v>
      </c>
      <c r="O17" s="55"/>
      <c r="P17" s="56"/>
      <c r="Q17" s="56"/>
      <c r="R17" s="7"/>
      <c r="S17" s="63"/>
      <c r="T17" s="55"/>
      <c r="U17" s="56"/>
      <c r="V17" s="56"/>
      <c r="W17" s="7"/>
      <c r="X17" s="92"/>
    </row>
    <row r="18" spans="1:24" s="3" customFormat="1" ht="9.75" x14ac:dyDescent="0.2">
      <c r="A18" s="27" t="s">
        <v>15</v>
      </c>
      <c r="B18" s="997" t="s">
        <v>31</v>
      </c>
      <c r="C18" s="998"/>
      <c r="D18" s="48" t="s">
        <v>25</v>
      </c>
      <c r="E18" s="55">
        <f t="shared" si="5"/>
        <v>251990</v>
      </c>
      <c r="F18" s="56">
        <f t="shared" si="5"/>
        <v>275265</v>
      </c>
      <c r="G18" s="56">
        <f t="shared" si="5"/>
        <v>272456.59999999998</v>
      </c>
      <c r="H18" s="7">
        <f t="shared" si="0"/>
        <v>98.979746789457423</v>
      </c>
      <c r="I18" s="63">
        <f t="shared" si="5"/>
        <v>232162</v>
      </c>
      <c r="J18" s="72">
        <v>251990</v>
      </c>
      <c r="K18" s="56">
        <v>262765</v>
      </c>
      <c r="L18" s="56">
        <v>259956.6</v>
      </c>
      <c r="M18" s="7">
        <f t="shared" si="2"/>
        <v>98.931212299963846</v>
      </c>
      <c r="N18" s="63">
        <v>232162</v>
      </c>
      <c r="O18" s="55"/>
      <c r="P18" s="56">
        <v>12500</v>
      </c>
      <c r="Q18" s="56">
        <v>12500</v>
      </c>
      <c r="R18" s="7">
        <f t="shared" si="3"/>
        <v>100</v>
      </c>
      <c r="S18" s="63"/>
      <c r="T18" s="55"/>
      <c r="U18" s="56"/>
      <c r="V18" s="56"/>
      <c r="W18" s="7"/>
      <c r="X18" s="92"/>
    </row>
    <row r="19" spans="1:24" s="8" customFormat="1" ht="9.75" x14ac:dyDescent="0.2">
      <c r="A19" s="27" t="s">
        <v>16</v>
      </c>
      <c r="B19" s="997" t="s">
        <v>32</v>
      </c>
      <c r="C19" s="998"/>
      <c r="D19" s="48" t="s">
        <v>25</v>
      </c>
      <c r="E19" s="55">
        <f t="shared" si="5"/>
        <v>3832400</v>
      </c>
      <c r="F19" s="56">
        <f t="shared" si="5"/>
        <v>4014107</v>
      </c>
      <c r="G19" s="56">
        <f t="shared" si="5"/>
        <v>4014107</v>
      </c>
      <c r="H19" s="7">
        <f t="shared" si="0"/>
        <v>100</v>
      </c>
      <c r="I19" s="63">
        <f t="shared" si="5"/>
        <v>3674524</v>
      </c>
      <c r="J19" s="73"/>
      <c r="K19" s="56"/>
      <c r="L19" s="56"/>
      <c r="M19" s="7"/>
      <c r="N19" s="63">
        <v>360</v>
      </c>
      <c r="O19" s="55">
        <v>3832400</v>
      </c>
      <c r="P19" s="56">
        <v>4014107</v>
      </c>
      <c r="Q19" s="56">
        <v>4014107</v>
      </c>
      <c r="R19" s="7">
        <f t="shared" si="3"/>
        <v>100</v>
      </c>
      <c r="S19" s="63">
        <v>3674164</v>
      </c>
      <c r="T19" s="84"/>
      <c r="U19" s="85"/>
      <c r="V19" s="85"/>
      <c r="W19" s="7"/>
      <c r="X19" s="95"/>
    </row>
    <row r="20" spans="1:24" s="3" customFormat="1" ht="9.75" x14ac:dyDescent="0.2">
      <c r="A20" s="27" t="s">
        <v>17</v>
      </c>
      <c r="B20" s="997" t="s">
        <v>49</v>
      </c>
      <c r="C20" s="998"/>
      <c r="D20" s="48" t="s">
        <v>25</v>
      </c>
      <c r="E20" s="55">
        <f t="shared" si="5"/>
        <v>1319112</v>
      </c>
      <c r="F20" s="56">
        <f t="shared" si="5"/>
        <v>1370695</v>
      </c>
      <c r="G20" s="56">
        <f t="shared" si="5"/>
        <v>1370695</v>
      </c>
      <c r="H20" s="7">
        <f t="shared" si="0"/>
        <v>100</v>
      </c>
      <c r="I20" s="63">
        <f t="shared" si="5"/>
        <v>1258282</v>
      </c>
      <c r="J20" s="72"/>
      <c r="K20" s="56"/>
      <c r="L20" s="56"/>
      <c r="M20" s="7"/>
      <c r="N20" s="63">
        <v>124</v>
      </c>
      <c r="O20" s="55">
        <v>1319112</v>
      </c>
      <c r="P20" s="56">
        <v>1370695</v>
      </c>
      <c r="Q20" s="56">
        <v>1370695</v>
      </c>
      <c r="R20" s="7">
        <f t="shared" si="3"/>
        <v>100</v>
      </c>
      <c r="S20" s="63">
        <v>1258158</v>
      </c>
      <c r="T20" s="55"/>
      <c r="U20" s="56"/>
      <c r="V20" s="56"/>
      <c r="W20" s="7"/>
      <c r="X20" s="92"/>
    </row>
    <row r="21" spans="1:24" s="3" customFormat="1" ht="9.75" x14ac:dyDescent="0.2">
      <c r="A21" s="27" t="s">
        <v>18</v>
      </c>
      <c r="B21" s="997" t="s">
        <v>50</v>
      </c>
      <c r="C21" s="998"/>
      <c r="D21" s="48" t="s">
        <v>25</v>
      </c>
      <c r="E21" s="55">
        <f t="shared" si="5"/>
        <v>133558</v>
      </c>
      <c r="F21" s="56">
        <f t="shared" si="5"/>
        <v>108540</v>
      </c>
      <c r="G21" s="56">
        <f t="shared" si="5"/>
        <v>108134.92</v>
      </c>
      <c r="H21" s="7">
        <f t="shared" si="0"/>
        <v>99.626791966095453</v>
      </c>
      <c r="I21" s="63">
        <f t="shared" si="5"/>
        <v>85826</v>
      </c>
      <c r="J21" s="72">
        <v>25000</v>
      </c>
      <c r="K21" s="56">
        <v>25000</v>
      </c>
      <c r="L21" s="56">
        <v>24594.92</v>
      </c>
      <c r="M21" s="7">
        <f t="shared" si="2"/>
        <v>98.379679999999993</v>
      </c>
      <c r="N21" s="63">
        <v>24005</v>
      </c>
      <c r="O21" s="55">
        <v>108558</v>
      </c>
      <c r="P21" s="56">
        <v>83540</v>
      </c>
      <c r="Q21" s="56">
        <v>83540</v>
      </c>
      <c r="R21" s="7">
        <f t="shared" si="3"/>
        <v>100</v>
      </c>
      <c r="S21" s="63">
        <v>61821</v>
      </c>
      <c r="T21" s="55"/>
      <c r="U21" s="56"/>
      <c r="V21" s="56"/>
      <c r="W21" s="7"/>
      <c r="X21" s="92"/>
    </row>
    <row r="22" spans="1:24" s="3" customFormat="1" ht="9.75" x14ac:dyDescent="0.2">
      <c r="A22" s="27" t="s">
        <v>19</v>
      </c>
      <c r="B22" s="997" t="s">
        <v>65</v>
      </c>
      <c r="C22" s="998"/>
      <c r="D22" s="48" t="s">
        <v>25</v>
      </c>
      <c r="E22" s="55"/>
      <c r="F22" s="56"/>
      <c r="G22" s="56"/>
      <c r="H22" s="7"/>
      <c r="I22" s="63"/>
      <c r="J22" s="72"/>
      <c r="K22" s="56"/>
      <c r="L22" s="56"/>
      <c r="M22" s="7"/>
      <c r="N22" s="63"/>
      <c r="O22" s="55"/>
      <c r="P22" s="56"/>
      <c r="Q22" s="56"/>
      <c r="R22" s="7"/>
      <c r="S22" s="63"/>
      <c r="T22" s="55"/>
      <c r="U22" s="56"/>
      <c r="V22" s="56"/>
      <c r="W22" s="7"/>
      <c r="X22" s="92"/>
    </row>
    <row r="23" spans="1:24" s="3" customFormat="1" ht="9.75" x14ac:dyDescent="0.2">
      <c r="A23" s="27" t="s">
        <v>20</v>
      </c>
      <c r="B23" s="418" t="s">
        <v>66</v>
      </c>
      <c r="C23" s="419"/>
      <c r="D23" s="48" t="s">
        <v>25</v>
      </c>
      <c r="E23" s="55"/>
      <c r="F23" s="56"/>
      <c r="G23" s="56"/>
      <c r="H23" s="7"/>
      <c r="I23" s="63"/>
      <c r="J23" s="72"/>
      <c r="K23" s="56"/>
      <c r="L23" s="56"/>
      <c r="M23" s="7"/>
      <c r="N23" s="63"/>
      <c r="O23" s="55"/>
      <c r="P23" s="56"/>
      <c r="Q23" s="56"/>
      <c r="R23" s="7"/>
      <c r="S23" s="63"/>
      <c r="T23" s="55"/>
      <c r="U23" s="56"/>
      <c r="V23" s="56"/>
      <c r="W23" s="7"/>
      <c r="X23" s="92"/>
    </row>
    <row r="24" spans="1:24" s="3" customFormat="1" ht="9.75" x14ac:dyDescent="0.2">
      <c r="A24" s="27" t="s">
        <v>21</v>
      </c>
      <c r="B24" s="418" t="s">
        <v>73</v>
      </c>
      <c r="C24" s="419"/>
      <c r="D24" s="48" t="s">
        <v>25</v>
      </c>
      <c r="E24" s="55"/>
      <c r="F24" s="56"/>
      <c r="G24" s="56"/>
      <c r="H24" s="7"/>
      <c r="I24" s="63"/>
      <c r="J24" s="72"/>
      <c r="K24" s="56"/>
      <c r="L24" s="56"/>
      <c r="M24" s="7"/>
      <c r="N24" s="63"/>
      <c r="O24" s="55"/>
      <c r="P24" s="56"/>
      <c r="Q24" s="56"/>
      <c r="R24" s="7"/>
      <c r="S24" s="63"/>
      <c r="T24" s="55"/>
      <c r="U24" s="56"/>
      <c r="V24" s="56"/>
      <c r="W24" s="7"/>
      <c r="X24" s="92"/>
    </row>
    <row r="25" spans="1:24" s="3" customFormat="1" ht="9.75" x14ac:dyDescent="0.2">
      <c r="A25" s="28" t="s">
        <v>22</v>
      </c>
      <c r="B25" s="29" t="s">
        <v>68</v>
      </c>
      <c r="C25" s="30"/>
      <c r="D25" s="48" t="s">
        <v>25</v>
      </c>
      <c r="E25" s="55"/>
      <c r="F25" s="56"/>
      <c r="G25" s="56"/>
      <c r="H25" s="7"/>
      <c r="I25" s="63"/>
      <c r="J25" s="72"/>
      <c r="K25" s="74"/>
      <c r="L25" s="74"/>
      <c r="M25" s="7"/>
      <c r="N25" s="80"/>
      <c r="O25" s="81"/>
      <c r="P25" s="74"/>
      <c r="Q25" s="74"/>
      <c r="R25" s="7"/>
      <c r="S25" s="86"/>
      <c r="T25" s="81"/>
      <c r="U25" s="74"/>
      <c r="V25" s="74"/>
      <c r="W25" s="7"/>
      <c r="X25" s="96"/>
    </row>
    <row r="26" spans="1:24" s="10" customFormat="1" ht="9.75" x14ac:dyDescent="0.2">
      <c r="A26" s="27" t="s">
        <v>23</v>
      </c>
      <c r="B26" s="997" t="s">
        <v>69</v>
      </c>
      <c r="C26" s="998"/>
      <c r="D26" s="48" t="s">
        <v>25</v>
      </c>
      <c r="E26" s="55">
        <f t="shared" si="5"/>
        <v>131616</v>
      </c>
      <c r="F26" s="56">
        <f t="shared" si="5"/>
        <v>131616</v>
      </c>
      <c r="G26" s="56">
        <f t="shared" si="5"/>
        <v>130728</v>
      </c>
      <c r="H26" s="11">
        <f t="shared" si="0"/>
        <v>99.325309992706053</v>
      </c>
      <c r="I26" s="63">
        <f t="shared" si="5"/>
        <v>127717</v>
      </c>
      <c r="J26" s="72">
        <v>131616</v>
      </c>
      <c r="K26" s="75">
        <v>131616</v>
      </c>
      <c r="L26" s="75">
        <v>130728</v>
      </c>
      <c r="M26" s="7">
        <f t="shared" si="2"/>
        <v>99.325309992706053</v>
      </c>
      <c r="N26" s="63">
        <v>127717</v>
      </c>
      <c r="O26" s="82"/>
      <c r="P26" s="75"/>
      <c r="Q26" s="75"/>
      <c r="R26" s="7"/>
      <c r="S26" s="80"/>
      <c r="T26" s="87"/>
      <c r="U26" s="88"/>
      <c r="V26" s="88"/>
      <c r="W26" s="7"/>
      <c r="X26" s="97"/>
    </row>
    <row r="27" spans="1:24" s="12" customFormat="1" ht="9.75" x14ac:dyDescent="0.2">
      <c r="A27" s="27" t="s">
        <v>45</v>
      </c>
      <c r="B27" s="418" t="s">
        <v>70</v>
      </c>
      <c r="C27" s="419"/>
      <c r="D27" s="48" t="s">
        <v>25</v>
      </c>
      <c r="E27" s="55"/>
      <c r="F27" s="56"/>
      <c r="G27" s="56"/>
      <c r="H27" s="11"/>
      <c r="I27" s="63"/>
      <c r="J27" s="72"/>
      <c r="K27" s="75"/>
      <c r="L27" s="75"/>
      <c r="M27" s="7"/>
      <c r="N27" s="80"/>
      <c r="O27" s="82"/>
      <c r="P27" s="75"/>
      <c r="Q27" s="75"/>
      <c r="R27" s="7"/>
      <c r="S27" s="80"/>
      <c r="T27" s="87"/>
      <c r="U27" s="88"/>
      <c r="V27" s="88"/>
      <c r="W27" s="7"/>
      <c r="X27" s="97"/>
    </row>
    <row r="28" spans="1:24" s="12" customFormat="1" ht="9.75" x14ac:dyDescent="0.2">
      <c r="A28" s="27" t="s">
        <v>51</v>
      </c>
      <c r="B28" s="418" t="s">
        <v>74</v>
      </c>
      <c r="C28" s="419"/>
      <c r="D28" s="48" t="s">
        <v>25</v>
      </c>
      <c r="E28" s="55">
        <v>198900</v>
      </c>
      <c r="F28" s="56">
        <v>323472</v>
      </c>
      <c r="G28" s="56">
        <v>323472</v>
      </c>
      <c r="H28" s="11">
        <f t="shared" si="0"/>
        <v>100</v>
      </c>
      <c r="I28" s="63">
        <v>382858</v>
      </c>
      <c r="J28" s="72">
        <v>198900</v>
      </c>
      <c r="K28" s="75">
        <v>314763</v>
      </c>
      <c r="L28" s="75">
        <v>314763</v>
      </c>
      <c r="M28" s="7">
        <f t="shared" si="2"/>
        <v>100</v>
      </c>
      <c r="N28" s="80">
        <v>372589</v>
      </c>
      <c r="O28" s="82"/>
      <c r="P28" s="75">
        <v>8709</v>
      </c>
      <c r="Q28" s="75">
        <v>8709</v>
      </c>
      <c r="R28" s="7">
        <f t="shared" si="3"/>
        <v>100</v>
      </c>
      <c r="S28" s="80">
        <v>10269</v>
      </c>
      <c r="T28" s="87">
        <v>10000</v>
      </c>
      <c r="U28" s="88">
        <v>10000</v>
      </c>
      <c r="V28" s="490">
        <v>0</v>
      </c>
      <c r="W28" s="7">
        <v>0</v>
      </c>
      <c r="X28" s="491">
        <v>0</v>
      </c>
    </row>
    <row r="29" spans="1:24" s="10" customFormat="1" ht="9.75" x14ac:dyDescent="0.2">
      <c r="A29" s="27" t="s">
        <v>52</v>
      </c>
      <c r="B29" s="997" t="s">
        <v>67</v>
      </c>
      <c r="C29" s="998"/>
      <c r="D29" s="48" t="s">
        <v>25</v>
      </c>
      <c r="E29" s="55">
        <f t="shared" ref="E29:G29" si="6">SUM(J29,O29)</f>
        <v>3000</v>
      </c>
      <c r="F29" s="56">
        <f t="shared" si="6"/>
        <v>6825</v>
      </c>
      <c r="G29" s="56">
        <f t="shared" si="6"/>
        <v>6824.75</v>
      </c>
      <c r="H29" s="11">
        <f t="shared" si="0"/>
        <v>99.996336996336993</v>
      </c>
      <c r="I29" s="63">
        <f>SUM(N29,S29)</f>
        <v>2567</v>
      </c>
      <c r="J29" s="72">
        <v>3000</v>
      </c>
      <c r="K29" s="75">
        <v>6825</v>
      </c>
      <c r="L29" s="75">
        <v>6824.75</v>
      </c>
      <c r="M29" s="7">
        <f t="shared" si="2"/>
        <v>99.996336996336993</v>
      </c>
      <c r="N29" s="80">
        <v>2567</v>
      </c>
      <c r="O29" s="82"/>
      <c r="P29" s="75"/>
      <c r="Q29" s="75"/>
      <c r="R29" s="7"/>
      <c r="S29" s="80"/>
      <c r="T29" s="87"/>
      <c r="U29" s="88"/>
      <c r="V29" s="88"/>
      <c r="W29" s="7"/>
      <c r="X29" s="97"/>
    </row>
    <row r="30" spans="1:24" s="3" customFormat="1" ht="9.75" x14ac:dyDescent="0.2">
      <c r="A30" s="27" t="s">
        <v>54</v>
      </c>
      <c r="B30" s="418" t="s">
        <v>53</v>
      </c>
      <c r="C30" s="419"/>
      <c r="D30" s="48" t="s">
        <v>25</v>
      </c>
      <c r="E30" s="55"/>
      <c r="F30" s="56"/>
      <c r="G30" s="56"/>
      <c r="H30" s="11"/>
      <c r="I30" s="63"/>
      <c r="J30" s="72"/>
      <c r="K30" s="75"/>
      <c r="L30" s="75"/>
      <c r="M30" s="7"/>
      <c r="N30" s="80"/>
      <c r="O30" s="82"/>
      <c r="P30" s="75"/>
      <c r="Q30" s="75"/>
      <c r="R30" s="7"/>
      <c r="S30" s="80"/>
      <c r="T30" s="87"/>
      <c r="U30" s="88"/>
      <c r="V30" s="88"/>
      <c r="W30" s="7"/>
      <c r="X30" s="97"/>
    </row>
    <row r="31" spans="1:24" s="31" customFormat="1" ht="9.75" x14ac:dyDescent="0.2">
      <c r="A31" s="27" t="s">
        <v>55</v>
      </c>
      <c r="B31" s="102" t="s">
        <v>71</v>
      </c>
      <c r="C31" s="103"/>
      <c r="D31" s="48" t="s">
        <v>25</v>
      </c>
      <c r="E31" s="55"/>
      <c r="F31" s="56"/>
      <c r="G31" s="56"/>
      <c r="H31" s="11"/>
      <c r="I31" s="63"/>
      <c r="J31" s="72"/>
      <c r="K31" s="104"/>
      <c r="L31" s="104"/>
      <c r="M31" s="7"/>
      <c r="N31" s="105"/>
      <c r="O31" s="106"/>
      <c r="P31" s="104"/>
      <c r="Q31" s="104"/>
      <c r="R31" s="7"/>
      <c r="S31" s="105"/>
      <c r="T31" s="107"/>
      <c r="U31" s="108"/>
      <c r="V31" s="108"/>
      <c r="W31" s="7"/>
      <c r="X31" s="109"/>
    </row>
    <row r="32" spans="1:24" s="31" customFormat="1" ht="9.75" x14ac:dyDescent="0.2">
      <c r="A32" s="110" t="s">
        <v>56</v>
      </c>
      <c r="B32" s="111" t="s">
        <v>72</v>
      </c>
      <c r="C32" s="112"/>
      <c r="D32" s="49" t="s">
        <v>25</v>
      </c>
      <c r="E32" s="57"/>
      <c r="F32" s="58"/>
      <c r="G32" s="58"/>
      <c r="H32" s="13"/>
      <c r="I32" s="65"/>
      <c r="J32" s="113"/>
      <c r="K32" s="90"/>
      <c r="L32" s="90"/>
      <c r="M32" s="24"/>
      <c r="N32" s="114"/>
      <c r="O32" s="89"/>
      <c r="P32" s="90"/>
      <c r="Q32" s="90"/>
      <c r="R32" s="24"/>
      <c r="S32" s="114"/>
      <c r="T32" s="89"/>
      <c r="U32" s="90"/>
      <c r="V32" s="90"/>
      <c r="W32" s="24"/>
      <c r="X32" s="98"/>
    </row>
    <row r="33" spans="1:24" s="31" customFormat="1" ht="9.75" x14ac:dyDescent="0.2">
      <c r="A33" s="16" t="s">
        <v>57</v>
      </c>
      <c r="B33" s="34" t="s">
        <v>58</v>
      </c>
      <c r="C33" s="35"/>
      <c r="D33" s="17" t="s">
        <v>25</v>
      </c>
      <c r="E33" s="52">
        <f>E6-E11</f>
        <v>0</v>
      </c>
      <c r="F33" s="52">
        <f t="shared" ref="F33:G33" si="7">F6-F11</f>
        <v>0</v>
      </c>
      <c r="G33" s="52">
        <f t="shared" si="7"/>
        <v>25528.430000000633</v>
      </c>
      <c r="H33" s="32"/>
      <c r="I33" s="52">
        <f t="shared" ref="I33:L33" si="8">I6-I11</f>
        <v>20619</v>
      </c>
      <c r="J33" s="52">
        <f t="shared" si="8"/>
        <v>0</v>
      </c>
      <c r="K33" s="52">
        <f t="shared" si="8"/>
        <v>0</v>
      </c>
      <c r="L33" s="52">
        <f t="shared" si="8"/>
        <v>25528.429999999702</v>
      </c>
      <c r="M33" s="33"/>
      <c r="N33" s="52">
        <f t="shared" ref="N33:Q33" si="9">N6-N11</f>
        <v>20619</v>
      </c>
      <c r="O33" s="52">
        <f t="shared" si="9"/>
        <v>0</v>
      </c>
      <c r="P33" s="52">
        <f t="shared" si="9"/>
        <v>0</v>
      </c>
      <c r="Q33" s="52">
        <f t="shared" si="9"/>
        <v>0</v>
      </c>
      <c r="R33" s="33"/>
      <c r="S33" s="52">
        <f t="shared" ref="S33" si="10">S6-S11</f>
        <v>0</v>
      </c>
      <c r="T33" s="52">
        <v>5000</v>
      </c>
      <c r="U33" s="52">
        <v>5000</v>
      </c>
      <c r="V33" s="487">
        <v>0</v>
      </c>
      <c r="W33" s="178">
        <v>0</v>
      </c>
      <c r="X33" s="487">
        <v>0</v>
      </c>
    </row>
    <row r="34" spans="1:24" s="37" customFormat="1" ht="9.75" x14ac:dyDescent="0.2">
      <c r="A34" s="36" t="s">
        <v>59</v>
      </c>
      <c r="B34" s="999" t="s">
        <v>24</v>
      </c>
      <c r="C34" s="1000"/>
      <c r="D34" s="99" t="s">
        <v>25</v>
      </c>
      <c r="E34" s="444">
        <v>22318</v>
      </c>
      <c r="F34" s="444">
        <v>24705</v>
      </c>
      <c r="G34" s="444">
        <v>24705</v>
      </c>
      <c r="H34" s="9">
        <f t="shared" si="0"/>
        <v>100</v>
      </c>
      <c r="I34" s="44">
        <v>22834</v>
      </c>
      <c r="J34" s="444"/>
      <c r="K34" s="444"/>
      <c r="L34" s="444"/>
      <c r="M34" s="178"/>
      <c r="N34" s="444"/>
      <c r="O34" s="444">
        <v>22318</v>
      </c>
      <c r="P34" s="444">
        <v>24705</v>
      </c>
      <c r="Q34" s="444">
        <v>24705</v>
      </c>
      <c r="R34" s="178">
        <f t="shared" si="3"/>
        <v>100</v>
      </c>
      <c r="S34" s="44">
        <v>22834</v>
      </c>
      <c r="T34" s="444"/>
      <c r="U34" s="444"/>
      <c r="V34" s="444"/>
      <c r="W34" s="178"/>
      <c r="X34" s="444"/>
    </row>
    <row r="35" spans="1:24" s="37" customFormat="1" ht="9.75" x14ac:dyDescent="0.2">
      <c r="A35" s="38" t="s">
        <v>60</v>
      </c>
      <c r="B35" s="1001" t="s">
        <v>33</v>
      </c>
      <c r="C35" s="1002"/>
      <c r="D35" s="100" t="s">
        <v>26</v>
      </c>
      <c r="E35" s="492">
        <v>14.31</v>
      </c>
      <c r="F35" s="492">
        <v>13.54</v>
      </c>
      <c r="G35" s="492">
        <v>13.54</v>
      </c>
      <c r="H35" s="11">
        <f t="shared" si="0"/>
        <v>100</v>
      </c>
      <c r="I35" s="124">
        <v>13.41</v>
      </c>
      <c r="J35" s="444"/>
      <c r="K35" s="444"/>
      <c r="L35" s="444"/>
      <c r="M35" s="178"/>
      <c r="N35" s="444"/>
      <c r="O35" s="492">
        <v>14.31</v>
      </c>
      <c r="P35" s="492">
        <v>13.54</v>
      </c>
      <c r="Q35" s="492">
        <v>13.54</v>
      </c>
      <c r="R35" s="178">
        <f t="shared" si="3"/>
        <v>100</v>
      </c>
      <c r="S35" s="124">
        <v>13.41</v>
      </c>
      <c r="T35" s="444"/>
      <c r="U35" s="444"/>
      <c r="V35" s="444"/>
      <c r="W35" s="178"/>
      <c r="X35" s="444"/>
    </row>
    <row r="36" spans="1:24" s="37" customFormat="1" ht="9.75" x14ac:dyDescent="0.2">
      <c r="A36" s="39" t="s">
        <v>61</v>
      </c>
      <c r="B36" s="1003" t="s">
        <v>27</v>
      </c>
      <c r="C36" s="1004"/>
      <c r="D36" s="101" t="s">
        <v>26</v>
      </c>
      <c r="E36" s="492">
        <v>16</v>
      </c>
      <c r="F36" s="492">
        <v>16</v>
      </c>
      <c r="G36" s="492">
        <v>16</v>
      </c>
      <c r="H36" s="13">
        <f t="shared" si="0"/>
        <v>100</v>
      </c>
      <c r="I36" s="126">
        <v>15</v>
      </c>
      <c r="J36" s="444"/>
      <c r="K36" s="444"/>
      <c r="L36" s="444"/>
      <c r="M36" s="178"/>
      <c r="N36" s="444"/>
      <c r="O36" s="492">
        <v>16</v>
      </c>
      <c r="P36" s="492">
        <v>16</v>
      </c>
      <c r="Q36" s="492">
        <v>16</v>
      </c>
      <c r="R36" s="178">
        <f t="shared" si="3"/>
        <v>100</v>
      </c>
      <c r="S36" s="126">
        <v>15</v>
      </c>
      <c r="T36" s="444"/>
      <c r="U36" s="444"/>
      <c r="V36" s="444"/>
      <c r="W36" s="178"/>
      <c r="X36" s="444"/>
    </row>
  </sheetData>
  <mergeCells count="39">
    <mergeCell ref="A1:X1"/>
    <mergeCell ref="A3:A5"/>
    <mergeCell ref="B3:C5"/>
    <mergeCell ref="D3:D5"/>
    <mergeCell ref="E3:I3"/>
    <mergeCell ref="J3:N3"/>
    <mergeCell ref="O3:S3"/>
    <mergeCell ref="T3:X3"/>
    <mergeCell ref="E4:E5"/>
    <mergeCell ref="F4:H4"/>
    <mergeCell ref="S4:S5"/>
    <mergeCell ref="T4:T5"/>
    <mergeCell ref="U4:W4"/>
    <mergeCell ref="X4:X5"/>
    <mergeCell ref="O4:O5"/>
    <mergeCell ref="P4:R4"/>
    <mergeCell ref="B7:C7"/>
    <mergeCell ref="I4:I5"/>
    <mergeCell ref="J4:J5"/>
    <mergeCell ref="K4:M4"/>
    <mergeCell ref="N4:N5"/>
    <mergeCell ref="B6:C6"/>
    <mergeCell ref="B22:C22"/>
    <mergeCell ref="B8:C8"/>
    <mergeCell ref="B10:C10"/>
    <mergeCell ref="B11:C11"/>
    <mergeCell ref="B12:C12"/>
    <mergeCell ref="B13:C13"/>
    <mergeCell ref="B15:C15"/>
    <mergeCell ref="B16:C16"/>
    <mergeCell ref="B18:C18"/>
    <mergeCell ref="B19:C19"/>
    <mergeCell ref="B20:C20"/>
    <mergeCell ref="B21:C21"/>
    <mergeCell ref="B26:C26"/>
    <mergeCell ref="B29:C29"/>
    <mergeCell ref="B34:C34"/>
    <mergeCell ref="B35:C35"/>
    <mergeCell ref="B36:C36"/>
  </mergeCells>
  <pageMargins left="0.70866141732283472" right="0.70866141732283472" top="0.78740157480314965" bottom="0.78740157480314965" header="0.31496062992125984" footer="0.31496062992125984"/>
  <pageSetup paperSize="9" scale="91" firstPageNumber="89" orientation="landscape" useFirstPageNumber="1"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7"/>
  <sheetViews>
    <sheetView topLeftCell="A95" workbookViewId="0">
      <selection activeCell="A107" sqref="A107:XFD107"/>
    </sheetView>
  </sheetViews>
  <sheetFormatPr defaultRowHeight="12.75" x14ac:dyDescent="0.2"/>
  <cols>
    <col min="1" max="1" width="58" style="240" customWidth="1"/>
    <col min="2" max="2" width="33.5" style="240" customWidth="1"/>
    <col min="3" max="5" width="25.75" style="240" customWidth="1"/>
    <col min="6" max="6" width="22.75" style="240" customWidth="1"/>
    <col min="7" max="7" width="15.25" style="240" customWidth="1"/>
    <col min="8" max="16384" width="10" style="240"/>
  </cols>
  <sheetData>
    <row r="1" spans="1:9" s="425" customFormat="1" ht="18.75" x14ac:dyDescent="0.3">
      <c r="A1" s="425" t="s">
        <v>92</v>
      </c>
      <c r="B1" s="425" t="s">
        <v>445</v>
      </c>
    </row>
    <row r="3" spans="1:9" s="180" customFormat="1" ht="10.5" x14ac:dyDescent="0.15">
      <c r="A3" s="1039" t="s">
        <v>354</v>
      </c>
      <c r="B3" s="1039"/>
      <c r="C3" s="1039"/>
      <c r="D3" s="1039"/>
      <c r="E3" s="1039"/>
      <c r="F3" s="1039"/>
      <c r="G3" s="1039"/>
      <c r="H3" s="1039"/>
      <c r="I3" s="1039"/>
    </row>
    <row r="4" spans="1:9" s="181" customFormat="1" ht="11.25" x14ac:dyDescent="0.2"/>
    <row r="5" spans="1:9" s="182" customFormat="1" ht="9.75" x14ac:dyDescent="0.2">
      <c r="A5" s="1040" t="s">
        <v>93</v>
      </c>
      <c r="B5" s="1041"/>
      <c r="C5" s="420" t="s">
        <v>25</v>
      </c>
      <c r="D5" s="1042" t="s">
        <v>355</v>
      </c>
      <c r="E5" s="1042"/>
      <c r="F5" s="1042"/>
      <c r="G5" s="1042"/>
      <c r="H5" s="1042"/>
      <c r="I5" s="1042"/>
    </row>
    <row r="6" spans="1:9" s="181" customFormat="1" ht="15" customHeight="1" x14ac:dyDescent="0.2">
      <c r="A6" s="1043" t="s">
        <v>356</v>
      </c>
      <c r="B6" s="1043"/>
      <c r="C6" s="183">
        <v>25528.43</v>
      </c>
      <c r="D6" s="1044"/>
      <c r="E6" s="1045"/>
      <c r="F6" s="1045"/>
      <c r="G6" s="1045"/>
      <c r="H6" s="1045"/>
      <c r="I6" s="1045"/>
    </row>
    <row r="7" spans="1:9" s="181" customFormat="1" ht="36" customHeight="1" x14ac:dyDescent="0.2">
      <c r="A7" s="1046" t="s">
        <v>94</v>
      </c>
      <c r="B7" s="1047"/>
      <c r="C7" s="184">
        <v>25528.43</v>
      </c>
      <c r="D7" s="1156" t="s">
        <v>446</v>
      </c>
      <c r="E7" s="1156"/>
      <c r="F7" s="1156"/>
      <c r="G7" s="1156"/>
      <c r="H7" s="1156"/>
      <c r="I7" s="1156"/>
    </row>
    <row r="8" spans="1:9" s="180" customFormat="1" ht="15" customHeight="1" x14ac:dyDescent="0.15">
      <c r="A8" s="1049" t="s">
        <v>95</v>
      </c>
      <c r="B8" s="1050"/>
      <c r="C8" s="185">
        <v>0</v>
      </c>
      <c r="D8" s="1048"/>
      <c r="E8" s="1048"/>
      <c r="F8" s="1048"/>
      <c r="G8" s="1048"/>
      <c r="H8" s="1048"/>
      <c r="I8" s="1048"/>
    </row>
    <row r="9" spans="1:9" s="180" customFormat="1" ht="15" customHeight="1" x14ac:dyDescent="0.15">
      <c r="A9" s="1049" t="s">
        <v>96</v>
      </c>
      <c r="B9" s="1050"/>
      <c r="C9" s="185">
        <v>0</v>
      </c>
      <c r="D9" s="1051"/>
      <c r="E9" s="1052"/>
      <c r="F9" s="1052"/>
      <c r="G9" s="1052"/>
      <c r="H9" s="1052"/>
      <c r="I9" s="1053"/>
    </row>
    <row r="10" spans="1:9" s="181" customFormat="1" ht="11.25" x14ac:dyDescent="0.2">
      <c r="C10" s="186"/>
    </row>
    <row r="11" spans="1:9" s="181" customFormat="1" ht="11.25" x14ac:dyDescent="0.2">
      <c r="A11" s="1039" t="s">
        <v>359</v>
      </c>
      <c r="B11" s="1039"/>
      <c r="C11" s="1039"/>
      <c r="D11" s="1039"/>
      <c r="E11" s="1039"/>
      <c r="F11" s="1039"/>
      <c r="G11" s="1039"/>
      <c r="H11" s="1039"/>
      <c r="I11" s="1039"/>
    </row>
    <row r="12" spans="1:9" s="181" customFormat="1" ht="11.25" x14ac:dyDescent="0.2">
      <c r="C12" s="186"/>
      <c r="D12" s="187"/>
      <c r="E12" s="187"/>
      <c r="F12" s="187"/>
      <c r="G12" s="187"/>
      <c r="H12" s="187"/>
      <c r="I12" s="187"/>
    </row>
    <row r="13" spans="1:9" s="190" customFormat="1" ht="9.75" x14ac:dyDescent="0.2">
      <c r="A13" s="420" t="s">
        <v>93</v>
      </c>
      <c r="B13" s="420" t="s">
        <v>97</v>
      </c>
      <c r="C13" s="420" t="s">
        <v>25</v>
      </c>
      <c r="D13" s="188"/>
      <c r="E13" s="189"/>
      <c r="F13" s="189"/>
      <c r="G13" s="189"/>
      <c r="H13" s="189"/>
      <c r="I13" s="189"/>
    </row>
    <row r="14" spans="1:9" s="181" customFormat="1" ht="15" customHeight="1" x14ac:dyDescent="0.2">
      <c r="A14" s="191" t="s">
        <v>98</v>
      </c>
      <c r="B14" s="192"/>
      <c r="C14" s="193">
        <v>162</v>
      </c>
      <c r="D14" s="608" t="s">
        <v>447</v>
      </c>
      <c r="E14" s="609" t="s">
        <v>448</v>
      </c>
      <c r="F14" s="609" t="s">
        <v>449</v>
      </c>
      <c r="G14" s="195"/>
      <c r="H14" s="195"/>
      <c r="I14" s="195"/>
    </row>
    <row r="15" spans="1:9" s="181" customFormat="1" ht="15" customHeight="1" x14ac:dyDescent="0.2">
      <c r="A15" s="1037" t="s">
        <v>99</v>
      </c>
      <c r="B15" s="196" t="s">
        <v>100</v>
      </c>
      <c r="C15" s="197">
        <v>23006.43</v>
      </c>
      <c r="D15" s="198" t="s">
        <v>450</v>
      </c>
      <c r="E15" s="199"/>
      <c r="F15" s="199"/>
      <c r="G15" s="199"/>
      <c r="H15" s="199"/>
      <c r="I15" s="199"/>
    </row>
    <row r="16" spans="1:9" s="181" customFormat="1" ht="15" customHeight="1" x14ac:dyDescent="0.2">
      <c r="A16" s="1038"/>
      <c r="B16" s="200" t="s">
        <v>100</v>
      </c>
      <c r="C16" s="201"/>
      <c r="D16" s="198"/>
      <c r="E16" s="199"/>
      <c r="F16" s="199"/>
      <c r="G16" s="199"/>
      <c r="H16" s="199"/>
      <c r="I16" s="199"/>
    </row>
    <row r="17" spans="1:9" s="181" customFormat="1" ht="15" customHeight="1" x14ac:dyDescent="0.2">
      <c r="A17" s="1038"/>
      <c r="B17" s="200" t="s">
        <v>101</v>
      </c>
      <c r="C17" s="202">
        <v>2360</v>
      </c>
      <c r="D17" s="256" t="s">
        <v>451</v>
      </c>
      <c r="E17" s="257" t="s">
        <v>452</v>
      </c>
      <c r="F17" s="257" t="s">
        <v>453</v>
      </c>
      <c r="G17" s="204"/>
      <c r="H17" s="204"/>
      <c r="I17" s="204"/>
    </row>
    <row r="18" spans="1:9" s="181" customFormat="1" ht="15" customHeight="1" x14ac:dyDescent="0.2">
      <c r="A18" s="421" t="s">
        <v>356</v>
      </c>
      <c r="B18" s="205"/>
      <c r="C18" s="206">
        <f>SUM(C14:C17)</f>
        <v>25528.43</v>
      </c>
      <c r="D18" s="207"/>
      <c r="E18" s="207"/>
      <c r="F18" s="207"/>
      <c r="G18" s="207"/>
      <c r="H18" s="207"/>
      <c r="I18" s="207"/>
    </row>
    <row r="19" spans="1:9" s="209" customFormat="1" ht="11.25" x14ac:dyDescent="0.2">
      <c r="A19" s="208"/>
      <c r="C19" s="210"/>
      <c r="D19" s="211"/>
      <c r="E19" s="211"/>
      <c r="F19" s="211"/>
      <c r="G19" s="211"/>
      <c r="H19" s="211"/>
      <c r="I19" s="211"/>
    </row>
    <row r="20" spans="1:9" s="181" customFormat="1" ht="11.25" x14ac:dyDescent="0.2">
      <c r="A20" s="1039" t="s">
        <v>360</v>
      </c>
      <c r="B20" s="1039"/>
      <c r="C20" s="1039"/>
      <c r="D20" s="1039"/>
      <c r="E20" s="1039"/>
      <c r="F20" s="1039"/>
      <c r="G20" s="1039"/>
      <c r="H20" s="1039"/>
      <c r="I20" s="1039"/>
    </row>
    <row r="21" spans="1:9" s="181" customFormat="1" ht="11.25" x14ac:dyDescent="0.2">
      <c r="C21" s="186"/>
    </row>
    <row r="22" spans="1:9" s="212" customFormat="1" ht="9.75" x14ac:dyDescent="0.2">
      <c r="A22" s="420" t="s">
        <v>97</v>
      </c>
      <c r="B22" s="420" t="s">
        <v>361</v>
      </c>
      <c r="C22" s="423" t="s">
        <v>362</v>
      </c>
      <c r="D22" s="420" t="s">
        <v>363</v>
      </c>
      <c r="E22" s="420" t="s">
        <v>364</v>
      </c>
      <c r="F22" s="1042" t="s">
        <v>365</v>
      </c>
      <c r="G22" s="1042"/>
      <c r="H22" s="1042"/>
      <c r="I22" s="1042"/>
    </row>
    <row r="23" spans="1:9" s="181" customFormat="1" ht="45" customHeight="1" x14ac:dyDescent="0.2">
      <c r="A23" s="213" t="s">
        <v>102</v>
      </c>
      <c r="B23" s="214">
        <v>111505.22</v>
      </c>
      <c r="C23" s="214">
        <v>278644.84999999998</v>
      </c>
      <c r="D23" s="214">
        <v>84469</v>
      </c>
      <c r="E23" s="214">
        <f>B23+C23-D23</f>
        <v>305681.06999999995</v>
      </c>
      <c r="F23" s="1054" t="s">
        <v>454</v>
      </c>
      <c r="G23" s="1055"/>
      <c r="H23" s="1055"/>
      <c r="I23" s="1056"/>
    </row>
    <row r="24" spans="1:9" s="181" customFormat="1" ht="30.75" customHeight="1" x14ac:dyDescent="0.2">
      <c r="A24" s="196" t="s">
        <v>103</v>
      </c>
      <c r="B24" s="215">
        <v>42203</v>
      </c>
      <c r="C24" s="215">
        <v>130728</v>
      </c>
      <c r="D24" s="215">
        <v>163420</v>
      </c>
      <c r="E24" s="215">
        <f t="shared" ref="E24:E26" si="0">B24+C24-D24</f>
        <v>9511</v>
      </c>
      <c r="F24" s="1057" t="s">
        <v>455</v>
      </c>
      <c r="G24" s="1058"/>
      <c r="H24" s="1058"/>
      <c r="I24" s="1059"/>
    </row>
    <row r="25" spans="1:9" s="181" customFormat="1" ht="26.25" customHeight="1" x14ac:dyDescent="0.2">
      <c r="A25" s="196" t="s">
        <v>101</v>
      </c>
      <c r="B25" s="215">
        <v>45640</v>
      </c>
      <c r="C25" s="215">
        <v>5000</v>
      </c>
      <c r="D25" s="215">
        <v>0</v>
      </c>
      <c r="E25" s="215">
        <f t="shared" si="0"/>
        <v>50640</v>
      </c>
      <c r="F25" s="1057" t="s">
        <v>456</v>
      </c>
      <c r="G25" s="1058"/>
      <c r="H25" s="1058"/>
      <c r="I25" s="1059"/>
    </row>
    <row r="26" spans="1:9" s="181" customFormat="1" ht="44.25" customHeight="1" x14ac:dyDescent="0.2">
      <c r="A26" s="200" t="s">
        <v>104</v>
      </c>
      <c r="B26" s="216">
        <v>27153.02</v>
      </c>
      <c r="C26" s="216">
        <v>80282</v>
      </c>
      <c r="D26" s="216">
        <v>60555</v>
      </c>
      <c r="E26" s="215">
        <f t="shared" si="0"/>
        <v>46880.020000000004</v>
      </c>
      <c r="F26" s="1060" t="s">
        <v>457</v>
      </c>
      <c r="G26" s="1061"/>
      <c r="H26" s="1061"/>
      <c r="I26" s="1062"/>
    </row>
    <row r="27" spans="1:9" s="180" customFormat="1" ht="10.5" x14ac:dyDescent="0.15">
      <c r="A27" s="217" t="s">
        <v>34</v>
      </c>
      <c r="B27" s="183">
        <f>SUM(B23:B26)</f>
        <v>226501.24</v>
      </c>
      <c r="C27" s="183">
        <f t="shared" ref="C27:E27" si="1">SUM(C23:C26)</f>
        <v>494654.85</v>
      </c>
      <c r="D27" s="183">
        <f t="shared" si="1"/>
        <v>308444</v>
      </c>
      <c r="E27" s="183">
        <f t="shared" si="1"/>
        <v>412712.08999999997</v>
      </c>
      <c r="F27" s="1063"/>
      <c r="G27" s="1063"/>
      <c r="H27" s="1063"/>
      <c r="I27" s="1064"/>
    </row>
    <row r="28" spans="1:9" s="181" customFormat="1" ht="15" customHeight="1" x14ac:dyDescent="0.2">
      <c r="C28" s="186"/>
    </row>
    <row r="29" spans="1:9" s="181" customFormat="1" ht="11.25" x14ac:dyDescent="0.2">
      <c r="A29" s="1039" t="s">
        <v>370</v>
      </c>
      <c r="B29" s="1039"/>
      <c r="C29" s="1039"/>
      <c r="D29" s="1039"/>
      <c r="E29" s="1039"/>
      <c r="F29" s="1039"/>
      <c r="G29" s="1039"/>
      <c r="H29" s="1039"/>
      <c r="I29" s="1039"/>
    </row>
    <row r="30" spans="1:9" s="181" customFormat="1" ht="11.25" x14ac:dyDescent="0.2">
      <c r="C30" s="186"/>
    </row>
    <row r="31" spans="1:9" s="181" customFormat="1" ht="11.25" x14ac:dyDescent="0.2">
      <c r="A31" s="420" t="s">
        <v>105</v>
      </c>
      <c r="B31" s="420" t="s">
        <v>25</v>
      </c>
      <c r="C31" s="423" t="s">
        <v>106</v>
      </c>
      <c r="D31" s="1042" t="s">
        <v>107</v>
      </c>
      <c r="E31" s="1042"/>
      <c r="F31" s="1042"/>
      <c r="G31" s="1042"/>
      <c r="H31" s="1042"/>
      <c r="I31" s="1042"/>
    </row>
    <row r="32" spans="1:9" s="181" customFormat="1" ht="15" customHeight="1" x14ac:dyDescent="0.2">
      <c r="A32" s="258" t="s">
        <v>458</v>
      </c>
      <c r="B32" s="214"/>
      <c r="C32" s="219"/>
      <c r="D32" s="1065"/>
      <c r="E32" s="1066"/>
      <c r="F32" s="1066"/>
      <c r="G32" s="1066"/>
      <c r="H32" s="1066"/>
      <c r="I32" s="1067"/>
    </row>
    <row r="33" spans="1:9" s="180" customFormat="1" ht="11.25" x14ac:dyDescent="0.2">
      <c r="A33" s="217" t="s">
        <v>34</v>
      </c>
      <c r="B33" s="183">
        <f>SUM(B32:B32)</f>
        <v>0</v>
      </c>
      <c r="C33" s="1068"/>
      <c r="D33" s="1069"/>
      <c r="E33" s="1069"/>
      <c r="F33" s="1069"/>
      <c r="G33" s="1069"/>
      <c r="H33" s="1069"/>
      <c r="I33" s="1070"/>
    </row>
    <row r="34" spans="1:9" s="181" customFormat="1" ht="15" customHeight="1" x14ac:dyDescent="0.2">
      <c r="C34" s="186"/>
    </row>
    <row r="35" spans="1:9" s="181" customFormat="1" ht="11.25" x14ac:dyDescent="0.2">
      <c r="A35" s="1039" t="s">
        <v>372</v>
      </c>
      <c r="B35" s="1039"/>
      <c r="C35" s="1039"/>
      <c r="D35" s="1039"/>
      <c r="E35" s="1039"/>
      <c r="F35" s="1039"/>
      <c r="G35" s="1039"/>
      <c r="H35" s="1039"/>
      <c r="I35" s="1039"/>
    </row>
    <row r="36" spans="1:9" s="181" customFormat="1" ht="11.25" x14ac:dyDescent="0.2">
      <c r="C36" s="186"/>
    </row>
    <row r="37" spans="1:9" s="181" customFormat="1" ht="11.25" x14ac:dyDescent="0.2">
      <c r="A37" s="420" t="s">
        <v>105</v>
      </c>
      <c r="B37" s="420" t="s">
        <v>25</v>
      </c>
      <c r="C37" s="423" t="s">
        <v>106</v>
      </c>
      <c r="D37" s="1071" t="s">
        <v>107</v>
      </c>
      <c r="E37" s="1071"/>
      <c r="F37" s="1071"/>
      <c r="G37" s="1071"/>
      <c r="H37" s="1071"/>
      <c r="I37" s="1072"/>
    </row>
    <row r="38" spans="1:9" s="181" customFormat="1" ht="15" customHeight="1" x14ac:dyDescent="0.2">
      <c r="A38" s="258" t="s">
        <v>459</v>
      </c>
      <c r="B38" s="610"/>
      <c r="C38" s="219"/>
      <c r="D38" s="1057"/>
      <c r="E38" s="1073"/>
      <c r="F38" s="1073"/>
      <c r="G38" s="1073"/>
      <c r="H38" s="1073"/>
      <c r="I38" s="1074"/>
    </row>
    <row r="39" spans="1:9" s="180" customFormat="1" ht="10.5" x14ac:dyDescent="0.15">
      <c r="A39" s="217" t="s">
        <v>34</v>
      </c>
      <c r="B39" s="183">
        <f>SUM(B38:B38)</f>
        <v>0</v>
      </c>
      <c r="C39" s="1075"/>
      <c r="D39" s="1076"/>
      <c r="E39" s="1076"/>
      <c r="F39" s="1076"/>
      <c r="G39" s="1076"/>
      <c r="H39" s="1076"/>
      <c r="I39" s="1076"/>
    </row>
    <row r="40" spans="1:9" s="181" customFormat="1" ht="15" customHeight="1" x14ac:dyDescent="0.2">
      <c r="C40" s="186"/>
    </row>
    <row r="41" spans="1:9" s="181" customFormat="1" ht="14.25" x14ac:dyDescent="0.2">
      <c r="A41" s="1143" t="s">
        <v>374</v>
      </c>
      <c r="B41" s="1143"/>
      <c r="C41" s="1143"/>
      <c r="D41" s="1143"/>
      <c r="E41" s="1143"/>
      <c r="F41" s="1143"/>
      <c r="G41" s="1143"/>
      <c r="H41" s="1143"/>
      <c r="I41" s="1143"/>
    </row>
    <row r="42" spans="1:9" s="181" customFormat="1" ht="11.25" x14ac:dyDescent="0.2">
      <c r="C42" s="186"/>
    </row>
    <row r="43" spans="1:9" s="181" customFormat="1" x14ac:dyDescent="0.2">
      <c r="A43" s="611" t="s">
        <v>25</v>
      </c>
      <c r="B43" s="612" t="s">
        <v>375</v>
      </c>
      <c r="C43" s="1165" t="s">
        <v>108</v>
      </c>
      <c r="D43" s="1165"/>
      <c r="E43" s="1165"/>
      <c r="F43" s="1165"/>
      <c r="G43" s="1165"/>
      <c r="H43" s="1165"/>
      <c r="I43" s="1166"/>
    </row>
    <row r="44" spans="1:9" s="181" customFormat="1" ht="14.25" x14ac:dyDescent="0.2">
      <c r="A44" s="613" t="s">
        <v>460</v>
      </c>
      <c r="B44" s="613">
        <v>30850</v>
      </c>
      <c r="C44" s="1169" t="s">
        <v>461</v>
      </c>
      <c r="D44" s="1169"/>
      <c r="E44" s="1169"/>
      <c r="F44" s="1169"/>
      <c r="G44" s="1169"/>
      <c r="H44" s="1169"/>
      <c r="I44" s="1170"/>
    </row>
    <row r="45" spans="1:9" s="180" customFormat="1" x14ac:dyDescent="0.2">
      <c r="A45" s="614">
        <v>50507</v>
      </c>
      <c r="B45" s="614">
        <v>30850</v>
      </c>
      <c r="C45" s="1141" t="s">
        <v>34</v>
      </c>
      <c r="D45" s="1141"/>
      <c r="E45" s="1141"/>
      <c r="F45" s="1141"/>
      <c r="G45" s="1141"/>
      <c r="H45" s="1141"/>
      <c r="I45" s="1142"/>
    </row>
    <row r="46" spans="1:9" s="181" customFormat="1" ht="15" customHeight="1" x14ac:dyDescent="0.2">
      <c r="C46" s="186"/>
    </row>
    <row r="47" spans="1:9" s="181" customFormat="1" ht="14.25" x14ac:dyDescent="0.2">
      <c r="A47" s="1143" t="s">
        <v>377</v>
      </c>
      <c r="B47" s="1143"/>
      <c r="C47" s="1143"/>
      <c r="D47" s="1143"/>
      <c r="E47" s="1143"/>
      <c r="F47" s="1143"/>
      <c r="G47" s="1143"/>
      <c r="H47" s="1143"/>
      <c r="I47" s="1143"/>
    </row>
    <row r="48" spans="1:9" s="260" customFormat="1" ht="15" x14ac:dyDescent="0.25">
      <c r="A48" s="259"/>
    </row>
    <row r="49" spans="1:7" s="260" customFormat="1" ht="34.5" customHeight="1" x14ac:dyDescent="0.25">
      <c r="A49" s="1144" t="s">
        <v>114</v>
      </c>
      <c r="B49" s="1145"/>
      <c r="C49" s="261" t="s">
        <v>115</v>
      </c>
      <c r="D49" s="261" t="s">
        <v>116</v>
      </c>
      <c r="E49" s="261" t="s">
        <v>117</v>
      </c>
      <c r="F49" s="261" t="s">
        <v>118</v>
      </c>
      <c r="G49" s="261" t="s">
        <v>119</v>
      </c>
    </row>
    <row r="50" spans="1:7" s="262" customFormat="1" ht="28.5" customHeight="1" x14ac:dyDescent="0.2">
      <c r="A50" s="1160" t="s">
        <v>462</v>
      </c>
      <c r="B50" s="1161"/>
      <c r="C50" s="615" t="s">
        <v>463</v>
      </c>
      <c r="D50" s="616">
        <v>25850</v>
      </c>
      <c r="E50" s="616" t="s">
        <v>464</v>
      </c>
      <c r="F50" s="617" t="s">
        <v>465</v>
      </c>
      <c r="G50" s="617" t="s">
        <v>465</v>
      </c>
    </row>
    <row r="51" spans="1:7" s="262" customFormat="1" ht="25.5" customHeight="1" x14ac:dyDescent="0.2">
      <c r="A51" s="1162" t="s">
        <v>466</v>
      </c>
      <c r="B51" s="1163"/>
      <c r="C51" s="263" t="s">
        <v>463</v>
      </c>
      <c r="D51" s="264">
        <v>19000</v>
      </c>
      <c r="E51" s="264" t="s">
        <v>467</v>
      </c>
      <c r="F51" s="265" t="s">
        <v>465</v>
      </c>
      <c r="G51" s="265" t="s">
        <v>465</v>
      </c>
    </row>
    <row r="52" spans="1:7" s="262" customFormat="1" ht="33.75" hidden="1" customHeight="1" x14ac:dyDescent="0.2">
      <c r="A52" s="430"/>
      <c r="B52" s="266"/>
      <c r="C52" s="267"/>
      <c r="D52" s="267"/>
      <c r="E52" s="268"/>
      <c r="F52" s="269"/>
      <c r="G52" s="269"/>
    </row>
    <row r="53" spans="1:7" s="262" customFormat="1" ht="24" customHeight="1" x14ac:dyDescent="0.2">
      <c r="A53" s="1151" t="s">
        <v>468</v>
      </c>
      <c r="B53" s="1164"/>
      <c r="C53" s="270" t="s">
        <v>463</v>
      </c>
      <c r="D53" s="271">
        <v>5000</v>
      </c>
      <c r="E53" s="271" t="s">
        <v>469</v>
      </c>
      <c r="F53" s="272" t="s">
        <v>470</v>
      </c>
      <c r="G53" s="272" t="s">
        <v>470</v>
      </c>
    </row>
    <row r="54" spans="1:7" s="262" customFormat="1" ht="22.5" customHeight="1" x14ac:dyDescent="0.2">
      <c r="A54" s="1162" t="s">
        <v>471</v>
      </c>
      <c r="B54" s="1163"/>
      <c r="C54" s="276" t="s">
        <v>463</v>
      </c>
      <c r="D54" s="277">
        <v>19000</v>
      </c>
      <c r="E54" s="277" t="s">
        <v>467</v>
      </c>
      <c r="F54" s="278" t="s">
        <v>470</v>
      </c>
      <c r="G54" s="278" t="s">
        <v>470</v>
      </c>
    </row>
    <row r="55" spans="1:7" s="262" customFormat="1" ht="27" customHeight="1" x14ac:dyDescent="0.2">
      <c r="A55" s="1146" t="s">
        <v>472</v>
      </c>
      <c r="B55" s="1155"/>
      <c r="C55" s="276" t="s">
        <v>473</v>
      </c>
      <c r="D55" s="277"/>
      <c r="E55" s="277">
        <v>-3825</v>
      </c>
      <c r="F55" s="278">
        <v>42886</v>
      </c>
      <c r="G55" s="278">
        <v>42886</v>
      </c>
    </row>
    <row r="56" spans="1:7" s="262" customFormat="1" ht="28.5" hidden="1" customHeight="1" x14ac:dyDescent="0.2">
      <c r="A56" s="1146"/>
      <c r="B56" s="1101"/>
      <c r="C56" s="276"/>
      <c r="D56" s="277"/>
      <c r="E56" s="277"/>
      <c r="F56" s="278"/>
      <c r="G56" s="278"/>
    </row>
    <row r="57" spans="1:7" s="262" customFormat="1" ht="17.25" customHeight="1" x14ac:dyDescent="0.2">
      <c r="A57" s="1158" t="s">
        <v>474</v>
      </c>
      <c r="B57" s="1159"/>
      <c r="C57" s="276" t="s">
        <v>475</v>
      </c>
      <c r="D57" s="277"/>
      <c r="E57" s="277">
        <v>3825</v>
      </c>
      <c r="F57" s="278">
        <v>42886</v>
      </c>
      <c r="G57" s="278">
        <v>42886</v>
      </c>
    </row>
    <row r="58" spans="1:7" s="262" customFormat="1" ht="48" customHeight="1" x14ac:dyDescent="0.2">
      <c r="A58" s="1167" t="s">
        <v>476</v>
      </c>
      <c r="B58" s="1168"/>
      <c r="C58" s="283" t="s">
        <v>477</v>
      </c>
      <c r="D58" s="284" t="s">
        <v>478</v>
      </c>
      <c r="E58" s="284">
        <v>480000</v>
      </c>
      <c r="F58" s="285">
        <v>42892</v>
      </c>
      <c r="G58" s="285">
        <v>42916</v>
      </c>
    </row>
    <row r="59" spans="1:7" s="262" customFormat="1" ht="37.5" customHeight="1" x14ac:dyDescent="0.2">
      <c r="A59" s="1154" t="s">
        <v>479</v>
      </c>
      <c r="B59" s="1157"/>
      <c r="C59" s="276" t="s">
        <v>463</v>
      </c>
      <c r="D59" s="277">
        <v>15619</v>
      </c>
      <c r="E59" s="277" t="s">
        <v>480</v>
      </c>
      <c r="F59" s="278" t="s">
        <v>481</v>
      </c>
      <c r="G59" s="278" t="s">
        <v>481</v>
      </c>
    </row>
    <row r="60" spans="1:7" s="262" customFormat="1" ht="35.25" customHeight="1" x14ac:dyDescent="0.2">
      <c r="A60" s="1147" t="s">
        <v>482</v>
      </c>
      <c r="B60" s="1148"/>
      <c r="C60" s="279" t="s">
        <v>483</v>
      </c>
      <c r="D60" s="280" t="s">
        <v>484</v>
      </c>
      <c r="E60" s="280" t="s">
        <v>485</v>
      </c>
      <c r="F60" s="281" t="s">
        <v>486</v>
      </c>
      <c r="G60" s="281" t="s">
        <v>487</v>
      </c>
    </row>
    <row r="61" spans="1:7" s="262" customFormat="1" ht="39" customHeight="1" x14ac:dyDescent="0.2">
      <c r="A61" s="1149" t="s">
        <v>488</v>
      </c>
      <c r="B61" s="1150"/>
      <c r="C61" s="270">
        <v>502</v>
      </c>
      <c r="D61" s="271"/>
      <c r="E61" s="271">
        <v>-105000</v>
      </c>
      <c r="F61" s="272">
        <v>43069</v>
      </c>
      <c r="G61" s="272">
        <v>43069</v>
      </c>
    </row>
    <row r="62" spans="1:7" s="262" customFormat="1" ht="24.75" customHeight="1" x14ac:dyDescent="0.2">
      <c r="A62" s="1151" t="s">
        <v>489</v>
      </c>
      <c r="B62" s="1152"/>
      <c r="C62" s="270" t="s">
        <v>209</v>
      </c>
      <c r="D62" s="271"/>
      <c r="E62" s="271">
        <v>50000</v>
      </c>
      <c r="F62" s="272">
        <v>43069</v>
      </c>
      <c r="G62" s="272">
        <v>43069</v>
      </c>
    </row>
    <row r="63" spans="1:7" s="262" customFormat="1" ht="24.75" customHeight="1" x14ac:dyDescent="0.2">
      <c r="A63" s="1146" t="s">
        <v>490</v>
      </c>
      <c r="B63" s="1153"/>
      <c r="C63" s="276" t="s">
        <v>491</v>
      </c>
      <c r="D63" s="277"/>
      <c r="E63" s="277">
        <v>13000</v>
      </c>
      <c r="F63" s="278">
        <v>43069</v>
      </c>
      <c r="G63" s="278">
        <v>43069</v>
      </c>
    </row>
    <row r="64" spans="1:7" s="262" customFormat="1" ht="36" customHeight="1" x14ac:dyDescent="0.2">
      <c r="A64" s="1151" t="s">
        <v>492</v>
      </c>
      <c r="B64" s="1152"/>
      <c r="C64" s="270" t="s">
        <v>493</v>
      </c>
      <c r="D64" s="271"/>
      <c r="E64" s="271">
        <v>20000</v>
      </c>
      <c r="F64" s="272">
        <v>43069</v>
      </c>
      <c r="G64" s="272">
        <v>43069</v>
      </c>
    </row>
    <row r="65" spans="1:8" s="262" customFormat="1" ht="28.5" hidden="1" customHeight="1" x14ac:dyDescent="0.2">
      <c r="A65" s="1151"/>
      <c r="B65" s="1152"/>
      <c r="C65" s="270"/>
      <c r="D65" s="271"/>
      <c r="E65" s="271"/>
      <c r="F65" s="272"/>
      <c r="G65" s="272"/>
    </row>
    <row r="66" spans="1:8" s="262" customFormat="1" ht="28.5" hidden="1" customHeight="1" x14ac:dyDescent="0.2">
      <c r="A66" s="1154"/>
      <c r="B66" s="1155"/>
      <c r="C66" s="273"/>
      <c r="D66" s="274"/>
      <c r="E66" s="274"/>
      <c r="F66" s="275"/>
      <c r="G66" s="275"/>
      <c r="H66" s="282"/>
    </row>
    <row r="67" spans="1:8" s="262" customFormat="1" ht="28.5" hidden="1" customHeight="1" x14ac:dyDescent="0.2">
      <c r="A67" s="1154"/>
      <c r="B67" s="1155"/>
      <c r="C67" s="273"/>
      <c r="D67" s="274"/>
      <c r="E67" s="274"/>
      <c r="F67" s="275"/>
      <c r="G67" s="275"/>
      <c r="H67" s="282"/>
    </row>
    <row r="68" spans="1:8" s="262" customFormat="1" ht="28.5" hidden="1" customHeight="1" x14ac:dyDescent="0.2">
      <c r="A68" s="1154"/>
      <c r="B68" s="1155"/>
      <c r="C68" s="273"/>
      <c r="D68" s="274"/>
      <c r="E68" s="274"/>
      <c r="F68" s="275"/>
      <c r="G68" s="275"/>
    </row>
    <row r="69" spans="1:8" s="262" customFormat="1" ht="28.5" hidden="1" customHeight="1" x14ac:dyDescent="0.2">
      <c r="A69" s="1154"/>
      <c r="B69" s="1155"/>
      <c r="C69" s="273"/>
      <c r="D69" s="274"/>
      <c r="E69" s="274"/>
      <c r="F69" s="275"/>
      <c r="G69" s="275"/>
    </row>
    <row r="70" spans="1:8" s="262" customFormat="1" ht="27.75" hidden="1" customHeight="1" x14ac:dyDescent="0.2">
      <c r="A70" s="1154"/>
      <c r="B70" s="1157"/>
      <c r="C70" s="273"/>
      <c r="D70" s="274"/>
      <c r="E70" s="274"/>
      <c r="F70" s="275"/>
      <c r="G70" s="275"/>
    </row>
    <row r="71" spans="1:8" s="262" customFormat="1" ht="37.5" hidden="1" customHeight="1" x14ac:dyDescent="0.2">
      <c r="A71" s="1146"/>
      <c r="B71" s="1101"/>
      <c r="C71" s="270"/>
      <c r="D71" s="271"/>
      <c r="E71" s="271"/>
      <c r="F71" s="272"/>
      <c r="G71" s="272"/>
    </row>
    <row r="72" spans="1:8" s="262" customFormat="1" ht="28.5" hidden="1" customHeight="1" x14ac:dyDescent="0.2">
      <c r="A72" s="1151"/>
      <c r="B72" s="1152"/>
      <c r="C72" s="270"/>
      <c r="D72" s="271"/>
      <c r="E72" s="271"/>
      <c r="F72" s="272"/>
      <c r="G72" s="272"/>
    </row>
    <row r="73" spans="1:8" s="262" customFormat="1" ht="26.25" customHeight="1" x14ac:dyDescent="0.2">
      <c r="A73" s="1146" t="s">
        <v>494</v>
      </c>
      <c r="B73" s="1153"/>
      <c r="C73" s="276" t="s">
        <v>123</v>
      </c>
      <c r="D73" s="277"/>
      <c r="E73" s="277">
        <v>22000</v>
      </c>
      <c r="F73" s="278">
        <v>43069</v>
      </c>
      <c r="G73" s="278">
        <v>43069</v>
      </c>
    </row>
    <row r="74" spans="1:8" s="262" customFormat="1" ht="24.75" customHeight="1" x14ac:dyDescent="0.2">
      <c r="A74" s="1162" t="s">
        <v>495</v>
      </c>
      <c r="B74" s="1171"/>
      <c r="C74" s="276" t="s">
        <v>131</v>
      </c>
      <c r="D74" s="277"/>
      <c r="E74" s="277">
        <v>-694</v>
      </c>
      <c r="F74" s="278">
        <v>43076</v>
      </c>
      <c r="G74" s="278">
        <v>43076</v>
      </c>
    </row>
    <row r="75" spans="1:8" s="262" customFormat="1" ht="15.75" customHeight="1" x14ac:dyDescent="0.2">
      <c r="A75" s="1146" t="s">
        <v>496</v>
      </c>
      <c r="B75" s="1101"/>
      <c r="C75" s="276" t="s">
        <v>239</v>
      </c>
      <c r="D75" s="277"/>
      <c r="E75" s="277">
        <v>-5400</v>
      </c>
      <c r="F75" s="278">
        <v>43076</v>
      </c>
      <c r="G75" s="278">
        <v>43076</v>
      </c>
    </row>
    <row r="76" spans="1:8" s="262" customFormat="1" ht="22.5" customHeight="1" x14ac:dyDescent="0.2">
      <c r="A76" s="1146" t="s">
        <v>497</v>
      </c>
      <c r="B76" s="1101"/>
      <c r="C76" s="276" t="s">
        <v>123</v>
      </c>
      <c r="D76" s="277"/>
      <c r="E76" s="277">
        <v>4794</v>
      </c>
      <c r="F76" s="278">
        <v>43076</v>
      </c>
      <c r="G76" s="278">
        <v>43076</v>
      </c>
    </row>
    <row r="77" spans="1:8" s="262" customFormat="1" ht="15" customHeight="1" x14ac:dyDescent="0.2">
      <c r="A77" s="1146" t="s">
        <v>498</v>
      </c>
      <c r="B77" s="1101"/>
      <c r="C77" s="276" t="s">
        <v>211</v>
      </c>
      <c r="D77" s="277"/>
      <c r="E77" s="277">
        <v>1300</v>
      </c>
      <c r="F77" s="278">
        <v>43076</v>
      </c>
      <c r="G77" s="278">
        <v>43076</v>
      </c>
    </row>
    <row r="78" spans="1:8" s="262" customFormat="1" ht="37.5" customHeight="1" x14ac:dyDescent="0.2">
      <c r="A78" s="1162" t="s">
        <v>499</v>
      </c>
      <c r="B78" s="1171"/>
      <c r="C78" s="276">
        <v>502</v>
      </c>
      <c r="D78" s="277"/>
      <c r="E78" s="277">
        <v>-33000</v>
      </c>
      <c r="F78" s="278">
        <v>43091</v>
      </c>
      <c r="G78" s="278">
        <v>43091</v>
      </c>
    </row>
    <row r="79" spans="1:8" s="262" customFormat="1" ht="15" customHeight="1" x14ac:dyDescent="0.2">
      <c r="A79" s="1146" t="s">
        <v>500</v>
      </c>
      <c r="B79" s="1153"/>
      <c r="C79" s="276" t="s">
        <v>209</v>
      </c>
      <c r="D79" s="277"/>
      <c r="E79" s="277">
        <v>12400</v>
      </c>
      <c r="F79" s="278">
        <v>43091</v>
      </c>
      <c r="G79" s="278">
        <v>43091</v>
      </c>
    </row>
    <row r="80" spans="1:8" s="262" customFormat="1" ht="12" hidden="1" customHeight="1" x14ac:dyDescent="0.2">
      <c r="A80" s="1151"/>
      <c r="B80" s="1152"/>
      <c r="C80" s="270"/>
      <c r="D80" s="271"/>
      <c r="E80" s="271"/>
      <c r="F80" s="272"/>
      <c r="G80" s="272"/>
    </row>
    <row r="81" spans="1:8" s="262" customFormat="1" ht="13.5" customHeight="1" x14ac:dyDescent="0.2">
      <c r="A81" s="1146" t="s">
        <v>1307</v>
      </c>
      <c r="B81" s="1101"/>
      <c r="C81" s="276" t="s">
        <v>211</v>
      </c>
      <c r="D81" s="277"/>
      <c r="E81" s="277">
        <v>16000</v>
      </c>
      <c r="F81" s="278">
        <v>43091</v>
      </c>
      <c r="G81" s="278">
        <v>43091</v>
      </c>
      <c r="H81" s="286"/>
    </row>
    <row r="82" spans="1:8" s="262" customFormat="1" ht="23.25" customHeight="1" x14ac:dyDescent="0.2">
      <c r="A82" s="1146" t="s">
        <v>501</v>
      </c>
      <c r="B82" s="1101"/>
      <c r="C82" s="276" t="s">
        <v>123</v>
      </c>
      <c r="D82" s="277"/>
      <c r="E82" s="277">
        <v>4600</v>
      </c>
      <c r="F82" s="278">
        <v>43091</v>
      </c>
      <c r="G82" s="278">
        <v>43091</v>
      </c>
      <c r="H82" s="286"/>
    </row>
    <row r="83" spans="1:8" s="262" customFormat="1" ht="15" customHeight="1" x14ac:dyDescent="0.2">
      <c r="A83" s="1158" t="s">
        <v>1306</v>
      </c>
      <c r="B83" s="1101"/>
      <c r="C83" s="276" t="s">
        <v>125</v>
      </c>
      <c r="D83" s="277"/>
      <c r="E83" s="277">
        <v>-30.65</v>
      </c>
      <c r="F83" s="278">
        <v>43091</v>
      </c>
      <c r="G83" s="278">
        <v>43091</v>
      </c>
      <c r="H83" s="286"/>
    </row>
    <row r="84" spans="1:8" s="262" customFormat="1" ht="55.5" hidden="1" customHeight="1" x14ac:dyDescent="0.2">
      <c r="A84" s="1158"/>
      <c r="B84" s="1101"/>
      <c r="C84" s="276"/>
      <c r="D84" s="277"/>
      <c r="E84" s="277"/>
      <c r="F84" s="278"/>
      <c r="G84" s="278"/>
    </row>
    <row r="85" spans="1:8" s="262" customFormat="1" ht="12" x14ac:dyDescent="0.2">
      <c r="A85" s="1146" t="s">
        <v>502</v>
      </c>
      <c r="B85" s="1153"/>
      <c r="C85" s="276" t="s">
        <v>209</v>
      </c>
      <c r="D85" s="277"/>
      <c r="E85" s="277">
        <v>30.65</v>
      </c>
      <c r="F85" s="278">
        <v>43091</v>
      </c>
      <c r="G85" s="278">
        <v>43091</v>
      </c>
      <c r="H85" s="286"/>
    </row>
    <row r="86" spans="1:8" s="262" customFormat="1" ht="23.25" customHeight="1" x14ac:dyDescent="0.2">
      <c r="A86" s="1149" t="s">
        <v>503</v>
      </c>
      <c r="B86" s="1152"/>
      <c r="C86" s="270" t="s">
        <v>129</v>
      </c>
      <c r="D86" s="271">
        <v>1000</v>
      </c>
      <c r="E86" s="271"/>
      <c r="F86" s="272">
        <v>43096</v>
      </c>
      <c r="G86" s="272">
        <v>43096</v>
      </c>
    </row>
    <row r="87" spans="1:8" s="262" customFormat="1" ht="14.25" customHeight="1" x14ac:dyDescent="0.2">
      <c r="A87" s="1151" t="s">
        <v>504</v>
      </c>
      <c r="B87" s="1152"/>
      <c r="C87" s="270" t="s">
        <v>211</v>
      </c>
      <c r="D87" s="271"/>
      <c r="E87" s="271">
        <v>1000</v>
      </c>
      <c r="F87" s="272">
        <v>43096</v>
      </c>
      <c r="G87" s="272">
        <v>43096</v>
      </c>
    </row>
    <row r="88" spans="1:8" s="262" customFormat="1" ht="28.5" hidden="1" customHeight="1" x14ac:dyDescent="0.2">
      <c r="A88" s="1154"/>
      <c r="B88" s="1155"/>
      <c r="C88" s="273"/>
      <c r="D88" s="274"/>
      <c r="E88" s="274"/>
      <c r="F88" s="275"/>
      <c r="G88" s="275"/>
    </row>
    <row r="89" spans="1:8" s="262" customFormat="1" ht="28.5" hidden="1" customHeight="1" x14ac:dyDescent="0.2">
      <c r="A89" s="1151"/>
      <c r="B89" s="1152"/>
      <c r="C89" s="270"/>
      <c r="D89" s="271"/>
      <c r="E89" s="271"/>
      <c r="F89" s="272"/>
      <c r="G89" s="272"/>
    </row>
    <row r="90" spans="1:8" s="262" customFormat="1" ht="28.5" hidden="1" customHeight="1" x14ac:dyDescent="0.2">
      <c r="A90" s="1151"/>
      <c r="B90" s="1152"/>
      <c r="C90" s="270"/>
      <c r="D90" s="271"/>
      <c r="E90" s="271"/>
      <c r="F90" s="272"/>
      <c r="G90" s="272"/>
    </row>
    <row r="91" spans="1:8" s="262" customFormat="1" ht="28.5" hidden="1" customHeight="1" x14ac:dyDescent="0.2">
      <c r="A91" s="1178"/>
      <c r="B91" s="1179"/>
      <c r="C91" s="287"/>
      <c r="D91" s="288"/>
      <c r="E91" s="288"/>
      <c r="F91" s="289"/>
      <c r="G91" s="289"/>
    </row>
    <row r="92" spans="1:8" s="262" customFormat="1" ht="12" customHeight="1" x14ac:dyDescent="0.2">
      <c r="A92" s="1174" t="s">
        <v>132</v>
      </c>
      <c r="B92" s="1175"/>
      <c r="C92" s="290"/>
      <c r="D92" s="291">
        <v>605469</v>
      </c>
      <c r="E92" s="291">
        <v>605469</v>
      </c>
      <c r="F92" s="1180"/>
      <c r="G92" s="1181"/>
    </row>
    <row r="93" spans="1:8" s="260" customFormat="1" ht="12.75" customHeight="1" x14ac:dyDescent="0.25">
      <c r="A93" s="619"/>
      <c r="B93" s="262"/>
      <c r="C93" s="262"/>
      <c r="D93" s="262"/>
      <c r="E93" s="262"/>
      <c r="F93" s="262"/>
      <c r="G93" s="262"/>
    </row>
    <row r="94" spans="1:8" s="260" customFormat="1" ht="15.75" x14ac:dyDescent="0.25">
      <c r="A94" s="1182" t="s">
        <v>505</v>
      </c>
      <c r="B94" s="1182"/>
      <c r="C94" s="1182"/>
      <c r="D94" s="1182"/>
      <c r="E94" s="1182"/>
      <c r="F94" s="1182"/>
      <c r="G94" s="1182"/>
    </row>
    <row r="95" spans="1:8" s="260" customFormat="1" ht="15" x14ac:dyDescent="0.25">
      <c r="A95" s="620"/>
    </row>
    <row r="96" spans="1:8" s="260" customFormat="1" ht="34.5" customHeight="1" x14ac:dyDescent="0.25">
      <c r="A96" s="1144" t="s">
        <v>114</v>
      </c>
      <c r="B96" s="1145"/>
      <c r="C96" s="261" t="s">
        <v>115</v>
      </c>
      <c r="D96" s="261" t="s">
        <v>116</v>
      </c>
      <c r="E96" s="261" t="s">
        <v>117</v>
      </c>
      <c r="F96" s="261" t="s">
        <v>118</v>
      </c>
      <c r="G96" s="261" t="s">
        <v>119</v>
      </c>
    </row>
    <row r="97" spans="1:7" s="262" customFormat="1" ht="0.75" customHeight="1" x14ac:dyDescent="0.2">
      <c r="A97" s="1172"/>
      <c r="B97" s="1173"/>
      <c r="C97" s="621"/>
      <c r="D97" s="622"/>
      <c r="E97" s="623"/>
      <c r="F97" s="624"/>
      <c r="G97" s="624"/>
    </row>
    <row r="98" spans="1:7" s="262" customFormat="1" ht="12" hidden="1" customHeight="1" x14ac:dyDescent="0.2">
      <c r="A98" s="625"/>
      <c r="B98" s="626"/>
      <c r="C98" s="627"/>
      <c r="D98" s="627"/>
      <c r="E98" s="628"/>
      <c r="F98" s="629"/>
      <c r="G98" s="629"/>
    </row>
    <row r="99" spans="1:7" s="262" customFormat="1" ht="12" hidden="1" customHeight="1" x14ac:dyDescent="0.2">
      <c r="A99" s="630"/>
      <c r="B99" s="631"/>
      <c r="C99" s="632"/>
      <c r="D99" s="633"/>
      <c r="E99" s="633"/>
      <c r="F99" s="634"/>
      <c r="G99" s="634"/>
    </row>
    <row r="100" spans="1:7" s="262" customFormat="1" ht="12" hidden="1" customHeight="1" x14ac:dyDescent="0.2">
      <c r="A100" s="635"/>
      <c r="B100" s="636"/>
      <c r="C100" s="637"/>
      <c r="D100" s="637"/>
      <c r="E100" s="638"/>
      <c r="F100" s="638"/>
      <c r="G100" s="638"/>
    </row>
    <row r="101" spans="1:7" s="262" customFormat="1" ht="12" hidden="1" customHeight="1" x14ac:dyDescent="0.2">
      <c r="A101" s="635"/>
      <c r="B101" s="636"/>
      <c r="C101" s="637"/>
      <c r="D101" s="637"/>
      <c r="E101" s="638"/>
      <c r="F101" s="638"/>
      <c r="G101" s="638"/>
    </row>
    <row r="102" spans="1:7" s="262" customFormat="1" ht="12" hidden="1" customHeight="1" x14ac:dyDescent="0.2">
      <c r="A102" s="635"/>
      <c r="B102" s="636"/>
      <c r="C102" s="637"/>
      <c r="D102" s="637"/>
      <c r="E102" s="638"/>
      <c r="F102" s="638"/>
      <c r="G102" s="638"/>
    </row>
    <row r="103" spans="1:7" s="262" customFormat="1" ht="12" hidden="1" customHeight="1" x14ac:dyDescent="0.2">
      <c r="A103" s="635"/>
      <c r="B103" s="636"/>
      <c r="C103" s="637"/>
      <c r="D103" s="637"/>
      <c r="E103" s="638"/>
      <c r="F103" s="638"/>
      <c r="G103" s="638"/>
    </row>
    <row r="104" spans="1:7" s="262" customFormat="1" ht="12" hidden="1" customHeight="1" x14ac:dyDescent="0.2">
      <c r="A104" s="635"/>
      <c r="B104" s="636"/>
      <c r="C104" s="637"/>
      <c r="D104" s="637"/>
      <c r="E104" s="638"/>
      <c r="F104" s="638"/>
      <c r="G104" s="638"/>
    </row>
    <row r="105" spans="1:7" s="262" customFormat="1" ht="12" hidden="1" customHeight="1" x14ac:dyDescent="0.2">
      <c r="A105" s="635"/>
      <c r="B105" s="636"/>
      <c r="C105" s="637"/>
      <c r="D105" s="637"/>
      <c r="E105" s="638"/>
      <c r="F105" s="638"/>
      <c r="G105" s="638"/>
    </row>
    <row r="106" spans="1:7" s="262" customFormat="1" ht="12" hidden="1" customHeight="1" x14ac:dyDescent="0.2">
      <c r="A106" s="635"/>
      <c r="B106" s="636"/>
      <c r="C106" s="637"/>
      <c r="D106" s="637"/>
      <c r="E106" s="638"/>
      <c r="F106" s="638"/>
      <c r="G106" s="638"/>
    </row>
    <row r="107" spans="1:7" s="262" customFormat="1" ht="12" hidden="1" customHeight="1" x14ac:dyDescent="0.2">
      <c r="A107" s="635"/>
      <c r="B107" s="636"/>
      <c r="C107" s="637"/>
      <c r="D107" s="637"/>
      <c r="E107" s="638"/>
      <c r="F107" s="638"/>
      <c r="G107" s="638"/>
    </row>
    <row r="108" spans="1:7" s="262" customFormat="1" ht="12" hidden="1" customHeight="1" x14ac:dyDescent="0.2">
      <c r="A108" s="635"/>
      <c r="B108" s="636"/>
      <c r="C108" s="639"/>
      <c r="D108" s="637"/>
      <c r="E108" s="638"/>
      <c r="F108" s="638"/>
      <c r="G108" s="638"/>
    </row>
    <row r="109" spans="1:7" s="262" customFormat="1" ht="12" hidden="1" customHeight="1" x14ac:dyDescent="0.2">
      <c r="A109" s="635"/>
      <c r="B109" s="636"/>
      <c r="C109" s="639"/>
      <c r="D109" s="640"/>
      <c r="E109" s="638"/>
      <c r="F109" s="638"/>
      <c r="G109" s="638"/>
    </row>
    <row r="110" spans="1:7" s="262" customFormat="1" ht="12" customHeight="1" x14ac:dyDescent="0.2">
      <c r="A110" s="1183"/>
      <c r="B110" s="1184"/>
      <c r="C110" s="641"/>
      <c r="D110" s="642"/>
      <c r="E110" s="643"/>
      <c r="F110" s="643"/>
      <c r="G110" s="643"/>
    </row>
    <row r="111" spans="1:7" s="262" customFormat="1" ht="15.75" customHeight="1" x14ac:dyDescent="0.2">
      <c r="A111" s="1174" t="s">
        <v>132</v>
      </c>
      <c r="B111" s="1175"/>
      <c r="C111" s="290"/>
      <c r="D111" s="291">
        <f>SUM(D97:D110)</f>
        <v>0</v>
      </c>
      <c r="E111" s="291">
        <f>SUM(E97:E110)</f>
        <v>0</v>
      </c>
      <c r="F111" s="1176"/>
      <c r="G111" s="1177"/>
    </row>
    <row r="112" spans="1:7" s="618" customFormat="1" ht="28.5" customHeight="1" x14ac:dyDescent="0.2">
      <c r="A112" s="1134" t="s">
        <v>1308</v>
      </c>
      <c r="B112" s="1135"/>
      <c r="C112" s="1135"/>
      <c r="D112" s="1135"/>
      <c r="E112" s="1135"/>
      <c r="F112" s="1135"/>
      <c r="G112" s="1136"/>
    </row>
    <row r="113" spans="1:9" s="181" customFormat="1" ht="11.25" x14ac:dyDescent="0.2">
      <c r="C113" s="186"/>
    </row>
    <row r="114" spans="1:9" s="181" customFormat="1" ht="15" customHeight="1" x14ac:dyDescent="0.2">
      <c r="A114" s="426"/>
      <c r="B114" s="426"/>
      <c r="C114" s="237"/>
      <c r="D114" s="237"/>
      <c r="E114" s="238"/>
    </row>
    <row r="115" spans="1:9" s="181" customFormat="1" x14ac:dyDescent="0.2">
      <c r="A115" s="1137" t="s">
        <v>506</v>
      </c>
      <c r="B115" s="1137"/>
      <c r="C115" s="1137"/>
      <c r="D115" s="1137"/>
      <c r="E115" s="1137"/>
      <c r="F115" s="1137"/>
      <c r="G115" s="1137"/>
      <c r="H115" s="1137"/>
      <c r="I115" s="1137"/>
    </row>
    <row r="116" spans="1:9" s="181" customFormat="1" ht="15" x14ac:dyDescent="0.25">
      <c r="A116" s="644"/>
    </row>
    <row r="117" spans="1:9" s="181" customFormat="1" ht="92.25" customHeight="1" x14ac:dyDescent="0.2">
      <c r="A117" s="1131" t="s">
        <v>507</v>
      </c>
      <c r="B117" s="1132"/>
      <c r="C117" s="1132"/>
      <c r="D117" s="1132"/>
      <c r="E117" s="1132"/>
      <c r="F117" s="1132"/>
      <c r="G117" s="1132"/>
      <c r="H117" s="1132"/>
      <c r="I117" s="1133"/>
    </row>
    <row r="118" spans="1:9" s="181" customFormat="1" ht="15" x14ac:dyDescent="0.2">
      <c r="A118" s="1138"/>
      <c r="B118" s="1139"/>
      <c r="C118" s="1139"/>
      <c r="D118" s="1139"/>
      <c r="E118" s="1139"/>
      <c r="F118" s="1139"/>
      <c r="G118" s="1139"/>
      <c r="H118" s="1139"/>
      <c r="I118" s="1140"/>
    </row>
    <row r="119" spans="1:9" s="181" customFormat="1" ht="0.75" customHeight="1" x14ac:dyDescent="0.2">
      <c r="A119" s="1034"/>
      <c r="B119" s="1035"/>
      <c r="C119" s="1035"/>
      <c r="D119" s="1035"/>
      <c r="E119" s="1035"/>
      <c r="F119" s="1035"/>
      <c r="G119" s="1035"/>
      <c r="H119" s="1035"/>
      <c r="I119" s="1036"/>
    </row>
    <row r="120" spans="1:9" s="181" customFormat="1" ht="11.25" hidden="1" x14ac:dyDescent="0.2"/>
    <row r="121" spans="1:9" s="180" customFormat="1" x14ac:dyDescent="0.2">
      <c r="A121" s="1130" t="s">
        <v>508</v>
      </c>
      <c r="B121" s="1130"/>
      <c r="C121" s="1130"/>
      <c r="D121" s="1130"/>
      <c r="E121" s="1130"/>
      <c r="F121" s="1130"/>
      <c r="G121" s="1130"/>
      <c r="H121" s="1130"/>
      <c r="I121" s="1130"/>
    </row>
    <row r="122" spans="1:9" s="181" customFormat="1" ht="11.25" x14ac:dyDescent="0.2"/>
    <row r="123" spans="1:9" s="181" customFormat="1" ht="140.25" customHeight="1" x14ac:dyDescent="0.2">
      <c r="A123" s="1131" t="s">
        <v>509</v>
      </c>
      <c r="B123" s="1132"/>
      <c r="C123" s="1132"/>
      <c r="D123" s="1132"/>
      <c r="E123" s="1132"/>
      <c r="F123" s="1132"/>
      <c r="G123" s="1132"/>
      <c r="H123" s="1132"/>
      <c r="I123" s="1133"/>
    </row>
    <row r="126" spans="1:9" x14ac:dyDescent="0.2">
      <c r="A126" s="239"/>
    </row>
    <row r="127" spans="1:9" x14ac:dyDescent="0.2">
      <c r="A127" s="239"/>
    </row>
  </sheetData>
  <mergeCells count="90">
    <mergeCell ref="A97:B97"/>
    <mergeCell ref="A111:B111"/>
    <mergeCell ref="F111:G111"/>
    <mergeCell ref="A89:B89"/>
    <mergeCell ref="A90:B90"/>
    <mergeCell ref="A91:B91"/>
    <mergeCell ref="A92:B92"/>
    <mergeCell ref="A96:B96"/>
    <mergeCell ref="F92:G92"/>
    <mergeCell ref="A94:G94"/>
    <mergeCell ref="A110:B110"/>
    <mergeCell ref="A84:B84"/>
    <mergeCell ref="A85:B85"/>
    <mergeCell ref="A86:B86"/>
    <mergeCell ref="A87:B87"/>
    <mergeCell ref="A88:B88"/>
    <mergeCell ref="A83:B83"/>
    <mergeCell ref="A72:B72"/>
    <mergeCell ref="A73:B73"/>
    <mergeCell ref="A74:B74"/>
    <mergeCell ref="A75:B75"/>
    <mergeCell ref="A76:B76"/>
    <mergeCell ref="A77:B77"/>
    <mergeCell ref="A78:B78"/>
    <mergeCell ref="A79:B79"/>
    <mergeCell ref="A80:B80"/>
    <mergeCell ref="A81:B81"/>
    <mergeCell ref="A82:B82"/>
    <mergeCell ref="A35:I35"/>
    <mergeCell ref="D37:I37"/>
    <mergeCell ref="A59:B59"/>
    <mergeCell ref="A55:B55"/>
    <mergeCell ref="A56:B56"/>
    <mergeCell ref="A57:B57"/>
    <mergeCell ref="A50:B50"/>
    <mergeCell ref="A51:B51"/>
    <mergeCell ref="A53:B53"/>
    <mergeCell ref="A54:B54"/>
    <mergeCell ref="D38:I38"/>
    <mergeCell ref="C39:I39"/>
    <mergeCell ref="A41:I41"/>
    <mergeCell ref="C43:I43"/>
    <mergeCell ref="A58:B58"/>
    <mergeCell ref="C44:I44"/>
    <mergeCell ref="F27:I27"/>
    <mergeCell ref="A29:I29"/>
    <mergeCell ref="D31:I31"/>
    <mergeCell ref="D32:I32"/>
    <mergeCell ref="C33:I33"/>
    <mergeCell ref="A3:I3"/>
    <mergeCell ref="A5:B5"/>
    <mergeCell ref="D5:I5"/>
    <mergeCell ref="A6:B6"/>
    <mergeCell ref="D6:I6"/>
    <mergeCell ref="A7:B7"/>
    <mergeCell ref="D7:I7"/>
    <mergeCell ref="F26:I26"/>
    <mergeCell ref="A8:B8"/>
    <mergeCell ref="D8:I8"/>
    <mergeCell ref="A9:B9"/>
    <mergeCell ref="D9:I9"/>
    <mergeCell ref="A11:I11"/>
    <mergeCell ref="A15:A17"/>
    <mergeCell ref="A20:I20"/>
    <mergeCell ref="F22:I22"/>
    <mergeCell ref="F23:I23"/>
    <mergeCell ref="F24:I24"/>
    <mergeCell ref="F25:I25"/>
    <mergeCell ref="C45:I45"/>
    <mergeCell ref="A47:I47"/>
    <mergeCell ref="A49:B49"/>
    <mergeCell ref="A71:B71"/>
    <mergeCell ref="A60:B60"/>
    <mergeCell ref="A61:B61"/>
    <mergeCell ref="A62:B62"/>
    <mergeCell ref="A63:B63"/>
    <mergeCell ref="A64:B64"/>
    <mergeCell ref="A65:B65"/>
    <mergeCell ref="A66:B66"/>
    <mergeCell ref="A67:B67"/>
    <mergeCell ref="A68:B68"/>
    <mergeCell ref="A69:B69"/>
    <mergeCell ref="A70:B70"/>
    <mergeCell ref="A121:I121"/>
    <mergeCell ref="A123:I123"/>
    <mergeCell ref="A112:G112"/>
    <mergeCell ref="A115:I115"/>
    <mergeCell ref="A117:I117"/>
    <mergeCell ref="A118:I118"/>
    <mergeCell ref="A119:I119"/>
  </mergeCells>
  <pageMargins left="0.70866141732283472" right="0.70866141732283472" top="0.78740157480314965" bottom="0.78740157480314965" header="0.31496062992125984" footer="0.31496062992125984"/>
  <pageSetup paperSize="9" scale="72" firstPageNumber="90" fitToHeight="7" orientation="portrait" useFirstPageNumber="1"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1"/>
  <sheetViews>
    <sheetView zoomScale="150" zoomScaleNormal="150" workbookViewId="0">
      <selection activeCell="A107" sqref="A107:XFD107"/>
    </sheetView>
  </sheetViews>
  <sheetFormatPr defaultColWidth="6.5" defaultRowHeight="8.25" x14ac:dyDescent="0.15"/>
  <cols>
    <col min="1" max="1" width="5.5" style="1" customWidth="1"/>
    <col min="2" max="2" width="6.5" customWidth="1"/>
    <col min="3" max="3" width="36.75" customWidth="1"/>
    <col min="4" max="4" width="8.5" customWidth="1"/>
    <col min="5" max="5" width="15.25" customWidth="1"/>
    <col min="6" max="6" width="14.75" customWidth="1"/>
    <col min="7" max="7" width="16.25" customWidth="1"/>
    <col min="8" max="8" width="8.75" customWidth="1"/>
    <col min="9" max="9" width="15" customWidth="1"/>
    <col min="10" max="11" width="15.5" customWidth="1"/>
    <col min="12" max="12" width="14.25" customWidth="1"/>
    <col min="13" max="13" width="11" customWidth="1"/>
    <col min="14" max="14" width="16" customWidth="1"/>
    <col min="15" max="15" width="16.5" customWidth="1"/>
    <col min="16" max="16" width="16" customWidth="1"/>
    <col min="17" max="17" width="16.75" customWidth="1"/>
    <col min="18" max="18" width="8.25" customWidth="1"/>
    <col min="19" max="19" width="20.5" customWidth="1"/>
    <col min="20" max="20" width="9.5" customWidth="1"/>
    <col min="21" max="21" width="8" customWidth="1"/>
    <col min="22" max="22" width="0.75" customWidth="1"/>
    <col min="23" max="23" width="8.75" customWidth="1"/>
    <col min="24" max="24" width="11" customWidth="1"/>
  </cols>
  <sheetData>
    <row r="1" spans="1:28" s="2" customFormat="1" ht="15.75" x14ac:dyDescent="0.25">
      <c r="A1" s="1019" t="s">
        <v>342</v>
      </c>
      <c r="B1" s="1019"/>
      <c r="C1" s="1019"/>
      <c r="D1" s="1019"/>
      <c r="E1" s="1019"/>
      <c r="F1" s="1019"/>
      <c r="G1" s="1019"/>
      <c r="H1" s="1019"/>
      <c r="I1" s="1019"/>
      <c r="J1" s="1019"/>
      <c r="K1" s="1019"/>
      <c r="L1" s="1019"/>
      <c r="M1" s="1019"/>
      <c r="N1" s="1019"/>
      <c r="O1" s="1019"/>
      <c r="P1" s="1019"/>
      <c r="Q1" s="1019"/>
      <c r="R1" s="1019"/>
      <c r="S1" s="1019"/>
      <c r="T1" s="1019"/>
      <c r="U1" s="1019"/>
      <c r="V1" s="1019"/>
      <c r="W1" s="1019"/>
      <c r="X1" s="1019"/>
    </row>
    <row r="3" spans="1:28" s="3" customFormat="1" ht="9.75" customHeight="1" x14ac:dyDescent="0.2">
      <c r="A3" s="1188" t="s">
        <v>40</v>
      </c>
      <c r="B3" s="1191" t="s">
        <v>41</v>
      </c>
      <c r="C3" s="1190"/>
      <c r="D3" s="1191" t="s">
        <v>42</v>
      </c>
      <c r="E3" s="1192" t="s">
        <v>77</v>
      </c>
      <c r="F3" s="1192"/>
      <c r="G3" s="1192"/>
      <c r="H3" s="1192"/>
      <c r="I3" s="1192"/>
      <c r="J3" s="1192" t="s">
        <v>39</v>
      </c>
      <c r="K3" s="1192"/>
      <c r="L3" s="1192"/>
      <c r="M3" s="1192"/>
      <c r="N3" s="1192"/>
      <c r="O3" s="1192" t="s">
        <v>78</v>
      </c>
      <c r="P3" s="1192"/>
      <c r="Q3" s="1192"/>
      <c r="R3" s="1192"/>
      <c r="S3" s="1192"/>
      <c r="T3" s="1192" t="s">
        <v>82</v>
      </c>
      <c r="U3" s="1192"/>
      <c r="V3" s="1192"/>
      <c r="W3" s="1192"/>
      <c r="X3" s="1192"/>
    </row>
    <row r="4" spans="1:28" s="4" customFormat="1" ht="9.75" customHeight="1" x14ac:dyDescent="0.2">
      <c r="A4" s="1190"/>
      <c r="B4" s="1190"/>
      <c r="C4" s="1190"/>
      <c r="D4" s="1191"/>
      <c r="E4" s="1189" t="s">
        <v>44</v>
      </c>
      <c r="F4" s="1187" t="s">
        <v>336</v>
      </c>
      <c r="G4" s="1187"/>
      <c r="H4" s="1187"/>
      <c r="I4" s="1188" t="s">
        <v>337</v>
      </c>
      <c r="J4" s="1189" t="s">
        <v>44</v>
      </c>
      <c r="K4" s="1187" t="s">
        <v>336</v>
      </c>
      <c r="L4" s="1187"/>
      <c r="M4" s="1187"/>
      <c r="N4" s="1188" t="s">
        <v>337</v>
      </c>
      <c r="O4" s="1189" t="s">
        <v>44</v>
      </c>
      <c r="P4" s="1187" t="s">
        <v>336</v>
      </c>
      <c r="Q4" s="1187"/>
      <c r="R4" s="1187"/>
      <c r="S4" s="1188" t="s">
        <v>337</v>
      </c>
      <c r="T4" s="1189" t="s">
        <v>44</v>
      </c>
      <c r="U4" s="1187" t="s">
        <v>340</v>
      </c>
      <c r="V4" s="1187"/>
      <c r="W4" s="1187"/>
      <c r="X4" s="1188" t="s">
        <v>337</v>
      </c>
    </row>
    <row r="5" spans="1:28" s="5" customFormat="1" ht="9.75" customHeight="1" x14ac:dyDescent="0.2">
      <c r="A5" s="1190"/>
      <c r="B5" s="1190"/>
      <c r="C5" s="1190"/>
      <c r="D5" s="1191"/>
      <c r="E5" s="1189"/>
      <c r="F5" s="14" t="s">
        <v>35</v>
      </c>
      <c r="G5" s="14" t="s">
        <v>36</v>
      </c>
      <c r="H5" s="14" t="s">
        <v>37</v>
      </c>
      <c r="I5" s="1188"/>
      <c r="J5" s="1189"/>
      <c r="K5" s="14" t="s">
        <v>35</v>
      </c>
      <c r="L5" s="14" t="s">
        <v>36</v>
      </c>
      <c r="M5" s="14" t="s">
        <v>37</v>
      </c>
      <c r="N5" s="1188"/>
      <c r="O5" s="1189"/>
      <c r="P5" s="14" t="s">
        <v>35</v>
      </c>
      <c r="Q5" s="14" t="s">
        <v>36</v>
      </c>
      <c r="R5" s="14" t="s">
        <v>37</v>
      </c>
      <c r="S5" s="1188"/>
      <c r="T5" s="1189"/>
      <c r="U5" s="14" t="s">
        <v>35</v>
      </c>
      <c r="V5" s="14" t="s">
        <v>36</v>
      </c>
      <c r="W5" s="14" t="s">
        <v>37</v>
      </c>
      <c r="X5" s="1188"/>
    </row>
    <row r="6" spans="1:28" s="3" customFormat="1" ht="11.25" x14ac:dyDescent="0.2">
      <c r="A6" s="453" t="s">
        <v>0</v>
      </c>
      <c r="B6" s="1094" t="s">
        <v>1</v>
      </c>
      <c r="C6" s="1094"/>
      <c r="D6" s="454" t="s">
        <v>25</v>
      </c>
      <c r="E6" s="455">
        <f>SUM(E7:E9)</f>
        <v>20551679</v>
      </c>
      <c r="F6" s="455">
        <f>SUM(F7:F9)</f>
        <v>22191818</v>
      </c>
      <c r="G6" s="455">
        <f>SUM(G7:G9)</f>
        <v>22201794</v>
      </c>
      <c r="H6" s="456">
        <v>0</v>
      </c>
      <c r="I6" s="455">
        <f>SUM(I7:I9)</f>
        <v>19006734</v>
      </c>
      <c r="J6" s="455">
        <f>SUM(J7:J9)</f>
        <v>5302362</v>
      </c>
      <c r="K6" s="455">
        <f t="shared" ref="K6:X6" si="0">SUM(K7:K9)</f>
        <v>6942501</v>
      </c>
      <c r="L6" s="455">
        <f t="shared" si="0"/>
        <v>6952477</v>
      </c>
      <c r="M6" s="456">
        <f t="shared" ref="M6:M35" si="1">L6/K6*100</f>
        <v>100.14369461379984</v>
      </c>
      <c r="N6" s="455">
        <f>SUM(N7:N9)</f>
        <v>5318374</v>
      </c>
      <c r="O6" s="455">
        <f t="shared" si="0"/>
        <v>15249317</v>
      </c>
      <c r="P6" s="455">
        <f t="shared" si="0"/>
        <v>15249317</v>
      </c>
      <c r="Q6" s="455">
        <f t="shared" si="0"/>
        <v>15249317</v>
      </c>
      <c r="R6" s="456"/>
      <c r="S6" s="455">
        <f t="shared" si="0"/>
        <v>13688360</v>
      </c>
      <c r="T6" s="455">
        <f t="shared" si="0"/>
        <v>0</v>
      </c>
      <c r="U6" s="455">
        <f t="shared" si="0"/>
        <v>0</v>
      </c>
      <c r="V6" s="455">
        <f t="shared" si="0"/>
        <v>0</v>
      </c>
      <c r="W6" s="456"/>
      <c r="X6" s="455">
        <f t="shared" si="0"/>
        <v>0</v>
      </c>
      <c r="Y6" s="120"/>
      <c r="Z6" s="120"/>
      <c r="AA6" s="120"/>
      <c r="AB6" s="120"/>
    </row>
    <row r="7" spans="1:28" s="3" customFormat="1" ht="11.25" x14ac:dyDescent="0.2">
      <c r="A7" s="457" t="s">
        <v>2</v>
      </c>
      <c r="B7" s="1085" t="s">
        <v>46</v>
      </c>
      <c r="C7" s="1085"/>
      <c r="D7" s="458" t="s">
        <v>25</v>
      </c>
      <c r="E7" s="459">
        <f t="shared" ref="E7:G10" si="2">SUM(J7,O7)</f>
        <v>1940000</v>
      </c>
      <c r="F7" s="459">
        <f t="shared" si="2"/>
        <v>2365384</v>
      </c>
      <c r="G7" s="459">
        <f t="shared" si="2"/>
        <v>2378485</v>
      </c>
      <c r="H7" s="460"/>
      <c r="I7" s="459">
        <f>SUM(N7,S7)</f>
        <v>1996542</v>
      </c>
      <c r="J7" s="461">
        <v>1940000</v>
      </c>
      <c r="K7" s="462">
        <v>2365384</v>
      </c>
      <c r="L7" s="462">
        <v>2378485</v>
      </c>
      <c r="M7" s="460">
        <f t="shared" si="1"/>
        <v>100.55386355872872</v>
      </c>
      <c r="N7" s="462">
        <v>1996542</v>
      </c>
      <c r="O7" s="462"/>
      <c r="P7" s="462"/>
      <c r="Q7" s="462"/>
      <c r="R7" s="460"/>
      <c r="S7" s="462"/>
      <c r="T7" s="462"/>
      <c r="U7" s="462"/>
      <c r="V7" s="462"/>
      <c r="W7" s="460"/>
      <c r="X7" s="462"/>
      <c r="Y7" s="120"/>
      <c r="Z7" s="120"/>
      <c r="AA7" s="120"/>
      <c r="AB7" s="120"/>
    </row>
    <row r="8" spans="1:28" s="3" customFormat="1" ht="11.25" x14ac:dyDescent="0.2">
      <c r="A8" s="463" t="s">
        <v>3</v>
      </c>
      <c r="B8" s="1095" t="s">
        <v>47</v>
      </c>
      <c r="C8" s="1095"/>
      <c r="D8" s="458" t="s">
        <v>25</v>
      </c>
      <c r="E8" s="459">
        <f t="shared" si="2"/>
        <v>3000</v>
      </c>
      <c r="F8" s="459">
        <f t="shared" si="2"/>
        <v>3000</v>
      </c>
      <c r="G8" s="459">
        <f t="shared" si="2"/>
        <v>0</v>
      </c>
      <c r="H8" s="460">
        <f t="shared" ref="H8:H29" si="3">G8/F8*100</f>
        <v>0</v>
      </c>
      <c r="I8" s="459">
        <f>SUM(N8,S8)</f>
        <v>3646</v>
      </c>
      <c r="J8" s="464">
        <v>3000</v>
      </c>
      <c r="K8" s="459">
        <v>3000</v>
      </c>
      <c r="L8" s="459">
        <v>0</v>
      </c>
      <c r="M8" s="460">
        <f t="shared" si="1"/>
        <v>0</v>
      </c>
      <c r="N8" s="459">
        <v>3646</v>
      </c>
      <c r="O8" s="459"/>
      <c r="P8" s="459"/>
      <c r="Q8" s="459"/>
      <c r="R8" s="460"/>
      <c r="S8" s="459"/>
      <c r="T8" s="459"/>
      <c r="U8" s="459"/>
      <c r="V8" s="459"/>
      <c r="W8" s="460"/>
      <c r="X8" s="459"/>
      <c r="Y8" s="120"/>
      <c r="Z8" s="120"/>
      <c r="AA8" s="120"/>
      <c r="AB8" s="120"/>
    </row>
    <row r="9" spans="1:28" s="3" customFormat="1" ht="11.25" x14ac:dyDescent="0.2">
      <c r="A9" s="463" t="s">
        <v>4</v>
      </c>
      <c r="B9" s="465" t="s">
        <v>62</v>
      </c>
      <c r="C9" s="466"/>
      <c r="D9" s="458" t="s">
        <v>25</v>
      </c>
      <c r="E9" s="459">
        <f t="shared" si="2"/>
        <v>18608679</v>
      </c>
      <c r="F9" s="459">
        <f t="shared" si="2"/>
        <v>19823434</v>
      </c>
      <c r="G9" s="459">
        <f t="shared" si="2"/>
        <v>19823309</v>
      </c>
      <c r="H9" s="460"/>
      <c r="I9" s="459">
        <f>SUM(N9,S9)</f>
        <v>17006546</v>
      </c>
      <c r="J9" s="464">
        <v>3359362</v>
      </c>
      <c r="K9" s="459">
        <v>4574117</v>
      </c>
      <c r="L9" s="459">
        <v>4573992</v>
      </c>
      <c r="M9" s="460">
        <f t="shared" si="1"/>
        <v>99.997267232123704</v>
      </c>
      <c r="N9" s="459">
        <v>3318186</v>
      </c>
      <c r="O9" s="459">
        <v>15249317</v>
      </c>
      <c r="P9" s="459">
        <v>15249317</v>
      </c>
      <c r="Q9" s="459">
        <v>15249317</v>
      </c>
      <c r="R9" s="460"/>
      <c r="S9" s="459">
        <v>13688360</v>
      </c>
      <c r="T9" s="459"/>
      <c r="U9" s="459"/>
      <c r="V9" s="459"/>
      <c r="W9" s="460"/>
      <c r="X9" s="459"/>
      <c r="Y9" s="120"/>
      <c r="Z9" s="120"/>
      <c r="AA9" s="120"/>
      <c r="AB9" s="120"/>
    </row>
    <row r="10" spans="1:28" s="3" customFormat="1" ht="11.25" x14ac:dyDescent="0.2">
      <c r="A10" s="453" t="s">
        <v>5</v>
      </c>
      <c r="B10" s="1094" t="s">
        <v>7</v>
      </c>
      <c r="C10" s="1094"/>
      <c r="D10" s="454" t="s">
        <v>25</v>
      </c>
      <c r="E10" s="467">
        <f t="shared" si="2"/>
        <v>0</v>
      </c>
      <c r="F10" s="467">
        <f t="shared" si="2"/>
        <v>0</v>
      </c>
      <c r="G10" s="467">
        <f t="shared" si="2"/>
        <v>0</v>
      </c>
      <c r="H10" s="456"/>
      <c r="I10" s="467">
        <f>SUM(N10,S10)</f>
        <v>0</v>
      </c>
      <c r="J10" s="468"/>
      <c r="K10" s="467"/>
      <c r="L10" s="467"/>
      <c r="M10" s="456"/>
      <c r="N10" s="467"/>
      <c r="O10" s="467"/>
      <c r="P10" s="467"/>
      <c r="Q10" s="467"/>
      <c r="R10" s="456"/>
      <c r="S10" s="467"/>
      <c r="T10" s="467"/>
      <c r="U10" s="467"/>
      <c r="V10" s="467"/>
      <c r="W10" s="456"/>
      <c r="X10" s="467"/>
      <c r="Y10" s="120"/>
      <c r="Z10" s="120"/>
      <c r="AA10" s="120"/>
      <c r="AB10" s="120"/>
    </row>
    <row r="11" spans="1:28" s="3" customFormat="1" ht="11.25" x14ac:dyDescent="0.2">
      <c r="A11" s="453" t="s">
        <v>6</v>
      </c>
      <c r="B11" s="1094" t="s">
        <v>9</v>
      </c>
      <c r="C11" s="1094"/>
      <c r="D11" s="454" t="s">
        <v>25</v>
      </c>
      <c r="E11" s="455">
        <f>SUM(E12:E31)</f>
        <v>20551679</v>
      </c>
      <c r="F11" s="455">
        <f>SUM(F12:F31)</f>
        <v>22191818</v>
      </c>
      <c r="G11" s="455">
        <f>SUM(G12:G31)</f>
        <v>22004829</v>
      </c>
      <c r="H11" s="456">
        <f t="shared" si="3"/>
        <v>99.157396658534239</v>
      </c>
      <c r="I11" s="455">
        <f>SUM(I12:I31)</f>
        <v>18970853</v>
      </c>
      <c r="J11" s="455">
        <f>SUM(J12:J31)</f>
        <v>5302362</v>
      </c>
      <c r="K11" s="455">
        <f>SUM(K12:K31)</f>
        <v>6942501</v>
      </c>
      <c r="L11" s="455">
        <f>SUM(L12:L31)</f>
        <v>6755512</v>
      </c>
      <c r="M11" s="456">
        <f t="shared" si="1"/>
        <v>97.306604637147331</v>
      </c>
      <c r="N11" s="455">
        <f>SUM(N12:N31)</f>
        <v>5282493</v>
      </c>
      <c r="O11" s="455">
        <f>SUM(O12:O31)</f>
        <v>15249317</v>
      </c>
      <c r="P11" s="455">
        <f>SUM(P12:P31)</f>
        <v>15249317</v>
      </c>
      <c r="Q11" s="455">
        <f>SUM(Q12:Q31)</f>
        <v>15249317</v>
      </c>
      <c r="R11" s="456"/>
      <c r="S11" s="455">
        <f>SUM(S12:S31)</f>
        <v>13688360</v>
      </c>
      <c r="T11" s="455">
        <f>SUM(T12:T31)</f>
        <v>0</v>
      </c>
      <c r="U11" s="455">
        <f>SUM(U12:U31)</f>
        <v>0</v>
      </c>
      <c r="V11" s="455">
        <f>SUM(V12:V31)</f>
        <v>0</v>
      </c>
      <c r="W11" s="456"/>
      <c r="X11" s="455">
        <f>SUM(X12:X31)</f>
        <v>0</v>
      </c>
      <c r="Y11" s="120"/>
      <c r="Z11" s="120"/>
      <c r="AA11" s="120"/>
      <c r="AB11" s="120"/>
    </row>
    <row r="12" spans="1:28" s="3" customFormat="1" ht="11.25" x14ac:dyDescent="0.2">
      <c r="A12" s="457" t="s">
        <v>8</v>
      </c>
      <c r="B12" s="1085" t="s">
        <v>28</v>
      </c>
      <c r="C12" s="1085"/>
      <c r="D12" s="458" t="s">
        <v>25</v>
      </c>
      <c r="E12" s="459">
        <f t="shared" ref="E12:I29" si="4">SUM(J12,O12)</f>
        <v>1755246</v>
      </c>
      <c r="F12" s="459">
        <f t="shared" si="4"/>
        <v>1856246</v>
      </c>
      <c r="G12" s="459">
        <f t="shared" si="4"/>
        <v>1855413</v>
      </c>
      <c r="H12" s="460">
        <f t="shared" si="3"/>
        <v>99.95512448242313</v>
      </c>
      <c r="I12" s="459">
        <f t="shared" si="4"/>
        <v>1917131</v>
      </c>
      <c r="J12" s="469">
        <v>1700000</v>
      </c>
      <c r="K12" s="470">
        <v>1801000</v>
      </c>
      <c r="L12" s="470">
        <v>1800167</v>
      </c>
      <c r="M12" s="460">
        <f t="shared" si="1"/>
        <v>99.953747917823435</v>
      </c>
      <c r="N12" s="471">
        <v>1837697</v>
      </c>
      <c r="O12" s="470">
        <v>55246</v>
      </c>
      <c r="P12" s="470">
        <v>55246</v>
      </c>
      <c r="Q12" s="470">
        <v>55246</v>
      </c>
      <c r="R12" s="460">
        <v>0</v>
      </c>
      <c r="S12" s="470">
        <v>79434</v>
      </c>
      <c r="T12" s="470"/>
      <c r="U12" s="470"/>
      <c r="V12" s="470"/>
      <c r="W12" s="460"/>
      <c r="X12" s="471"/>
      <c r="Y12" s="120"/>
      <c r="Z12" s="120"/>
      <c r="AA12" s="120"/>
      <c r="AB12" s="120"/>
    </row>
    <row r="13" spans="1:28" s="3" customFormat="1" ht="11.25" x14ac:dyDescent="0.2">
      <c r="A13" s="457" t="s">
        <v>10</v>
      </c>
      <c r="B13" s="1085" t="s">
        <v>29</v>
      </c>
      <c r="C13" s="1085"/>
      <c r="D13" s="458" t="s">
        <v>25</v>
      </c>
      <c r="E13" s="459">
        <f t="shared" si="4"/>
        <v>1400000</v>
      </c>
      <c r="F13" s="459">
        <f t="shared" si="4"/>
        <v>1280900</v>
      </c>
      <c r="G13" s="459">
        <f t="shared" si="4"/>
        <v>1182850</v>
      </c>
      <c r="H13" s="460">
        <f t="shared" si="3"/>
        <v>92.345226012959643</v>
      </c>
      <c r="I13" s="459">
        <f t="shared" si="4"/>
        <v>1289664</v>
      </c>
      <c r="J13" s="469">
        <v>1400000</v>
      </c>
      <c r="K13" s="459">
        <v>1280900</v>
      </c>
      <c r="L13" s="459">
        <v>1182850</v>
      </c>
      <c r="M13" s="460">
        <f t="shared" si="1"/>
        <v>92.345226012959643</v>
      </c>
      <c r="N13" s="459">
        <v>1289664</v>
      </c>
      <c r="O13" s="459">
        <v>0</v>
      </c>
      <c r="P13" s="459">
        <v>0</v>
      </c>
      <c r="Q13" s="459"/>
      <c r="R13" s="460"/>
      <c r="S13" s="459">
        <v>0</v>
      </c>
      <c r="T13" s="459"/>
      <c r="U13" s="459"/>
      <c r="V13" s="459"/>
      <c r="W13" s="460"/>
      <c r="X13" s="459"/>
      <c r="Y13" s="120"/>
      <c r="Z13" s="120"/>
      <c r="AA13" s="120"/>
      <c r="AB13" s="120"/>
    </row>
    <row r="14" spans="1:28" s="3" customFormat="1" ht="11.25" x14ac:dyDescent="0.2">
      <c r="A14" s="457" t="s">
        <v>11</v>
      </c>
      <c r="B14" s="465" t="s">
        <v>63</v>
      </c>
      <c r="C14" s="465"/>
      <c r="D14" s="458" t="s">
        <v>25</v>
      </c>
      <c r="E14" s="459">
        <f t="shared" si="4"/>
        <v>0</v>
      </c>
      <c r="F14" s="459">
        <f t="shared" si="4"/>
        <v>0</v>
      </c>
      <c r="G14" s="459">
        <f t="shared" si="4"/>
        <v>0</v>
      </c>
      <c r="H14" s="460"/>
      <c r="I14" s="459">
        <f t="shared" si="4"/>
        <v>0</v>
      </c>
      <c r="J14" s="469">
        <v>0</v>
      </c>
      <c r="K14" s="459">
        <v>0</v>
      </c>
      <c r="L14" s="459">
        <v>0</v>
      </c>
      <c r="M14" s="460"/>
      <c r="N14" s="459">
        <v>0</v>
      </c>
      <c r="O14" s="459">
        <v>0</v>
      </c>
      <c r="P14" s="459">
        <v>0</v>
      </c>
      <c r="Q14" s="459">
        <v>0</v>
      </c>
      <c r="R14" s="460"/>
      <c r="S14" s="459">
        <v>0</v>
      </c>
      <c r="T14" s="459"/>
      <c r="U14" s="459"/>
      <c r="V14" s="459"/>
      <c r="W14" s="460"/>
      <c r="X14" s="459"/>
      <c r="Y14" s="120"/>
      <c r="Z14" s="120"/>
      <c r="AA14" s="120"/>
      <c r="AB14" s="120"/>
    </row>
    <row r="15" spans="1:28" s="3" customFormat="1" ht="11.25" x14ac:dyDescent="0.2">
      <c r="A15" s="457" t="s">
        <v>12</v>
      </c>
      <c r="B15" s="1085" t="s">
        <v>64</v>
      </c>
      <c r="C15" s="1085"/>
      <c r="D15" s="458" t="s">
        <v>25</v>
      </c>
      <c r="E15" s="459">
        <f t="shared" si="4"/>
        <v>620000</v>
      </c>
      <c r="F15" s="459">
        <f t="shared" si="4"/>
        <v>1942254</v>
      </c>
      <c r="G15" s="459">
        <f t="shared" si="4"/>
        <v>1918335</v>
      </c>
      <c r="H15" s="460">
        <f t="shared" si="3"/>
        <v>98.768492689421677</v>
      </c>
      <c r="I15" s="459">
        <f t="shared" si="4"/>
        <v>380743</v>
      </c>
      <c r="J15" s="469">
        <v>620000</v>
      </c>
      <c r="K15" s="459">
        <v>1942254</v>
      </c>
      <c r="L15" s="459">
        <v>1918335</v>
      </c>
      <c r="M15" s="460">
        <f t="shared" si="1"/>
        <v>98.768492689421677</v>
      </c>
      <c r="N15" s="459">
        <v>380743</v>
      </c>
      <c r="O15" s="459">
        <v>0</v>
      </c>
      <c r="P15" s="459">
        <v>0</v>
      </c>
      <c r="Q15" s="459">
        <v>0</v>
      </c>
      <c r="R15" s="460"/>
      <c r="S15" s="459">
        <v>0</v>
      </c>
      <c r="T15" s="459"/>
      <c r="U15" s="459"/>
      <c r="V15" s="459"/>
      <c r="W15" s="460"/>
      <c r="X15" s="459"/>
      <c r="Y15" s="120"/>
      <c r="Z15" s="120"/>
      <c r="AA15" s="120"/>
      <c r="AB15" s="120"/>
    </row>
    <row r="16" spans="1:28" s="3" customFormat="1" ht="11.25" x14ac:dyDescent="0.2">
      <c r="A16" s="457" t="s">
        <v>13</v>
      </c>
      <c r="B16" s="1085" t="s">
        <v>30</v>
      </c>
      <c r="C16" s="1085"/>
      <c r="D16" s="458" t="s">
        <v>25</v>
      </c>
      <c r="E16" s="459">
        <f t="shared" si="4"/>
        <v>2000</v>
      </c>
      <c r="F16" s="459">
        <f t="shared" si="4"/>
        <v>2000</v>
      </c>
      <c r="G16" s="459">
        <f t="shared" si="4"/>
        <v>692</v>
      </c>
      <c r="H16" s="460">
        <f t="shared" si="3"/>
        <v>34.599999999999994</v>
      </c>
      <c r="I16" s="459">
        <f t="shared" si="4"/>
        <v>632</v>
      </c>
      <c r="J16" s="469">
        <v>2000</v>
      </c>
      <c r="K16" s="459">
        <v>2000</v>
      </c>
      <c r="L16" s="459">
        <v>692</v>
      </c>
      <c r="M16" s="460">
        <f t="shared" si="1"/>
        <v>34.599999999999994</v>
      </c>
      <c r="N16" s="459">
        <v>632</v>
      </c>
      <c r="O16" s="459">
        <v>0</v>
      </c>
      <c r="P16" s="459">
        <v>0</v>
      </c>
      <c r="Q16" s="459">
        <v>0</v>
      </c>
      <c r="R16" s="460"/>
      <c r="S16" s="459">
        <v>0</v>
      </c>
      <c r="T16" s="459"/>
      <c r="U16" s="459"/>
      <c r="V16" s="459"/>
      <c r="W16" s="460"/>
      <c r="X16" s="459"/>
      <c r="Y16" s="120"/>
      <c r="Z16" s="120"/>
      <c r="AA16" s="120"/>
      <c r="AB16" s="120"/>
    </row>
    <row r="17" spans="1:28" s="3" customFormat="1" ht="11.25" x14ac:dyDescent="0.2">
      <c r="A17" s="457" t="s">
        <v>14</v>
      </c>
      <c r="B17" s="465" t="s">
        <v>48</v>
      </c>
      <c r="C17" s="465"/>
      <c r="D17" s="458" t="s">
        <v>25</v>
      </c>
      <c r="E17" s="459">
        <f t="shared" si="4"/>
        <v>0</v>
      </c>
      <c r="F17" s="459">
        <f t="shared" si="4"/>
        <v>0</v>
      </c>
      <c r="G17" s="459">
        <f t="shared" si="4"/>
        <v>0</v>
      </c>
      <c r="H17" s="460"/>
      <c r="I17" s="459">
        <f t="shared" si="4"/>
        <v>0</v>
      </c>
      <c r="J17" s="469">
        <v>0</v>
      </c>
      <c r="K17" s="459">
        <v>0</v>
      </c>
      <c r="L17" s="459">
        <v>0</v>
      </c>
      <c r="M17" s="460"/>
      <c r="N17" s="459">
        <v>0</v>
      </c>
      <c r="O17" s="459">
        <v>0</v>
      </c>
      <c r="P17" s="459">
        <v>0</v>
      </c>
      <c r="Q17" s="459">
        <v>0</v>
      </c>
      <c r="R17" s="460"/>
      <c r="S17" s="459">
        <v>0</v>
      </c>
      <c r="T17" s="459"/>
      <c r="U17" s="459"/>
      <c r="V17" s="459"/>
      <c r="W17" s="460"/>
      <c r="X17" s="459"/>
      <c r="Y17" s="120"/>
      <c r="Z17" s="120"/>
      <c r="AA17" s="120"/>
      <c r="AB17" s="120"/>
    </row>
    <row r="18" spans="1:28" s="3" customFormat="1" ht="11.25" x14ac:dyDescent="0.2">
      <c r="A18" s="457" t="s">
        <v>15</v>
      </c>
      <c r="B18" s="1085" t="s">
        <v>31</v>
      </c>
      <c r="C18" s="1085"/>
      <c r="D18" s="458" t="s">
        <v>25</v>
      </c>
      <c r="E18" s="459">
        <f t="shared" si="4"/>
        <v>560070</v>
      </c>
      <c r="F18" s="459">
        <f t="shared" si="4"/>
        <v>780070</v>
      </c>
      <c r="G18" s="459">
        <f t="shared" si="4"/>
        <v>777146</v>
      </c>
      <c r="H18" s="460">
        <f t="shared" si="3"/>
        <v>99.625161844449863</v>
      </c>
      <c r="I18" s="459">
        <f t="shared" si="4"/>
        <v>523135</v>
      </c>
      <c r="J18" s="469">
        <v>550000</v>
      </c>
      <c r="K18" s="459">
        <v>770000</v>
      </c>
      <c r="L18" s="459">
        <v>767076</v>
      </c>
      <c r="M18" s="460">
        <f t="shared" si="1"/>
        <v>99.620259740259741</v>
      </c>
      <c r="N18" s="459">
        <v>519175</v>
      </c>
      <c r="O18" s="459">
        <v>10070</v>
      </c>
      <c r="P18" s="459">
        <v>10070</v>
      </c>
      <c r="Q18" s="459">
        <v>10070</v>
      </c>
      <c r="R18" s="460"/>
      <c r="S18" s="459">
        <v>3960</v>
      </c>
      <c r="T18" s="459"/>
      <c r="U18" s="459"/>
      <c r="V18" s="459"/>
      <c r="W18" s="460"/>
      <c r="X18" s="459"/>
      <c r="Y18" s="120"/>
      <c r="Z18" s="120"/>
      <c r="AA18" s="120"/>
      <c r="AB18" s="120"/>
    </row>
    <row r="19" spans="1:28" s="8" customFormat="1" ht="11.25" x14ac:dyDescent="0.2">
      <c r="A19" s="457" t="s">
        <v>16</v>
      </c>
      <c r="B19" s="1085" t="s">
        <v>32</v>
      </c>
      <c r="C19" s="1085"/>
      <c r="D19" s="458" t="s">
        <v>25</v>
      </c>
      <c r="E19" s="459">
        <f t="shared" si="4"/>
        <v>11190578</v>
      </c>
      <c r="F19" s="459">
        <f t="shared" si="4"/>
        <v>11196178</v>
      </c>
      <c r="G19" s="459">
        <f t="shared" si="4"/>
        <v>11189343</v>
      </c>
      <c r="H19" s="460">
        <f t="shared" si="3"/>
        <v>99.938952381785995</v>
      </c>
      <c r="I19" s="459">
        <f t="shared" si="4"/>
        <v>10088824</v>
      </c>
      <c r="J19" s="472">
        <v>53000</v>
      </c>
      <c r="K19" s="459">
        <v>58600</v>
      </c>
      <c r="L19" s="459">
        <v>51765</v>
      </c>
      <c r="M19" s="460">
        <f t="shared" si="1"/>
        <v>88.336177474402731</v>
      </c>
      <c r="N19" s="459">
        <v>78440</v>
      </c>
      <c r="O19" s="459">
        <v>11137578</v>
      </c>
      <c r="P19" s="459">
        <v>11137578</v>
      </c>
      <c r="Q19" s="459">
        <v>11137578</v>
      </c>
      <c r="R19" s="460"/>
      <c r="S19" s="459">
        <v>10010384</v>
      </c>
      <c r="T19" s="473"/>
      <c r="U19" s="473"/>
      <c r="V19" s="473"/>
      <c r="W19" s="460"/>
      <c r="X19" s="473"/>
      <c r="Y19" s="493"/>
      <c r="Z19" s="493"/>
      <c r="AA19" s="493"/>
      <c r="AB19" s="493"/>
    </row>
    <row r="20" spans="1:28" s="3" customFormat="1" ht="11.25" x14ac:dyDescent="0.2">
      <c r="A20" s="457" t="s">
        <v>17</v>
      </c>
      <c r="B20" s="1085" t="s">
        <v>49</v>
      </c>
      <c r="C20" s="1085"/>
      <c r="D20" s="458" t="s">
        <v>25</v>
      </c>
      <c r="E20" s="459">
        <f t="shared" si="4"/>
        <v>3845716</v>
      </c>
      <c r="F20" s="459">
        <f t="shared" si="4"/>
        <v>3846716</v>
      </c>
      <c r="G20" s="459">
        <f t="shared" si="4"/>
        <v>3838376</v>
      </c>
      <c r="H20" s="460">
        <f t="shared" si="3"/>
        <v>99.783191688702772</v>
      </c>
      <c r="I20" s="459">
        <f t="shared" si="4"/>
        <v>3459530</v>
      </c>
      <c r="J20" s="469">
        <v>19000</v>
      </c>
      <c r="K20" s="459">
        <v>20000</v>
      </c>
      <c r="L20" s="459">
        <v>11660</v>
      </c>
      <c r="M20" s="460">
        <f t="shared" si="1"/>
        <v>58.3</v>
      </c>
      <c r="N20" s="459">
        <v>18608</v>
      </c>
      <c r="O20" s="459">
        <v>3826716</v>
      </c>
      <c r="P20" s="459">
        <v>3826716</v>
      </c>
      <c r="Q20" s="459">
        <v>3826716</v>
      </c>
      <c r="R20" s="460"/>
      <c r="S20" s="459">
        <v>3440922</v>
      </c>
      <c r="T20" s="459"/>
      <c r="U20" s="459"/>
      <c r="V20" s="459"/>
      <c r="W20" s="460"/>
      <c r="X20" s="459"/>
      <c r="Y20" s="120"/>
      <c r="Z20" s="120"/>
      <c r="AA20" s="120"/>
      <c r="AB20" s="120"/>
    </row>
    <row r="21" spans="1:28" s="3" customFormat="1" ht="11.25" x14ac:dyDescent="0.2">
      <c r="A21" s="457" t="s">
        <v>18</v>
      </c>
      <c r="B21" s="1085" t="s">
        <v>50</v>
      </c>
      <c r="C21" s="1085"/>
      <c r="D21" s="458" t="s">
        <v>25</v>
      </c>
      <c r="E21" s="459">
        <f t="shared" si="4"/>
        <v>234707</v>
      </c>
      <c r="F21" s="459">
        <f t="shared" si="4"/>
        <v>234707</v>
      </c>
      <c r="G21" s="459">
        <f t="shared" si="4"/>
        <v>233616</v>
      </c>
      <c r="H21" s="460">
        <f t="shared" si="3"/>
        <v>99.535165120767601</v>
      </c>
      <c r="I21" s="459">
        <f t="shared" si="4"/>
        <v>168656</v>
      </c>
      <c r="J21" s="469">
        <v>15000</v>
      </c>
      <c r="K21" s="459">
        <v>15000</v>
      </c>
      <c r="L21" s="459">
        <v>13909</v>
      </c>
      <c r="M21" s="460">
        <f t="shared" si="1"/>
        <v>92.726666666666674</v>
      </c>
      <c r="N21" s="459">
        <v>14996</v>
      </c>
      <c r="O21" s="459">
        <v>219707</v>
      </c>
      <c r="P21" s="459">
        <v>219707</v>
      </c>
      <c r="Q21" s="459">
        <v>219707</v>
      </c>
      <c r="R21" s="460"/>
      <c r="S21" s="459">
        <v>153660</v>
      </c>
      <c r="T21" s="459"/>
      <c r="U21" s="459"/>
      <c r="V21" s="459"/>
      <c r="W21" s="460"/>
      <c r="X21" s="459"/>
      <c r="Y21" s="120"/>
      <c r="Z21" s="120"/>
      <c r="AA21" s="120"/>
      <c r="AB21" s="120"/>
    </row>
    <row r="22" spans="1:28" s="3" customFormat="1" ht="11.25" x14ac:dyDescent="0.2">
      <c r="A22" s="457" t="s">
        <v>19</v>
      </c>
      <c r="B22" s="1085" t="s">
        <v>65</v>
      </c>
      <c r="C22" s="1085"/>
      <c r="D22" s="458" t="s">
        <v>25</v>
      </c>
      <c r="E22" s="459">
        <f t="shared" si="4"/>
        <v>0</v>
      </c>
      <c r="F22" s="459">
        <f t="shared" si="4"/>
        <v>0</v>
      </c>
      <c r="G22" s="459">
        <f t="shared" si="4"/>
        <v>0</v>
      </c>
      <c r="H22" s="460"/>
      <c r="I22" s="459">
        <f t="shared" si="4"/>
        <v>0</v>
      </c>
      <c r="J22" s="469">
        <v>0</v>
      </c>
      <c r="K22" s="459">
        <v>0</v>
      </c>
      <c r="L22" s="459">
        <v>0</v>
      </c>
      <c r="M22" s="460"/>
      <c r="N22" s="459">
        <v>0</v>
      </c>
      <c r="O22" s="459">
        <v>0</v>
      </c>
      <c r="P22" s="459">
        <v>0</v>
      </c>
      <c r="Q22" s="459">
        <v>0</v>
      </c>
      <c r="R22" s="460"/>
      <c r="S22" s="459">
        <v>0</v>
      </c>
      <c r="T22" s="459"/>
      <c r="U22" s="459"/>
      <c r="V22" s="459"/>
      <c r="W22" s="460"/>
      <c r="X22" s="459"/>
      <c r="Y22" s="120"/>
      <c r="Z22" s="120"/>
      <c r="AA22" s="120"/>
      <c r="AB22" s="120"/>
    </row>
    <row r="23" spans="1:28" s="3" customFormat="1" ht="11.25" x14ac:dyDescent="0.2">
      <c r="A23" s="457" t="s">
        <v>20</v>
      </c>
      <c r="B23" s="465" t="s">
        <v>79</v>
      </c>
      <c r="C23" s="465"/>
      <c r="D23" s="458" t="s">
        <v>25</v>
      </c>
      <c r="E23" s="459">
        <f t="shared" si="4"/>
        <v>0</v>
      </c>
      <c r="F23" s="459">
        <f t="shared" si="4"/>
        <v>0</v>
      </c>
      <c r="G23" s="459">
        <f t="shared" si="4"/>
        <v>0</v>
      </c>
      <c r="H23" s="460"/>
      <c r="I23" s="459">
        <f t="shared" si="4"/>
        <v>0</v>
      </c>
      <c r="J23" s="469">
        <v>0</v>
      </c>
      <c r="K23" s="459">
        <v>0</v>
      </c>
      <c r="L23" s="459">
        <v>0</v>
      </c>
      <c r="M23" s="460"/>
      <c r="N23" s="459">
        <v>0</v>
      </c>
      <c r="O23" s="459">
        <v>0</v>
      </c>
      <c r="P23" s="459">
        <v>0</v>
      </c>
      <c r="Q23" s="459">
        <v>0</v>
      </c>
      <c r="R23" s="460"/>
      <c r="S23" s="459">
        <v>0</v>
      </c>
      <c r="T23" s="459"/>
      <c r="U23" s="459"/>
      <c r="V23" s="459"/>
      <c r="W23" s="460"/>
      <c r="X23" s="459"/>
      <c r="Y23" s="120"/>
      <c r="Z23" s="120"/>
      <c r="AA23" s="120"/>
      <c r="AB23" s="120"/>
    </row>
    <row r="24" spans="1:28" s="3" customFormat="1" ht="11.25" x14ac:dyDescent="0.2">
      <c r="A24" s="457" t="s">
        <v>21</v>
      </c>
      <c r="B24" s="465" t="s">
        <v>73</v>
      </c>
      <c r="C24" s="465"/>
      <c r="D24" s="458" t="s">
        <v>25</v>
      </c>
      <c r="E24" s="459">
        <f t="shared" si="4"/>
        <v>0</v>
      </c>
      <c r="F24" s="459">
        <f t="shared" si="4"/>
        <v>0</v>
      </c>
      <c r="G24" s="459">
        <f t="shared" si="4"/>
        <v>0</v>
      </c>
      <c r="H24" s="460"/>
      <c r="I24" s="459">
        <f t="shared" si="4"/>
        <v>0</v>
      </c>
      <c r="J24" s="469">
        <v>0</v>
      </c>
      <c r="K24" s="459">
        <v>0</v>
      </c>
      <c r="L24" s="459">
        <v>0</v>
      </c>
      <c r="M24" s="460"/>
      <c r="N24" s="459">
        <v>0</v>
      </c>
      <c r="O24" s="459">
        <v>0</v>
      </c>
      <c r="P24" s="459">
        <v>0</v>
      </c>
      <c r="Q24" s="459">
        <v>0</v>
      </c>
      <c r="R24" s="460"/>
      <c r="S24" s="459">
        <v>0</v>
      </c>
      <c r="T24" s="459"/>
      <c r="U24" s="459"/>
      <c r="V24" s="459"/>
      <c r="W24" s="460"/>
      <c r="X24" s="459"/>
      <c r="Y24" s="120"/>
      <c r="Z24" s="120"/>
      <c r="AA24" s="120"/>
      <c r="AB24" s="120"/>
    </row>
    <row r="25" spans="1:28" s="3" customFormat="1" ht="11.25" x14ac:dyDescent="0.2">
      <c r="A25" s="457" t="s">
        <v>22</v>
      </c>
      <c r="B25" s="465" t="s">
        <v>68</v>
      </c>
      <c r="C25" s="465"/>
      <c r="D25" s="458" t="s">
        <v>25</v>
      </c>
      <c r="E25" s="459">
        <f t="shared" si="4"/>
        <v>0</v>
      </c>
      <c r="F25" s="459">
        <f t="shared" si="4"/>
        <v>0</v>
      </c>
      <c r="G25" s="459">
        <f t="shared" si="4"/>
        <v>0</v>
      </c>
      <c r="H25" s="460"/>
      <c r="I25" s="459">
        <f t="shared" si="4"/>
        <v>0</v>
      </c>
      <c r="J25" s="469">
        <v>0</v>
      </c>
      <c r="K25" s="470">
        <v>0</v>
      </c>
      <c r="L25" s="470">
        <v>0</v>
      </c>
      <c r="M25" s="460"/>
      <c r="N25" s="471">
        <v>0</v>
      </c>
      <c r="O25" s="470">
        <v>0</v>
      </c>
      <c r="P25" s="470">
        <v>0</v>
      </c>
      <c r="Q25" s="470">
        <v>0</v>
      </c>
      <c r="R25" s="460"/>
      <c r="S25" s="470">
        <v>0</v>
      </c>
      <c r="T25" s="470"/>
      <c r="U25" s="470"/>
      <c r="V25" s="470"/>
      <c r="W25" s="460"/>
      <c r="X25" s="470"/>
      <c r="Y25" s="120"/>
      <c r="Z25" s="120"/>
      <c r="AA25" s="120"/>
      <c r="AB25" s="120"/>
    </row>
    <row r="26" spans="1:28" s="10" customFormat="1" ht="11.25" x14ac:dyDescent="0.2">
      <c r="A26" s="457" t="s">
        <v>23</v>
      </c>
      <c r="B26" s="1085" t="s">
        <v>69</v>
      </c>
      <c r="C26" s="1085"/>
      <c r="D26" s="458" t="s">
        <v>25</v>
      </c>
      <c r="E26" s="459">
        <f t="shared" si="4"/>
        <v>601500</v>
      </c>
      <c r="F26" s="459">
        <f t="shared" si="4"/>
        <v>608640</v>
      </c>
      <c r="G26" s="459">
        <f t="shared" si="4"/>
        <v>608432</v>
      </c>
      <c r="H26" s="474">
        <f>G26/F26*100</f>
        <v>99.965825446898009</v>
      </c>
      <c r="I26" s="459">
        <f>SUM(N26,S26)</f>
        <v>598329</v>
      </c>
      <c r="J26" s="469">
        <v>601500</v>
      </c>
      <c r="K26" s="471">
        <v>608640</v>
      </c>
      <c r="L26" s="471">
        <v>608432</v>
      </c>
      <c r="M26" s="460">
        <f>L26/K26*100</f>
        <v>99.965825446898009</v>
      </c>
      <c r="N26" s="471">
        <v>598329</v>
      </c>
      <c r="O26" s="471">
        <v>0</v>
      </c>
      <c r="P26" s="471">
        <v>0</v>
      </c>
      <c r="Q26" s="471">
        <v>0</v>
      </c>
      <c r="R26" s="460"/>
      <c r="S26" s="471">
        <v>0</v>
      </c>
      <c r="T26" s="475"/>
      <c r="U26" s="475"/>
      <c r="V26" s="475"/>
      <c r="W26" s="460"/>
      <c r="X26" s="475"/>
      <c r="Y26" s="494"/>
      <c r="Z26" s="494"/>
      <c r="AA26" s="494"/>
      <c r="AB26" s="494"/>
    </row>
    <row r="27" spans="1:28" s="10" customFormat="1" ht="11.25" x14ac:dyDescent="0.2">
      <c r="A27" s="457" t="s">
        <v>45</v>
      </c>
      <c r="B27" s="465" t="s">
        <v>70</v>
      </c>
      <c r="C27" s="465"/>
      <c r="D27" s="458" t="s">
        <v>25</v>
      </c>
      <c r="E27" s="459">
        <f t="shared" si="4"/>
        <v>0</v>
      </c>
      <c r="F27" s="459">
        <f t="shared" si="4"/>
        <v>0</v>
      </c>
      <c r="G27" s="459">
        <f t="shared" si="4"/>
        <v>0</v>
      </c>
      <c r="H27" s="474"/>
      <c r="I27" s="459">
        <f t="shared" si="4"/>
        <v>0</v>
      </c>
      <c r="J27" s="469">
        <v>0</v>
      </c>
      <c r="K27" s="471">
        <v>0</v>
      </c>
      <c r="L27" s="471">
        <v>0</v>
      </c>
      <c r="M27" s="460"/>
      <c r="N27" s="459">
        <v>0</v>
      </c>
      <c r="O27" s="471">
        <v>0</v>
      </c>
      <c r="P27" s="471">
        <v>0</v>
      </c>
      <c r="Q27" s="471">
        <v>0</v>
      </c>
      <c r="R27" s="460"/>
      <c r="S27" s="471">
        <v>0</v>
      </c>
      <c r="T27" s="475"/>
      <c r="U27" s="475"/>
      <c r="V27" s="475"/>
      <c r="W27" s="460"/>
      <c r="X27" s="475"/>
      <c r="Y27" s="494"/>
      <c r="Z27" s="494"/>
      <c r="AA27" s="494"/>
      <c r="AB27" s="494"/>
    </row>
    <row r="28" spans="1:28" s="10" customFormat="1" ht="11.25" x14ac:dyDescent="0.2">
      <c r="A28" s="457" t="s">
        <v>51</v>
      </c>
      <c r="B28" s="465" t="s">
        <v>74</v>
      </c>
      <c r="C28" s="465"/>
      <c r="D28" s="458" t="s">
        <v>25</v>
      </c>
      <c r="E28" s="459">
        <f>SUM(J28,O28)</f>
        <v>330000</v>
      </c>
      <c r="F28" s="459">
        <f>SUM(K28,P28)</f>
        <v>439385</v>
      </c>
      <c r="G28" s="459">
        <f>SUM(L28,Q28)</f>
        <v>400235</v>
      </c>
      <c r="H28" s="474">
        <f>G28/F28*100</f>
        <v>91.089818723898176</v>
      </c>
      <c r="I28" s="459">
        <f>SUM(N28,S28)</f>
        <v>543818</v>
      </c>
      <c r="J28" s="469">
        <v>330000</v>
      </c>
      <c r="K28" s="471">
        <v>439385</v>
      </c>
      <c r="L28" s="471">
        <v>400235</v>
      </c>
      <c r="M28" s="460">
        <f>L28/K28*100</f>
        <v>91.089818723898176</v>
      </c>
      <c r="N28" s="459">
        <v>543818</v>
      </c>
      <c r="O28" s="471">
        <v>0</v>
      </c>
      <c r="P28" s="471">
        <v>0</v>
      </c>
      <c r="Q28" s="471">
        <v>0</v>
      </c>
      <c r="R28" s="460"/>
      <c r="S28" s="471">
        <v>0</v>
      </c>
      <c r="T28" s="475"/>
      <c r="U28" s="475"/>
      <c r="V28" s="475"/>
      <c r="W28" s="460"/>
      <c r="X28" s="475"/>
      <c r="Y28" s="494"/>
      <c r="Z28" s="494"/>
      <c r="AA28" s="494"/>
      <c r="AB28" s="494"/>
    </row>
    <row r="29" spans="1:28" s="12" customFormat="1" ht="11.25" x14ac:dyDescent="0.2">
      <c r="A29" s="457" t="s">
        <v>52</v>
      </c>
      <c r="B29" s="465" t="s">
        <v>67</v>
      </c>
      <c r="C29" s="465"/>
      <c r="D29" s="458" t="s">
        <v>25</v>
      </c>
      <c r="E29" s="459">
        <f t="shared" si="4"/>
        <v>11862</v>
      </c>
      <c r="F29" s="459">
        <f t="shared" si="4"/>
        <v>4722</v>
      </c>
      <c r="G29" s="459">
        <f t="shared" si="4"/>
        <v>391</v>
      </c>
      <c r="H29" s="474">
        <f t="shared" si="3"/>
        <v>8.2803896653960187</v>
      </c>
      <c r="I29" s="459">
        <f t="shared" si="4"/>
        <v>391</v>
      </c>
      <c r="J29" s="469">
        <v>11862</v>
      </c>
      <c r="K29" s="471">
        <v>4722</v>
      </c>
      <c r="L29" s="471">
        <v>391</v>
      </c>
      <c r="M29" s="460">
        <f t="shared" si="1"/>
        <v>8.2803896653960187</v>
      </c>
      <c r="N29" s="471">
        <v>391</v>
      </c>
      <c r="O29" s="471">
        <v>0</v>
      </c>
      <c r="P29" s="471">
        <v>0</v>
      </c>
      <c r="Q29" s="471">
        <v>0</v>
      </c>
      <c r="R29" s="460"/>
      <c r="S29" s="471">
        <v>0</v>
      </c>
      <c r="T29" s="475"/>
      <c r="U29" s="475"/>
      <c r="V29" s="475"/>
      <c r="W29" s="460"/>
      <c r="X29" s="475"/>
      <c r="Y29" s="495"/>
      <c r="Z29" s="495"/>
      <c r="AA29" s="495"/>
      <c r="AB29" s="495"/>
    </row>
    <row r="30" spans="1:28" s="3" customFormat="1" ht="11.25" x14ac:dyDescent="0.2">
      <c r="A30" s="457" t="s">
        <v>54</v>
      </c>
      <c r="B30" s="465" t="s">
        <v>53</v>
      </c>
      <c r="C30" s="465"/>
      <c r="D30" s="458" t="s">
        <v>25</v>
      </c>
      <c r="E30" s="459">
        <f t="shared" ref="E30:G31" si="5">SUM(J30,O30)</f>
        <v>0</v>
      </c>
      <c r="F30" s="459">
        <f t="shared" si="5"/>
        <v>0</v>
      </c>
      <c r="G30" s="459">
        <f t="shared" si="5"/>
        <v>0</v>
      </c>
      <c r="H30" s="474"/>
      <c r="I30" s="459">
        <f>SUM(N30,S30)</f>
        <v>0</v>
      </c>
      <c r="J30" s="469">
        <v>0</v>
      </c>
      <c r="K30" s="471"/>
      <c r="L30" s="471">
        <v>0</v>
      </c>
      <c r="M30" s="460"/>
      <c r="N30" s="471">
        <v>0</v>
      </c>
      <c r="O30" s="471">
        <v>0</v>
      </c>
      <c r="P30" s="471">
        <v>0</v>
      </c>
      <c r="Q30" s="471">
        <v>0</v>
      </c>
      <c r="R30" s="460"/>
      <c r="S30" s="471">
        <v>0</v>
      </c>
      <c r="T30" s="475"/>
      <c r="U30" s="475"/>
      <c r="V30" s="475"/>
      <c r="W30" s="460"/>
      <c r="X30" s="475"/>
      <c r="Y30" s="120"/>
      <c r="Z30" s="120"/>
      <c r="AA30" s="120"/>
      <c r="AB30" s="120"/>
    </row>
    <row r="31" spans="1:28" s="31" customFormat="1" ht="11.25" x14ac:dyDescent="0.2">
      <c r="A31" s="457" t="s">
        <v>55</v>
      </c>
      <c r="B31" s="465" t="s">
        <v>71</v>
      </c>
      <c r="C31" s="465"/>
      <c r="D31" s="458" t="s">
        <v>25</v>
      </c>
      <c r="E31" s="459">
        <f t="shared" si="5"/>
        <v>0</v>
      </c>
      <c r="F31" s="459">
        <f t="shared" si="5"/>
        <v>0</v>
      </c>
      <c r="G31" s="459">
        <f t="shared" si="5"/>
        <v>0</v>
      </c>
      <c r="H31" s="474"/>
      <c r="I31" s="459">
        <f>SUM(N31,S31)</f>
        <v>0</v>
      </c>
      <c r="J31" s="469">
        <v>0</v>
      </c>
      <c r="K31" s="476">
        <v>0</v>
      </c>
      <c r="L31" s="476">
        <v>0</v>
      </c>
      <c r="M31" s="460"/>
      <c r="N31" s="476">
        <v>0</v>
      </c>
      <c r="O31" s="476">
        <v>0</v>
      </c>
      <c r="P31" s="476">
        <v>0</v>
      </c>
      <c r="Q31" s="476">
        <v>0</v>
      </c>
      <c r="R31" s="460"/>
      <c r="S31" s="476">
        <v>0</v>
      </c>
      <c r="T31" s="477"/>
      <c r="U31" s="477"/>
      <c r="V31" s="477"/>
      <c r="W31" s="460"/>
      <c r="X31" s="477"/>
      <c r="Y31" s="121"/>
      <c r="Z31" s="121"/>
      <c r="AA31" s="121"/>
      <c r="AB31" s="121"/>
    </row>
    <row r="32" spans="1:28" s="31" customFormat="1" ht="11.25" x14ac:dyDescent="0.2">
      <c r="A32" s="457" t="s">
        <v>56</v>
      </c>
      <c r="B32" s="465" t="s">
        <v>72</v>
      </c>
      <c r="C32" s="465"/>
      <c r="D32" s="458" t="s">
        <v>25</v>
      </c>
      <c r="E32" s="459">
        <f>SUM(J32,O32)</f>
        <v>0</v>
      </c>
      <c r="F32" s="459">
        <f>SUM(K32,P32)</f>
        <v>0</v>
      </c>
      <c r="G32" s="459">
        <f>SUM(L32,Q32)</f>
        <v>0</v>
      </c>
      <c r="H32" s="474"/>
      <c r="I32" s="459">
        <f>SUM(N32,S32)</f>
        <v>0</v>
      </c>
      <c r="J32" s="478">
        <v>0</v>
      </c>
      <c r="K32" s="477">
        <v>0</v>
      </c>
      <c r="L32" s="477">
        <v>0</v>
      </c>
      <c r="M32" s="460"/>
      <c r="N32" s="477">
        <v>0</v>
      </c>
      <c r="O32" s="477">
        <v>0</v>
      </c>
      <c r="P32" s="477">
        <v>0</v>
      </c>
      <c r="Q32" s="477">
        <v>0</v>
      </c>
      <c r="R32" s="460"/>
      <c r="S32" s="477">
        <v>0</v>
      </c>
      <c r="T32" s="477"/>
      <c r="U32" s="477"/>
      <c r="V32" s="477"/>
      <c r="W32" s="460"/>
      <c r="X32" s="477"/>
      <c r="Y32" s="121"/>
      <c r="Z32" s="121"/>
      <c r="AA32" s="121"/>
      <c r="AB32" s="121"/>
    </row>
    <row r="33" spans="1:28" s="31" customFormat="1" ht="11.25" x14ac:dyDescent="0.2">
      <c r="A33" s="453" t="s">
        <v>57</v>
      </c>
      <c r="B33" s="479" t="s">
        <v>80</v>
      </c>
      <c r="C33" s="479"/>
      <c r="D33" s="454" t="s">
        <v>25</v>
      </c>
      <c r="E33" s="455">
        <f>E6-E11</f>
        <v>0</v>
      </c>
      <c r="F33" s="455">
        <f>F6-F11</f>
        <v>0</v>
      </c>
      <c r="G33" s="455">
        <f>G6-G11</f>
        <v>196965</v>
      </c>
      <c r="H33" s="480"/>
      <c r="I33" s="455">
        <f>I6-I11</f>
        <v>35881</v>
      </c>
      <c r="J33" s="455">
        <f>J6-J11</f>
        <v>0</v>
      </c>
      <c r="K33" s="455">
        <f>K6-K11</f>
        <v>0</v>
      </c>
      <c r="L33" s="455">
        <f>L6-L11</f>
        <v>196965</v>
      </c>
      <c r="M33" s="456"/>
      <c r="N33" s="455">
        <f>N6-N11</f>
        <v>35881</v>
      </c>
      <c r="O33" s="455">
        <f>O6-O11</f>
        <v>0</v>
      </c>
      <c r="P33" s="455">
        <f>P6-P11</f>
        <v>0</v>
      </c>
      <c r="Q33" s="455">
        <f>Q6-Q11</f>
        <v>0</v>
      </c>
      <c r="R33" s="456"/>
      <c r="S33" s="455">
        <f>S6-S11</f>
        <v>0</v>
      </c>
      <c r="T33" s="455">
        <f>T6-T11</f>
        <v>0</v>
      </c>
      <c r="U33" s="455">
        <f>U6-U11</f>
        <v>0</v>
      </c>
      <c r="V33" s="455">
        <f>V6-V11</f>
        <v>0</v>
      </c>
      <c r="W33" s="456"/>
      <c r="X33" s="455">
        <f>X6-X11</f>
        <v>0</v>
      </c>
      <c r="Y33" s="121"/>
      <c r="Z33" s="121"/>
      <c r="AA33" s="121"/>
      <c r="AB33" s="121"/>
    </row>
    <row r="34" spans="1:28" s="37" customFormat="1" ht="9.75" x14ac:dyDescent="0.2">
      <c r="A34" s="174" t="s">
        <v>59</v>
      </c>
      <c r="B34" s="1185" t="s">
        <v>24</v>
      </c>
      <c r="C34" s="1185"/>
      <c r="D34" s="496" t="s">
        <v>25</v>
      </c>
      <c r="E34" s="497">
        <v>19428</v>
      </c>
      <c r="F34" s="497">
        <v>19438</v>
      </c>
      <c r="G34" s="497">
        <v>19426</v>
      </c>
      <c r="H34" s="173"/>
      <c r="I34" s="497">
        <v>19073</v>
      </c>
      <c r="J34" s="498">
        <v>4416</v>
      </c>
      <c r="K34" s="498">
        <v>4416</v>
      </c>
      <c r="L34" s="498">
        <v>5083</v>
      </c>
      <c r="M34" s="18">
        <f t="shared" si="1"/>
        <v>115.10416666666667</v>
      </c>
      <c r="N34" s="498"/>
      <c r="O34" s="498">
        <v>18600</v>
      </c>
      <c r="P34" s="498">
        <v>18600</v>
      </c>
      <c r="Q34" s="498">
        <v>19747</v>
      </c>
      <c r="R34" s="18">
        <f t="shared" ref="R34:R36" si="6">Q34/P34*100</f>
        <v>106.16666666666667</v>
      </c>
      <c r="S34" s="498"/>
      <c r="T34" s="498"/>
      <c r="U34" s="498"/>
      <c r="V34" s="498"/>
      <c r="W34" s="18"/>
      <c r="X34" s="498"/>
    </row>
    <row r="35" spans="1:28" s="37" customFormat="1" ht="9.75" x14ac:dyDescent="0.2">
      <c r="A35" s="176" t="s">
        <v>60</v>
      </c>
      <c r="B35" s="1186" t="s">
        <v>33</v>
      </c>
      <c r="C35" s="1186"/>
      <c r="D35" s="176" t="s">
        <v>26</v>
      </c>
      <c r="E35" s="497">
        <v>42</v>
      </c>
      <c r="F35" s="497">
        <v>42</v>
      </c>
      <c r="G35" s="497">
        <v>42</v>
      </c>
      <c r="H35" s="173"/>
      <c r="I35" s="497">
        <v>42</v>
      </c>
      <c r="J35" s="498">
        <v>0.03</v>
      </c>
      <c r="K35" s="499">
        <v>0.21</v>
      </c>
      <c r="L35" s="498">
        <v>0.21</v>
      </c>
      <c r="M35" s="18">
        <f t="shared" si="1"/>
        <v>100</v>
      </c>
      <c r="N35" s="498"/>
      <c r="O35" s="498">
        <v>42</v>
      </c>
      <c r="P35" s="498">
        <v>42</v>
      </c>
      <c r="Q35" s="498">
        <v>42</v>
      </c>
      <c r="R35" s="18">
        <f t="shared" si="6"/>
        <v>100</v>
      </c>
      <c r="S35" s="498"/>
      <c r="T35" s="498"/>
      <c r="U35" s="498"/>
      <c r="V35" s="498"/>
      <c r="W35" s="18"/>
      <c r="X35" s="498"/>
    </row>
    <row r="36" spans="1:28" s="37" customFormat="1" ht="9.75" x14ac:dyDescent="0.2">
      <c r="A36" s="174" t="s">
        <v>61</v>
      </c>
      <c r="B36" s="1185" t="s">
        <v>27</v>
      </c>
      <c r="C36" s="1185"/>
      <c r="D36" s="496" t="s">
        <v>26</v>
      </c>
      <c r="E36" s="497">
        <v>48</v>
      </c>
      <c r="F36" s="497">
        <v>48</v>
      </c>
      <c r="G36" s="497">
        <v>48</v>
      </c>
      <c r="H36" s="173"/>
      <c r="I36" s="497">
        <v>48</v>
      </c>
      <c r="J36" s="498">
        <v>2</v>
      </c>
      <c r="K36" s="498">
        <v>2</v>
      </c>
      <c r="L36" s="498">
        <v>2</v>
      </c>
      <c r="M36" s="18">
        <v>2</v>
      </c>
      <c r="N36" s="498"/>
      <c r="O36" s="498">
        <v>48</v>
      </c>
      <c r="P36" s="498">
        <v>48</v>
      </c>
      <c r="Q36" s="498">
        <v>48</v>
      </c>
      <c r="R36" s="18">
        <f t="shared" si="6"/>
        <v>100</v>
      </c>
      <c r="S36" s="498"/>
      <c r="T36" s="498"/>
      <c r="U36" s="498"/>
      <c r="V36" s="498"/>
      <c r="W36" s="18"/>
      <c r="X36" s="498"/>
    </row>
    <row r="40" spans="1:28" ht="15.75" x14ac:dyDescent="0.15">
      <c r="K40" s="500"/>
      <c r="L40" s="500"/>
      <c r="M40" s="500"/>
      <c r="N40" s="123"/>
    </row>
    <row r="41" spans="1:28" ht="15.75" x14ac:dyDescent="0.15">
      <c r="K41" s="501"/>
      <c r="L41" s="501"/>
      <c r="M41" s="501"/>
    </row>
  </sheetData>
  <mergeCells count="38">
    <mergeCell ref="O4:O5"/>
    <mergeCell ref="P4:R4"/>
    <mergeCell ref="N4:N5"/>
    <mergeCell ref="B6:C6"/>
    <mergeCell ref="A1:X1"/>
    <mergeCell ref="A3:A5"/>
    <mergeCell ref="B3:C5"/>
    <mergeCell ref="D3:D5"/>
    <mergeCell ref="E3:I3"/>
    <mergeCell ref="J3:N3"/>
    <mergeCell ref="O3:S3"/>
    <mergeCell ref="T3:X3"/>
    <mergeCell ref="E4:E5"/>
    <mergeCell ref="F4:H4"/>
    <mergeCell ref="S4:S5"/>
    <mergeCell ref="T4:T5"/>
    <mergeCell ref="U4:W4"/>
    <mergeCell ref="X4:X5"/>
    <mergeCell ref="B21:C21"/>
    <mergeCell ref="B7:C7"/>
    <mergeCell ref="I4:I5"/>
    <mergeCell ref="J4:J5"/>
    <mergeCell ref="K4:M4"/>
    <mergeCell ref="B15:C15"/>
    <mergeCell ref="B16:C16"/>
    <mergeCell ref="B18:C18"/>
    <mergeCell ref="B19:C19"/>
    <mergeCell ref="B20:C20"/>
    <mergeCell ref="B8:C8"/>
    <mergeCell ref="B10:C10"/>
    <mergeCell ref="B11:C11"/>
    <mergeCell ref="B12:C12"/>
    <mergeCell ref="B13:C13"/>
    <mergeCell ref="B26:C26"/>
    <mergeCell ref="B34:C34"/>
    <mergeCell ref="B35:C35"/>
    <mergeCell ref="B36:C36"/>
    <mergeCell ref="B22:C22"/>
  </mergeCells>
  <pageMargins left="0.70866141732283472" right="0.70866141732283472" top="0.78740157480314965" bottom="0.78740157480314965" header="0.31496062992125984" footer="0.31496062992125984"/>
  <pageSetup paperSize="9" scale="77" firstPageNumber="92" orientation="landscape" useFirstPageNumber="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MŠ Smet1</vt:lpstr>
      <vt:lpstr>MŠ Smet</vt:lpstr>
      <vt:lpstr>MŠ Šárka1</vt:lpstr>
      <vt:lpstr>MŠ Šárka</vt:lpstr>
      <vt:lpstr>MŠ Rumun1</vt:lpstr>
      <vt:lpstr>MŠ Rumun</vt:lpstr>
      <vt:lpstr>MŠ Mor1</vt:lpstr>
      <vt:lpstr>MŠ Mor</vt:lpstr>
      <vt:lpstr>MŠ Part1</vt:lpstr>
      <vt:lpstr>MŠ Part</vt:lpstr>
      <vt:lpstr>ZŠ Melan1</vt:lpstr>
      <vt:lpstr>ZŠ Melan</vt:lpstr>
      <vt:lpstr>ZŠ Val1</vt:lpstr>
      <vt:lpstr>ZŠ Val</vt:lpstr>
      <vt:lpstr>ZŠ Pal1</vt:lpstr>
      <vt:lpstr>ZŠ Pal</vt:lpstr>
      <vt:lpstr>ZŠ Koll1</vt:lpstr>
      <vt:lpstr>ZŠ Koll</vt:lpstr>
      <vt:lpstr>ZŠ JŽ1</vt:lpstr>
      <vt:lpstr>ZŠ JŽ</vt:lpstr>
      <vt:lpstr>ZŠ Maj1</vt:lpstr>
      <vt:lpstr>ZŠ Maj</vt:lpstr>
      <vt:lpstr>ZŠ Dr.Hor1</vt:lpstr>
      <vt:lpstr>ZŠ Dr.Hor</vt:lpstr>
      <vt:lpstr>RG a ZŠ1</vt:lpstr>
      <vt:lpstr>RG a ZŠ</vt:lpstr>
      <vt:lpstr>ZUŠ1</vt:lpstr>
      <vt:lpstr>ZUŠ</vt:lpstr>
      <vt:lpstr>Sportcentrum1</vt:lpstr>
      <vt:lpstr>Sportcentrum</vt:lpstr>
      <vt:lpstr>Knihovna1</vt:lpstr>
      <vt:lpstr>Knihovna</vt:lpstr>
      <vt:lpstr>Divadlo1</vt:lpstr>
      <vt:lpstr>Divadlo</vt:lpstr>
      <vt:lpstr>Jesle1</vt:lpstr>
      <vt:lpstr>Jesle</vt:lpstr>
      <vt:lpstr>Kino1</vt:lpstr>
      <vt:lpstr>Kino</vt:lpstr>
    </vt:vector>
  </TitlesOfParts>
  <Company>Městský úřad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Městský úřad</dc:creator>
  <cp:lastModifiedBy>Ptáčková Eva</cp:lastModifiedBy>
  <cp:lastPrinted>2018-05-09T07:27:10Z</cp:lastPrinted>
  <dcterms:created xsi:type="dcterms:W3CDTF">1998-11-03T08:17:51Z</dcterms:created>
  <dcterms:modified xsi:type="dcterms:W3CDTF">2018-05-09T07:27:16Z</dcterms:modified>
</cp:coreProperties>
</file>